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0730" windowHeight="550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1" i="1" l="1"/>
  <c r="C14" i="74" l="1"/>
  <c r="B14" i="74"/>
  <c r="K16" i="80" l="1"/>
  <c r="U6" i="1" s="1"/>
  <c r="H13" i="80"/>
  <c r="K9" i="80" l="1"/>
  <c r="T7" i="80"/>
  <c r="T9" i="80"/>
  <c r="J10" i="80" l="1"/>
  <c r="D33" i="43"/>
  <c r="Y6" i="1" l="1"/>
  <c r="N6" i="1"/>
  <c r="M10" i="80"/>
  <c r="L6" i="1"/>
  <c r="J11" i="80"/>
  <c r="O10" i="80"/>
  <c r="O3" i="80"/>
  <c r="O4" i="80"/>
  <c r="O5" i="80"/>
  <c r="O6" i="80"/>
  <c r="O7" i="80"/>
  <c r="O8" i="80"/>
  <c r="O9" i="80"/>
  <c r="O2" i="80"/>
  <c r="M9" i="80" l="1"/>
  <c r="M4" i="80"/>
  <c r="M5" i="80"/>
  <c r="M6" i="80"/>
  <c r="M7" i="80"/>
  <c r="M8" i="80"/>
  <c r="M3" i="80"/>
  <c r="M2" i="80"/>
  <c r="G19" i="6"/>
  <c r="F19" i="6"/>
  <c r="I13" i="3"/>
  <c r="K13" i="3"/>
  <c r="H10" i="80"/>
  <c r="H14" i="4"/>
  <c r="H1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7" i="76"/>
  <c r="B8" i="76"/>
  <c r="M28" i="15"/>
  <c r="M6" i="67"/>
  <c r="F42" i="67"/>
  <c r="F7" i="73"/>
  <c r="M8" i="15"/>
  <c r="M22" i="67"/>
  <c r="D7" i="73"/>
  <c r="B11" i="76"/>
  <c r="M28" i="67"/>
  <c r="E8" i="76"/>
  <c r="E10" i="76"/>
  <c r="M24" i="15"/>
  <c r="M26" i="67"/>
  <c r="E2" i="69"/>
  <c r="J15" i="15"/>
  <c r="F6" i="67"/>
  <c r="E13" i="76"/>
  <c r="F26" i="15"/>
  <c r="F13" i="67"/>
  <c r="F37" i="67"/>
  <c r="F3" i="73"/>
  <c r="F36" i="15"/>
  <c r="E9" i="76"/>
  <c r="F9" i="67"/>
  <c r="F7" i="15"/>
  <c r="F8" i="67"/>
  <c r="F38" i="15"/>
  <c r="D3" i="73"/>
  <c r="M9" i="15"/>
  <c r="F42" i="15"/>
  <c r="B12" i="76"/>
  <c r="F8" i="15"/>
  <c r="F40" i="67"/>
  <c r="M22" i="15"/>
  <c r="F9" i="15"/>
  <c r="F4" i="73"/>
  <c r="J15" i="67"/>
  <c r="M26" i="15"/>
  <c r="F5" i="73"/>
  <c r="F43" i="67"/>
  <c r="M9" i="67"/>
  <c r="M6" i="15"/>
  <c r="M24" i="67"/>
  <c r="D4" i="73"/>
  <c r="E11" i="76"/>
  <c r="B7" i="76"/>
  <c r="B13" i="76"/>
  <c r="F13" i="15"/>
  <c r="M23" i="15"/>
  <c r="F37" i="15"/>
  <c r="F16" i="67"/>
  <c r="D5" i="73"/>
  <c r="L48" i="15"/>
  <c r="F40" i="15"/>
  <c r="L47" i="67"/>
  <c r="M8" i="67"/>
  <c r="M23" i="67"/>
  <c r="F6" i="73"/>
  <c r="B9" i="76"/>
  <c r="E2" i="68"/>
  <c r="F6" i="15"/>
  <c r="F43" i="15"/>
  <c r="E12" i="76"/>
  <c r="F38" i="67"/>
  <c r="F20" i="31"/>
  <c r="D6" i="73"/>
  <c r="F36" i="67"/>
  <c r="F7" i="67"/>
  <c r="C76" i="15"/>
  <c r="F26" i="67"/>
  <c r="F16" i="15"/>
  <c r="B10" i="76"/>
  <c r="L48" i="67"/>
  <c r="M29" i="15"/>
  <c r="AO13" i="1"/>
  <c r="L47" i="15"/>
  <c r="C76" i="67"/>
  <c r="M29" i="67"/>
  <c r="G22" i="68" l="1"/>
  <c r="G22" i="69"/>
  <c r="G22" i="11"/>
  <c r="E1" i="73"/>
  <c r="K1" i="73" s="1"/>
  <c r="D86" i="43"/>
  <c r="C21" i="68"/>
  <c r="C40" i="69"/>
  <c r="H5" i="3"/>
  <c r="G13"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83" i="43" l="1"/>
  <c r="B81" i="43" s="1"/>
  <c r="E26" i="43"/>
  <c r="N94" i="46"/>
  <c r="J26" i="43"/>
  <c r="N370" i="46"/>
  <c r="G26" i="43"/>
  <c r="P6" i="1"/>
  <c r="C13" i="12" s="1"/>
  <c r="G5" i="3"/>
  <c r="B3" i="3" s="1"/>
  <c r="E13" i="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510" i="3" l="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539" i="3"/>
  <c r="E148" i="3"/>
  <c r="E212" i="3"/>
  <c r="E199" i="3"/>
  <c r="E286" i="3"/>
  <c r="E575" i="3"/>
  <c r="E499" i="3"/>
  <c r="R6" i="3"/>
  <c r="E502" i="3"/>
  <c r="E442" i="3"/>
  <c r="E466" i="3"/>
  <c r="E541" i="3"/>
  <c r="E430" i="3"/>
  <c r="E449" i="3"/>
  <c r="E255" i="3"/>
  <c r="AP6" i="3"/>
  <c r="E554" i="3"/>
  <c r="E517" i="3"/>
  <c r="E491" i="3"/>
  <c r="E479" i="3"/>
  <c r="E37" i="3"/>
  <c r="E152" i="3"/>
  <c r="E258" i="3"/>
  <c r="E292" i="3"/>
  <c r="E363" i="3"/>
  <c r="E389" i="3"/>
  <c r="E76" i="3"/>
  <c r="E409" i="3"/>
  <c r="E15" i="3"/>
  <c r="E455" i="3"/>
  <c r="E96" i="3"/>
  <c r="E78" i="3"/>
  <c r="E129" i="3"/>
  <c r="E190" i="3"/>
  <c r="E174" i="3"/>
  <c r="E234" i="3"/>
  <c r="E219" i="3"/>
  <c r="E299" i="3"/>
  <c r="E339" i="3"/>
  <c r="E325" i="3"/>
  <c r="E392" i="3"/>
  <c r="AQ6" i="3"/>
  <c r="E35" i="3"/>
  <c r="E86" i="3"/>
  <c r="E34" i="3"/>
  <c r="E123" i="3"/>
  <c r="E147" i="3"/>
  <c r="E289" i="3"/>
  <c r="E340" i="3"/>
  <c r="E364"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6" i="3"/>
  <c r="I3" i="6"/>
  <c r="E435" i="3"/>
  <c r="E417" i="3"/>
  <c r="E56" i="3"/>
  <c r="E95" i="3"/>
  <c r="E132" i="3"/>
  <c r="E192" i="3"/>
  <c r="E241" i="3"/>
  <c r="E349" i="3"/>
  <c r="E544" i="3"/>
  <c r="E59" i="3"/>
  <c r="E484" i="3"/>
  <c r="E412" i="3"/>
  <c r="E18" i="3"/>
  <c r="E79" i="3"/>
  <c r="E38" i="3"/>
  <c r="E100" i="3"/>
  <c r="E170" i="3"/>
  <c r="E137" i="3"/>
  <c r="E194" i="3"/>
  <c r="E220" i="3"/>
  <c r="E275" i="3"/>
  <c r="E235" i="3"/>
  <c r="E324" i="3"/>
  <c r="E383" i="3"/>
  <c r="E342" i="3"/>
  <c r="E522" i="3"/>
  <c r="E52" i="3"/>
  <c r="E36" i="3"/>
  <c r="E112" i="3"/>
  <c r="E49" i="3"/>
  <c r="E206" i="3"/>
  <c r="E232" i="3"/>
  <c r="E251" i="3"/>
  <c r="E370" i="3"/>
  <c r="AF6" i="3"/>
  <c r="E50" i="3"/>
  <c r="E20" i="3"/>
  <c r="E62"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572" i="3"/>
  <c r="E109" i="3"/>
  <c r="E53" i="3"/>
  <c r="E319" i="3"/>
  <c r="E501" i="3"/>
  <c r="E153" i="3"/>
  <c r="E426" i="3"/>
  <c r="E328" i="3"/>
  <c r="O6" i="3"/>
  <c r="E574"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305" i="3"/>
  <c r="E508" i="3"/>
  <c r="E388" i="3"/>
  <c r="E555"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AC6" i="3"/>
  <c r="H6" i="3"/>
  <c r="E6" i="3" s="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0" i="1"/>
  <c r="AO12"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H4" i="52" s="1"/>
  <c r="H101" i="9" l="1"/>
  <c r="D5" i="53" s="1"/>
  <c r="D6" i="53" s="1"/>
  <c r="B22" i="72" s="1"/>
  <c r="I118" i="9"/>
  <c r="C105" i="9" s="1"/>
  <c r="F119" i="9"/>
  <c r="F5" i="52" s="1"/>
  <c r="B53" i="72" s="1"/>
  <c r="G118" i="9"/>
  <c r="G4" i="52" s="1"/>
  <c r="B52" i="72" s="1"/>
  <c r="B20" i="72"/>
  <c r="D119" i="9"/>
  <c r="D5" i="52" s="1"/>
  <c r="B49" i="72" s="1"/>
  <c r="H119" i="9"/>
  <c r="H5" i="52" s="1"/>
  <c r="C104" i="9"/>
  <c r="I4" i="52" l="1"/>
  <c r="M48" i="9"/>
  <c r="H102" i="9"/>
  <c r="C5" i="74" s="1"/>
  <c r="E118" i="9"/>
  <c r="E4" i="52" s="1"/>
  <c r="B48" i="72" s="1"/>
  <c r="H107" i="9"/>
  <c r="D13" i="53" s="1"/>
  <c r="D45" i="9"/>
  <c r="D52" i="9" s="1"/>
  <c r="D7" i="53" l="1"/>
  <c r="B21" i="72" s="1"/>
  <c r="D55" i="9"/>
  <c r="M53" i="9" s="1"/>
  <c r="C93" i="9"/>
  <c r="C86" i="9" s="1"/>
  <c r="C72" i="9"/>
  <c r="D53" i="9"/>
  <c r="C85" i="9"/>
  <c r="M49" i="9"/>
  <c r="L68" i="9" s="1"/>
  <c r="M68" i="9" s="1"/>
  <c r="H108" i="9"/>
  <c r="D15" i="53" s="1"/>
  <c r="B31" i="72" s="1"/>
  <c r="D122" i="9"/>
  <c r="D8" i="52" s="1"/>
  <c r="C64" i="9"/>
  <c r="C63" i="9" s="1"/>
  <c r="C67" i="9" s="1"/>
  <c r="C68" i="9" s="1"/>
  <c r="D54" i="9" s="1"/>
  <c r="C78" i="9"/>
  <c r="C73" i="9" s="1"/>
  <c r="B30" i="72"/>
  <c r="D14" i="53"/>
  <c r="B32" i="72" s="1"/>
  <c r="C95" i="9" l="1"/>
  <c r="C96" i="9" s="1"/>
  <c r="E96" i="9" s="1"/>
  <c r="E97" i="9" s="1"/>
  <c r="C79" i="9"/>
  <c r="C80" i="9" s="1"/>
  <c r="E80" i="9" s="1"/>
  <c r="E81" i="9" s="1"/>
  <c r="L66" i="9"/>
  <c r="M66" i="9" s="1"/>
  <c r="L63" i="9"/>
  <c r="M63" i="9" s="1"/>
  <c r="L67" i="9"/>
  <c r="M67" i="9" s="1"/>
  <c r="L65" i="9"/>
  <c r="M65" i="9" s="1"/>
  <c r="L64" i="9"/>
  <c r="M64" i="9" s="1"/>
  <c r="D123" i="9"/>
  <c r="D9" i="52" s="1"/>
  <c r="C6" i="74"/>
  <c r="D59" i="9"/>
  <c r="M55"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<sst xmlns="http://schemas.openxmlformats.org/spreadsheetml/2006/main" count="7879" uniqueCount="3464">
  <si>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</si>
  <si>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</si>
  <si>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</si>
  <si>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</si>
  <si>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</si>
  <si>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</si>
  <si>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</si>
  <si>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</si>
  <si>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</si>
  <si>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</si>
  <si>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</si>
  <si>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</si>
  <si>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</si>
  <si>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</si>
  <si>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</si>
  <si>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</si>
  <si>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</si>
  <si>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</si>
  <si>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</si>
  <si>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</si>
  <si>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</si>
  <si>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</si>
  <si>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</si>
  <si>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</si>
  <si>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</si>
  <si>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</si>
  <si>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</si>
  <si>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</si>
  <si>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</si>
  <si>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</si>
  <si>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</si>
  <si>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</si>
  <si>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</si>
  <si>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</si>
  <si>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</si>
  <si>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</si>
  <si>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</si>
  <si>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</si>
  <si>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</si>
  <si>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</si>
  <si>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</si>
  <si>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</si>
  <si>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</si>
  <si>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</si>
  <si>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</si>
  <si>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</si>
  <si>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</si>
  <si>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</si>
  <si>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</si>
  <si>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</si>
  <si>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</si>
  <si>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</si>
  <si>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</si>
  <si>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</si>
  <si>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</si>
  <si>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</si>
  <si>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</si>
  <si>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</si>
  <si>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</si>
  <si>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</si>
  <si>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</si>
  <si>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</si>
  <si>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</si>
  <si>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</si>
  <si>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</si>
  <si>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</si>
  <si>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</si>
  <si>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</si>
  <si>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</si>
  <si>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</si>
  <si>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</si>
  <si>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</si>
  <si>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</si>
  <si>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</si>
  <si>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</si>
  <si>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</si>
  <si>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</si>
  <si>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</si>
  <si>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</si>
  <si>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</si>
  <si>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</si>
  <si>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</si>
  <si>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</si>
  <si>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</si>
  <si>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</si>
  <si>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</si>
  <si>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</si>
  <si>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</si>
  <si>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</si>
  <si>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</si>
  <si>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</si>
  <si>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</si>
  <si>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</si>
  <si>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</si>
  <si>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</si>
  <si>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</si>
  <si>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</si>
  <si>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</si>
  <si>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</si>
  <si>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</si>
  <si>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</si>
  <si>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</si>
  <si>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</si>
  <si>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</si>
  <si>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</si>
  <si>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</si>
  <si>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</si>
  <si>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</si>
  <si>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</si>
  <si>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</si>
  <si>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</si>
  <si>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</si>
  <si>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</si>
  <si>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</si>
  <si>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</si>
  <si>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</si>
  <si>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</si>
  <si>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</si>
  <si>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</si>
  <si>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</si>
  <si>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</si>
  <si>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</si>
  <si>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</si>
  <si>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</si>
  <si>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</si>
  <si>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</si>
  <si>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</si>
  <si>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</si>
  <si>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</si>
  <si>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</si>
  <si>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</si>
  <si>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</si>
  <si>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</si>
  <si>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</si>
  <si>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</si>
  <si>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</si>
  <si>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</si>
  <si>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</si>
  <si>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</si>
  <si>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</si>
  <si>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</si>
  <si>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</si>
  <si>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</si>
  <si>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</si>
  <si>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</si>
  <si>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</si>
  <si>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</si>
  <si>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</si>
  <si>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</si>
  <si>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</si>
  <si>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</si>
  <si>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</si>
  <si>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</si>
  <si>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</si>
  <si>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</si>
  <si>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</si>
  <si>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</si>
  <si>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</si>
  <si>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</si>
  <si>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</si>
  <si>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</si>
  <si>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</si>
  <si>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</si>
  <si>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</si>
  <si>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</si>
  <si>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</si>
  <si>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</si>
  <si>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</si>
  <si>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</si>
  <si>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</si>
  <si>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</si>
  <si>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</si>
  <si>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</si>
  <si>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</si>
  <si>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</si>
  <si>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</si>
  <si>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</si>
  <si>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</si>
  <si>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</si>
  <si>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</si>
  <si>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</si>
  <si>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</si>
  <si>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</si>
  <si>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</si>
  <si>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</si>
  <si>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</si>
  <si>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</si>
  <si>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</si>
  <si>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</si>
  <si>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</si>
  <si>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</si>
  <si>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</si>
  <si>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</si>
  <si>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</si>
  <si>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</si>
  <si>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</si>
  <si>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</si>
  <si>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</si>
  <si>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</si>
  <si>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</si>
  <si>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</si>
  <si>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</si>
  <si>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</si>
  <si>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</si>
  <si>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</si>
  <si>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</si>
  <si>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</si>
  <si>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</si>
  <si>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</si>
  <si>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</si>
  <si>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</si>
  <si>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</si>
  <si>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</si>
  <si>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</si>
  <si>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</si>
  <si>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</si>
  <si>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</si>
  <si>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</si>
  <si>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</si>
  <si>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</si>
  <si>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</si>
  <si>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</si>
  <si>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</si>
  <si>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</si>
  <si>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</si>
  <si>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</si>
  <si>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</si>
  <si>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</si>
  <si>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</si>
  <si>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</si>
  <si>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</si>
  <si>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</si>
  <si>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</si>
  <si>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</si>
  <si>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</si>
  <si>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</si>
  <si>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</si>
  <si>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</si>
  <si>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</si>
  <si>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</si>
  <si>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</si>
  <si>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</si>
  <si>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</si>
  <si>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</si>
  <si>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</si>
  <si>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</si>
  <si>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</si>
  <si>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</si>
  <si>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</si>
  <si>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</si>
  <si>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</si>
  <si>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</si>
  <si>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</si>
  <si>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</si>
  <si>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</si>
  <si>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</si>
  <si>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</si>
  <si>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</si>
  <si>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</si>
  <si>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</si>
  <si>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</si>
  <si>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</si>
  <si>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</si>
  <si>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</si>
  <si>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</si>
  <si>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</si>
  <si>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</si>
  <si>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</si>
  <si>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</si>
  <si>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</si>
  <si>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</si>
  <si>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</si>
  <si>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</si>
  <si>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</si>
  <si>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</si>
  <si>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</si>
  <si>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</si>
  <si>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</si>
  <si>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</si>
  <si>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</si>
  <si>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</si>
  <si>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</si>
  <si>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</si>
  <si>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</si>
  <si>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</si>
  <si>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</si>
  <si>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</si>
  <si>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</si>
  <si>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</si>
  <si>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</si>
  <si>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</si>
  <si>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</si>
  <si>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</si>
  <si>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</si>
  <si>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</si>
  <si>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</si>
  <si>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</si>
  <si>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</si>
  <si>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</si>
  <si>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</si>
  <si>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</si>
  <si>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</si>
  <si>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</si>
  <si>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</si>
  <si>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</si>
  <si>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</si>
  <si>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</si>
  <si>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</si>
  <si>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</si>
  <si>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</si>
  <si>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</si>
  <si>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</si>
  <si>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</si>
  <si>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</si>
  <si>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</si>
  <si>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</si>
  <si>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</si>
  <si>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</si>
  <si>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</si>
  <si>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</si>
  <si>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</si>
  <si>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</si>
  <si>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</si>
  <si>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</si>
  <si>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</si>
  <si>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</si>
  <si>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</si>
  <si>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</si>
  <si>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</si>
  <si>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</si>
  <si>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</si>
  <si>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</si>
  <si>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</si>
  <si>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</si>
  <si>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</si>
  <si>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</si>
  <si>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</si>
  <si>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</si>
  <si>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</si>
  <si>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</si>
  <si>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</si>
  <si>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</si>
  <si>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</si>
  <si>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</si>
  <si>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</si>
  <si>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</si>
  <si>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</si>
  <si>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</si>
  <si>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</si>
  <si>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</si>
  <si>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</si>
  <si>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</si>
  <si>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</si>
  <si>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</si>
  <si>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</si>
  <si>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</si>
  <si>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</si>
  <si>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</si>
  <si>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</si>
  <si>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</si>
  <si>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</si>
  <si>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</si>
  <si>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</si>
  <si>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</si>
  <si>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</si>
  <si>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</si>
  <si>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</si>
  <si>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</si>
  <si>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</si>
  <si>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</si>
  <si>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</si>
  <si>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</si>
  <si>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</si>
  <si>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</si>
  <si>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</si>
  <si>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</si>
  <si>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</si>
  <si>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</si>
  <si>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</si>
  <si>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</si>
  <si>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</si>
  <si>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</si>
  <si>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</si>
  <si>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</si>
  <si>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</si>
  <si>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</si>
  <si>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</si>
  <si>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</si>
  <si>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</si>
  <si>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</si>
  <si>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</si>
  <si>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</si>
  <si>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</si>
  <si>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</si>
  <si>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</si>
  <si>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</si>
  <si>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</si>
  <si>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</si>
  <si>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</si>
  <si>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</si>
  <si>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</si>
  <si>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</si>
  <si>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</si>
  <si>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</si>
  <si>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</si>
  <si>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</si>
  <si>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</si>
  <si>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</si>
  <si>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</si>
  <si>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</si>
  <si>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</si>
  <si>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</si>
  <si>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</si>
  <si>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</si>
  <si>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</si>
  <si>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</si>
  <si>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</si>
  <si>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</si>
  <si>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</si>
  <si>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</si>
  <si>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</si>
  <si>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</si>
  <si>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</si>
  <si>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</si>
  <si>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</si>
  <si>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</si>
  <si>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</si>
  <si>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</si>
  <si>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</si>
  <si>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</si>
  <si>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</si>
  <si>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</si>
  <si>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</si>
  <si>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</si>
  <si>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</si>
  <si>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</si>
  <si>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</si>
  <si>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</si>
  <si>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</si>
  <si>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</si>
  <si>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</si>
  <si>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</si>
  <si>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</si>
  <si>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</si>
  <si>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</si>
  <si>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</si>
  <si>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</si>
  <si>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</si>
  <si>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</si>
  <si>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</si>
  <si>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</si>
  <si>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</si>
  <si>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</si>
  <si>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</si>
  <si>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</si>
  <si>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</si>
  <si>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</si>
  <si>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</si>
  <si>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</si>
  <si>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</si>
  <si>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</si>
  <si>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</si>
  <si>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</si>
  <si>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</si>
  <si>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</si>
  <si>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</si>
  <si>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</si>
  <si>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</si>
  <si>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</si>
  <si>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</si>
  <si>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</si>
  <si>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</si>
  <si>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</si>
  <si>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</si>
  <si>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</si>
  <si>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</si>
  <si>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</si>
  <si>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</si>
  <si>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</si>
  <si>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</si>
  <si>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</si>
  <si>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</si>
  <si>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</si>
  <si>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</si>
  <si>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</si>
  <si>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</si>
  <si>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</si>
  <si>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</si>
  <si>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</si>
  <si>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</si>
  <si>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</si>
  <si>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</si>
  <si>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</si>
  <si>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</si>
  <si>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</si>
  <si>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</si>
  <si>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</si>
  <si>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</si>
  <si>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</si>
  <si>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</si>
  <si>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</si>
  <si>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</si>
  <si>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</si>
  <si>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</si>
  <si>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</si>
  <si>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</si>
  <si>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</si>
  <si>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</si>
  <si>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</si>
  <si>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</si>
  <si>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</si>
  <si>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</si>
  <si>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</si>
  <si>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</si>
  <si>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</si>
  <si>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</si>
  <si>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</si>
  <si>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</si>
  <si>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</si>
  <si>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</si>
  <si>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</si>
  <si>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</si>
  <si>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</si>
  <si>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</si>
  <si>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</si>
  <si>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</si>
  <si>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</si>
  <si>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</si>
  <si>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</si>
  <si>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</si>
  <si>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</si>
  <si>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</si>
  <si>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</si>
  <si>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</si>
  <si>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</si>
  <si>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</si>
  <si>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</si>
  <si>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</si>
  <si>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</si>
  <si>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</si>
  <si>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</si>
  <si>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</si>
  <si>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</si>
  <si>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</si>
  <si>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</si>
  <si>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</si>
  <si>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</si>
  <si>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</si>
  <si>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</si>
  <si>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</si>
  <si>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</si>
  <si>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</si>
  <si>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</si>
  <si>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</si>
  <si>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</si>
  <si>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</si>
  <si>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</si>
  <si>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</si>
  <si>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</si>
  <si>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</si>
  <si>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</si>
  <si>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</si>
  <si>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</si>
  <si>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</si>
  <si>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</si>
  <si>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</si>
  <si>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</si>
  <si>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</si>
  <si>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</si>
  <si>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</si>
  <si>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</si>
  <si>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</si>
  <si>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</si>
  <si>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</si>
  <si>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</si>
  <si>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</si>
  <si>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</si>
  <si>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</si>
  <si>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</si>
  <si>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</si>
  <si>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</si>
  <si>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</si>
  <si>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</si>
  <si>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</si>
  <si>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</si>
  <si>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</si>
  <si>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</si>
  <si>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</si>
  <si>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</si>
  <si>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</si>
  <si>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</si>
  <si>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</si>
  <si>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</si>
  <si>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</si>
  <si>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</si>
  <si>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</si>
  <si>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</si>
  <si>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</si>
  <si>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</si>
  <si>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</si>
  <si>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</si>
  <si>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</si>
  <si>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</si>
  <si>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</si>
  <si>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</si>
  <si>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</si>
  <si>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</si>
  <si>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</si>
  <si>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</si>
  <si>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</si>
  <si>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</si>
  <si>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</si>
  <si>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</si>
  <si>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</si>
  <si>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</si>
  <si>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</si>
  <si>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</si>
  <si>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</si>
  <si>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</si>
  <si>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</si>
  <si>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</si>
  <si>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</si>
  <si>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</si>
  <si>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</si>
  <si>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</si>
  <si>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</si>
  <si>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</si>
  <si>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</si>
  <si>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</si>
  <si>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</si>
  <si>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</si>
  <si>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</si>
  <si>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</si>
  <si>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</si>
  <si>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</si>
  <si>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</si>
  <si>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</si>
  <si>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</si>
  <si>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</si>
  <si>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</si>
  <si>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</si>
  <si>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</si>
  <si>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</si>
  <si>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</si>
  <si>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</si>
  <si>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</si>
  <si>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</si>
  <si>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</si>
  <si>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</si>
  <si>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</si>
  <si>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</si>
  <si>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</si>
  <si>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</si>
  <si>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</si>
  <si>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</si>
  <si>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</si>
  <si>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</si>
  <si>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</si>
  <si>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</si>
  <si>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</si>
  <si>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</si>
  <si>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</si>
  <si>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</si>
  <si>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</si>
  <si>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</si>
  <si>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</si>
  <si>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</si>
  <si>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</si>
  <si>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</si>
  <si>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</si>
  <si>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</si>
  <si>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</si>
  <si>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</si>
  <si>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</si>
  <si>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</si>
  <si>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</si>
  <si>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</si>
  <si>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</si>
  <si>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</si>
  <si>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</si>
  <si>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</si>
  <si>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</si>
  <si>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</si>
  <si>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</si>
  <si>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</si>
  <si>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</si>
  <si>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</si>
  <si>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</si>
  <si>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</si>
  <si>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</si>
  <si>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</si>
  <si>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</si>
  <si>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</si>
  <si>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</si>
  <si>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</si>
  <si>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</si>
  <si>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</si>
  <si>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</si>
  <si>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</si>
  <si>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</si>
  <si>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</si>
  <si>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</si>
  <si>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</si>
  <si>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</si>
  <si>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</si>
  <si>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</si>
  <si>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</si>
  <si>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</si>
  <si>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</si>
  <si>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</si>
  <si>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</si>
  <si>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</si>
  <si>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</si>
  <si>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</si>
  <si>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</si>
  <si>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</si>
  <si>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</si>
  <si>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</si>
  <si>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</si>
  <si>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</si>
  <si>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</si>
  <si>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</si>
  <si>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</si>
  <si>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</si>
  <si>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</si>
  <si>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</si>
  <si>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</si>
  <si>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</si>
  <si>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</si>
  <si>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</si>
  <si>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</si>
  <si>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</si>
  <si>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</si>
  <si>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</si>
  <si>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</si>
  <si>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</si>
  <si>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</si>
  <si>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</si>
  <si>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</si>
  <si>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</si>
  <si>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</si>
  <si>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</si>
  <si>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</si>
  <si>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</si>
  <si>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</si>
  <si>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</si>
  <si>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</si>
  <si>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</si>
  <si>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</si>
  <si>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</si>
  <si>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</si>
  <si>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</si>
  <si>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</si>
  <si>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</si>
  <si>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</si>
  <si>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</si>
  <si>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</si>
  <si>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</si>
  <si>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</si>
  <si>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</si>
  <si>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</si>
  <si>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</si>
  <si>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</si>
  <si>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</si>
  <si>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</si>
  <si>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</si>
  <si>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</si>
  <si>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</si>
  <si>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</si>
  <si>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</si>
  <si>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</si>
  <si>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</si>
  <si>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</si>
  <si>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</si>
  <si>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</si>
  <si>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</si>
  <si>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</si>
  <si>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</si>
  <si>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</si>
  <si>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</si>
  <si>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</si>
  <si>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</si>
  <si>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</si>
  <si>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</si>
  <si>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</si>
  <si>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</si>
  <si>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</si>
  <si>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</si>
  <si>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</si>
  <si>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</si>
  <si>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</si>
  <si>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</si>
  <si>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</si>
  <si>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</si>
  <si>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</si>
  <si>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</si>
  <si>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</si>
  <si>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</si>
  <si>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</si>
  <si>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</si>
  <si>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</si>
  <si>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</si>
  <si>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</si>
  <si>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</si>
  <si>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</si>
  <si>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</si>
  <si>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</si>
  <si>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</si>
  <si>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</si>
  <si>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</si>
  <si>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</si>
  <si>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</si>
  <si>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</si>
  <si>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</si>
  <si>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</si>
  <si>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</si>
  <si>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</si>
  <si>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</si>
  <si>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</si>
  <si>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</si>
  <si>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</si>
  <si>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</si>
  <si>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</si>
  <si>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</si>
  <si>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</si>
  <si>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</si>
  <si>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</si>
  <si>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</si>
  <si>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</si>
  <si>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</si>
  <si>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</si>
  <si>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</si>
  <si>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</si>
  <si>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</si>
  <si>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</si>
  <si>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</si>
  <si>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</si>
  <si>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</si>
  <si>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</si>
  <si>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</si>
  <si>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</si>
  <si>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</si>
  <si>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</si>
  <si>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</si>
  <si>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</si>
  <si>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</si>
  <si>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</si>
  <si>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</si>
  <si>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</si>
  <si>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</si>
  <si>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</si>
  <si>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</si>
  <si>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</si>
  <si>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</si>
  <si>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</si>
  <si>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</si>
  <si>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</si>
  <si>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</si>
  <si>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</si>
  <si>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</si>
  <si>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</si>
  <si>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</si>
  <si>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</si>
  <si>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</si>
  <si>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</si>
  <si>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</si>
  <si>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</si>
  <si>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</si>
  <si>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</si>
  <si>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</si>
  <si>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</si>
  <si>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</si>
  <si>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</si>
  <si>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</si>
  <si>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</si>
  <si>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</si>
  <si>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</si>
  <si>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</si>
  <si>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</si>
  <si>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</si>
  <si>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</si>
  <si>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</si>
  <si>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</si>
  <si>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</si>
  <si>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</si>
  <si>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</si>
  <si>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</si>
  <si>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</si>
  <si>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</si>
  <si>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</si>
  <si>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</si>
  <si>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</si>
  <si>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</si>
  <si>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</si>
  <si>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</si>
  <si>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</si>
  <si>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</si>
  <si>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</si>
  <si>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</si>
  <si>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</si>
  <si>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</si>
  <si>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</si>
  <si>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</si>
  <si>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</si>
  <si>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</si>
  <si>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</si>
  <si>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</si>
  <si>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</si>
  <si>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</si>
  <si>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</si>
  <si>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</si>
  <si>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</si>
  <si>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</si>
  <si>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</si>
  <si>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</si>
  <si>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</si>
  <si>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</si>
  <si>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</si>
  <si>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</si>
  <si>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</si>
  <si>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</si>
  <si>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</si>
  <si>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</si>
  <si>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</si>
  <si>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</si>
  <si>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</si>
  <si>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</si>
  <si>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</si>
  <si>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</si>
  <si>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</si>
  <si>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</si>
  <si>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</si>
  <si>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</si>
  <si>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</si>
  <si>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</si>
  <si>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</si>
  <si>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</si>
  <si>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</si>
  <si>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</si>
  <si>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</si>
  <si>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</si>
  <si>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</si>
  <si>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</si>
  <si>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</si>
  <si>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</si>
  <si>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</si>
  <si>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</si>
  <si>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</si>
  <si>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</si>
  <si>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</si>
  <si>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</si>
  <si>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</si>
  <si>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</si>
  <si>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</si>
  <si>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</si>
  <si>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</si>
  <si>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</si>
  <si>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</si>
  <si>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</si>
  <si>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</si>
  <si>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</si>
  <si>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</si>
  <si>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</si>
  <si>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</si>
  <si>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</si>
  <si>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</si>
  <si>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</si>
  <si>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</si>
  <si>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</si>
  <si>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</si>
  <si>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</si>
  <si>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</si>
  <si>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</si>
  <si>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</si>
  <si>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</si>
  <si>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</si>
  <si>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</si>
  <si>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</si>
  <si>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</si>
  <si>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</si>
  <si>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</si>
  <si>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</si>
  <si>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</si>
  <si>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</si>
  <si>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</si>
  <si>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</si>
  <si>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</si>
  <si>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</si>
  <si>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</si>
  <si>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</si>
  <si>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</si>
  <si>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</si>
  <si>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</si>
  <si>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</si>
  <si>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</si>
  <si>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</si>
  <si>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</si>
  <si>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</si>
  <si>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</si>
  <si>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</si>
  <si>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</si>
  <si>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</si>
  <si>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</si>
  <si>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</si>
  <si>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</si>
  <si>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</si>
  <si>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</si>
  <si>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</si>
  <si>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</si>
  <si>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</si>
  <si>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</si>
  <si>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</si>
  <si>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</si>
  <si>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</si>
  <si>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</si>
  <si>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</si>
  <si>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</si>
  <si>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</si>
  <si>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</si>
  <si>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</si>
  <si>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</si>
  <si>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</si>
  <si>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</si>
  <si>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</si>
  <si>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</si>
  <si>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</si>
  <si>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</si>
  <si>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</si>
  <si>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</si>
  <si>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</si>
  <si>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</si>
  <si>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</si>
  <si>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</si>
  <si>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</si>
  <si>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</si>
  <si>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</si>
  <si>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</si>
  <si>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</si>
  <si>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</si>
  <si>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</si>
  <si>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</si>
  <si>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</si>
  <si>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</si>
  <si>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</si>
  <si>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</si>
  <si>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</si>
  <si>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</si>
  <si>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</si>
  <si>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</si>
  <si>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</si>
  <si>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</si>
  <si>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</si>
  <si>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</si>
  <si>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</si>
  <si>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</si>
  <si>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</si>
  <si>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</si>
  <si>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</si>
  <si>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</si>
  <si>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</si>
  <si>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</si>
  <si>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</si>
  <si>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</si>
  <si>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</si>
  <si>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</si>
  <si>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</si>
  <si>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</si>
  <si>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</si>
  <si>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</si>
  <si>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</si>
  <si>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</si>
  <si>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</si>
  <si>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</si>
  <si>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</si>
  <si>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</si>
  <si>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</si>
  <si>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</si>
  <si>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</si>
  <si>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</si>
  <si>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</si>
  <si>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</si>
  <si>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</si>
  <si>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</si>
  <si>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</si>
  <si>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</si>
  <si>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</si>
  <si>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</si>
  <si>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</si>
  <si>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</si>
  <si>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</si>
  <si>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</si>
  <si>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</si>
  <si>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</si>
  <si>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</si>
  <si>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</si>
  <si>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</si>
  <si>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</si>
  <si>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</si>
  <si>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</si>
  <si>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</si>
  <si>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</si>
  <si>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</si>
  <si>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</si>
  <si>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</si>
  <si>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</si>
  <si>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</si>
  <si>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</si>
  <si>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</si>
  <si>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</si>
  <si>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</si>
  <si>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</si>
  <si>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</si>
  <si>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</si>
  <si>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</si>
  <si>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</si>
  <si>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</si>
  <si>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</si>
  <si>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</si>
  <si>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</si>
  <si>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</si>
  <si>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</si>
  <si>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</si>
  <si>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</si>
  <si>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</si>
  <si>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</si>
  <si>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</si>
  <si>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</si>
  <si>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</si>
  <si>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</si>
  <si>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</si>
  <si>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</si>
  <si>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</si>
  <si>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</si>
  <si>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</si>
  <si>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</si>
  <si>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</si>
  <si>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</si>
  <si>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</si>
  <si>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</si>
  <si>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</si>
  <si>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</si>
  <si>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</si>
  <si>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</si>
  <si>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</si>
  <si>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</si>
  <si>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</si>
  <si>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</si>
  <si>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</si>
  <si>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</si>
  <si>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</si>
  <si>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</si>
  <si>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</si>
  <si>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</si>
  <si>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</si>
  <si>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</si>
  <si>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</si>
  <si>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</si>
  <si>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</si>
  <si>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</si>
  <si>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</si>
  <si>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</si>
  <si>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</si>
  <si>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</si>
  <si>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</si>
  <si>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</si>
  <si>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</si>
  <si>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</si>
  <si>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</si>
  <si>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</si>
  <si>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</si>
  <si>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</si>
  <si>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</si>
  <si>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</si>
  <si>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</si>
  <si>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</si>
  <si>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</si>
  <si>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</si>
  <si>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</si>
  <si>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</si>
  <si>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</si>
  <si>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</si>
  <si>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</si>
  <si>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</si>
  <si>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</si>
  <si>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</si>
  <si>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</si>
  <si>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</si>
  <si>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</si>
  <si>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</si>
  <si>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</si>
  <si>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</si>
  <si>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</si>
  <si>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</si>
  <si>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</si>
  <si>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</si>
  <si>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</si>
  <si>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</si>
  <si>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</si>
  <si>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</si>
  <si>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</si>
  <si>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</si>
  <si>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</si>
  <si>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</si>
  <si>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</si>
  <si>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</si>
  <si>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</si>
  <si>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</si>
  <si>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</si>
  <si>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</si>
  <si>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</si>
  <si>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</si>
  <si>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</si>
  <si>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</si>
  <si>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</si>
  <si>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</si>
  <si>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</si>
  <si>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</si>
  <si>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</si>
  <si>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</si>
  <si>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</si>
  <si>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</si>
  <si>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</si>
  <si>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</si>
  <si>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</si>
  <si>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</si>
  <si>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</si>
  <si>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</si>
  <si>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</si>
  <si>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</si>
  <si>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</si>
  <si>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</si>
  <si>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</si>
  <si>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</si>
  <si>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</si>
  <si>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</si>
  <si>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</si>
  <si>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</si>
  <si>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</si>
  <si>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</si>
  <si>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</si>
  <si>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</si>
  <si>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</si>
  <si>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</si>
  <si>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</si>
  <si>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</si>
  <si>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</si>
  <si>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</si>
  <si>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</si>
  <si>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</si>
  <si>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</si>
  <si>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</si>
  <si>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</si>
  <si>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</si>
  <si>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</si>
  <si>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</si>
  <si>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</si>
  <si>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</si>
  <si>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</si>
  <si>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</si>
  <si>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</si>
  <si>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</si>
  <si>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</si>
  <si>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</si>
  <si>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</si>
  <si>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</si>
  <si>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</si>
  <si>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</si>
  <si>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</si>
  <si>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</si>
  <si>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</si>
  <si>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</si>
  <si>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</si>
  <si>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</si>
  <si>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</si>
  <si>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</si>
  <si>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</si>
  <si>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</si>
  <si>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</si>
  <si>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</si>
  <si>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</si>
  <si>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</si>
  <si>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</si>
  <si>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</si>
  <si>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</si>
  <si>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</si>
  <si>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</si>
  <si>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</si>
  <si>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</si>
  <si>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</si>
  <si>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</si>
  <si>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</si>
  <si>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</si>
  <si>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</si>
  <si>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</si>
  <si>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</si>
  <si>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</si>
  <si>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</si>
  <si>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</si>
  <si>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</si>
  <si>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</si>
  <si>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</si>
  <si>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</si>
  <si>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</si>
  <si>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</si>
  <si>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</si>
  <si>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</si>
  <si>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</si>
  <si>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</si>
  <si>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</si>
  <si>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</si>
  <si>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</si>
  <si>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</si>
  <si>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</si>
  <si>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</si>
  <si>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</si>
  <si>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</si>
  <si>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</si>
  <si>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</si>
  <si>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</si>
  <si>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</si>
  <si>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</si>
  <si>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</si>
  <si>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</si>
  <si>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</si>
  <si>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</si>
  <si>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</si>
  <si>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</si>
  <si>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</si>
  <si>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</si>
  <si>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</si>
  <si>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</si>
  <si>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</si>
  <si>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</si>
  <si>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</si>
  <si>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</si>
  <si>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</si>
  <si>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</si>
  <si>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</si>
  <si>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</si>
  <si>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</si>
  <si>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</si>
  <si>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</si>
  <si>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</si>
  <si>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</si>
  <si>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</si>
  <si>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</si>
  <si>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</si>
  <si>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</si>
  <si>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</si>
  <si>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</si>
  <si>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</si>
  <si>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</si>
  <si>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</si>
  <si>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</si>
  <si>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</si>
  <si>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</si>
  <si>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</si>
  <si>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</si>
  <si>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</si>
  <si>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</si>
  <si>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</si>
  <si>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</si>
  <si>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</si>
  <si>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</si>
  <si>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</si>
  <si>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</si>
  <si>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</si>
  <si>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</si>
  <si>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</si>
  <si>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</si>
  <si>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</si>
  <si>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</si>
  <si>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</si>
  <si>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</si>
  <si>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</si>
  <si>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</si>
  <si>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</si>
  <si>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</si>
  <si>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</si>
  <si>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</si>
  <si>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</si>
  <si>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</si>
  <si>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</si>
  <si>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</si>
  <si>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</si>
  <si>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</si>
  <si>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</si>
  <si>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</si>
  <si>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</si>
  <si>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</si>
  <si>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</si>
  <si>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</si>
  <si>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</si>
  <si>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</si>
  <si>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</si>
  <si>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</si>
  <si>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</si>
  <si>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</si>
  <si>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</si>
  <si>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</si>
  <si>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</si>
  <si>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</si>
  <si>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</si>
  <si>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</si>
  <si>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</si>
  <si>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</si>
  <si>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</si>
  <si>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</si>
  <si>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</si>
  <si>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</si>
  <si>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</si>
  <si>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</si>
  <si>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</si>
  <si>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</si>
  <si>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</si>
  <si>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</si>
  <si>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</si>
  <si>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</si>
  <si>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</si>
  <si>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</si>
  <si>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</si>
  <si>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</si>
  <si>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</si>
  <si>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</si>
  <si>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</si>
  <si>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</si>
  <si>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</si>
  <si>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</si>
  <si>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</si>
  <si>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</si>
  <si>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</si>
  <si>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</si>
  <si>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</si>
  <si>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</si>
  <si>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</si>
  <si>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</si>
  <si>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</si>
  <si>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</si>
  <si>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</si>
  <si>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</si>
  <si>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</si>
  <si>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</si>
  <si>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</si>
  <si>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</si>
  <si>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</si>
  <si>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</si>
  <si>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</si>
  <si>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</si>
  <si>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</si>
  <si>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</si>
  <si>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</si>
  <si>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</si>
  <si>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</si>
  <si>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</si>
  <si>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</si>
  <si>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</si>
  <si>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</si>
  <si>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</si>
  <si>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</si>
  <si>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</si>
  <si>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</si>
  <si>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</si>
  <si>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</si>
  <si>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</si>
  <si>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</si>
  <si>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</si>
  <si>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</si>
  <si>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</si>
  <si>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</si>
  <si>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</si>
  <si>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</si>
  <si>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</si>
  <si>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</si>
  <si>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</si>
  <si>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</si>
  <si>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</si>
  <si>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</si>
  <si>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</si>
  <si>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</si>
  <si>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</si>
  <si>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</si>
  <si>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</si>
  <si>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</si>
  <si>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</si>
  <si>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</si>
  <si>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</si>
  <si>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</si>
  <si>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</si>
  <si>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</si>
  <si>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</si>
  <si>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</si>
  <si>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</si>
  <si>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</si>
  <si>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</si>
  <si>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</si>
  <si>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</si>
  <si>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</si>
  <si>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</si>
  <si>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</si>
  <si>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</si>
  <si>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</si>
  <si>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</si>
  <si>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</si>
  <si>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</si>
  <si>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</si>
  <si>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</si>
  <si>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</si>
  <si>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</si>
  <si>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</si>
  <si>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</si>
  <si>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</si>
  <si>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</si>
  <si>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</si>
  <si>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</si>
  <si>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</si>
  <si>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</si>
  <si>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</si>
  <si>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</si>
  <si>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</si>
  <si>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</si>
  <si>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</si>
  <si>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</si>
  <si>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</si>
  <si>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</si>
  <si>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</si>
  <si>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</si>
  <si>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</si>
  <si>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</si>
  <si>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</si>
  <si>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</si>
  <si>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</si>
  <si>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</si>
  <si>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</si>
  <si>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</si>
  <si>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</si>
  <si>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</si>
  <si>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</si>
  <si>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</si>
  <si>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</si>
  <si>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</si>
  <si>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</si>
  <si>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</si>
  <si>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</si>
  <si>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</si>
  <si>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</si>
  <si>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</si>
  <si>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</si>
  <si>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</si>
  <si>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</si>
  <si>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</si>
  <si>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</si>
  <si>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</si>
  <si>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</si>
  <si>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</si>
  <si>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</si>
  <si>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</si>
  <si>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</si>
  <si>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</si>
  <si>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</si>
  <si>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</si>
  <si>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</si>
  <si>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</si>
  <si>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</si>
  <si>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</si>
  <si>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</si>
  <si>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</si>
  <si>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</si>
  <si>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</si>
  <si>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</si>
  <si>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</si>
  <si>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</si>
  <si>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</si>
  <si>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</si>
  <si>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</si>
  <si>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</si>
  <si>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</si>
  <si>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</si>
  <si>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</si>
  <si>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</si>
  <si>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</si>
  <si>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</si>
  <si>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</si>
  <si>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</si>
  <si>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</si>
  <si>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</si>
  <si>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</si>
  <si>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</si>
  <si>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</si>
  <si>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</si>
  <si>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</si>
  <si>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</si>
  <si>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</si>
  <si>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</si>
  <si>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</si>
  <si>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</si>
  <si>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</si>
  <si>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</si>
  <si>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</si>
  <si>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</si>
  <si>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</si>
  <si>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</si>
  <si>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</si>
  <si>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</si>
  <si>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</si>
  <si>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</si>
  <si>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</si>
  <si>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</si>
  <si>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</si>
  <si>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</si>
  <si>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</si>
  <si>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</si>
  <si>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</si>
  <si>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</si>
  <si>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</si>
  <si>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</si>
  <si>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</si>
  <si>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</si>
  <si>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</si>
  <si>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</si>
  <si>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</si>
  <si>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</si>
  <si>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</si>
  <si>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</si>
  <si>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</si>
  <si>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</si>
  <si>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</si>
  <si>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</si>
  <si>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</si>
  <si>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</si>
  <si>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</si>
  <si>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</si>
  <si>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</si>
  <si>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</si>
  <si>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</si>
  <si>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</si>
  <si>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</si>
  <si>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</si>
  <si>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</si>
  <si>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</si>
  <si>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</si>
  <si>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</si>
  <si>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</si>
  <si>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</si>
  <si>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</si>
  <si>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</si>
  <si>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</si>
  <si>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</si>
  <si>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</si>
  <si>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</si>
  <si>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</si>
  <si>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</si>
  <si>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</si>
  <si>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</si>
  <si>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</si>
  <si>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</si>
  <si>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</si>
  <si>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</si>
  <si>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</si>
  <si>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</si>
  <si>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</si>
  <si>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</si>
  <si>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</si>
  <si>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</si>
  <si>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</si>
  <si>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</si>
  <si>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</si>
  <si>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</si>
  <si>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</si>
  <si>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</si>
  <si>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</si>
  <si>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</si>
  <si>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</si>
  <si>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</si>
  <si>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</si>
  <si>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</si>
  <si>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</si>
  <si>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</si>
  <si>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</si>
  <si>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</si>
  <si>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</si>
  <si>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</si>
  <si>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</si>
  <si>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</si>
  <si>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</si>
  <si>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</si>
  <si>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</si>
  <si>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</si>
  <si>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</si>
  <si>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</si>
  <si>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</si>
  <si>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</si>
  <si>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</si>
  <si>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</si>
  <si>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</si>
  <si>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</si>
  <si>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</si>
  <si>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</si>
  <si>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</si>
  <si>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</si>
  <si>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</si>
  <si>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</si>
  <si>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</si>
  <si>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</si>
  <si>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</si>
  <si>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</si>
  <si>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</si>
  <si>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</si>
  <si>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</si>
  <si>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</si>
  <si>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</si>
  <si>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</si>
  <si>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</si>
  <si>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</si>
  <si>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</si>
  <si>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</si>
  <si>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</si>
  <si>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</si>
  <si>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</si>
  <si>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</si>
  <si>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</si>
  <si>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</si>
  <si>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</si>
  <si>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</si>
  <si>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</si>
  <si>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</si>
  <si>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</si>
  <si>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</si>
  <si>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</si>
  <si>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</si>
  <si>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</si>
  <si>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</si>
  <si>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</si>
  <si>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</si>
  <si>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</si>
  <si>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</si>
  <si>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</si>
  <si>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</si>
  <si>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</si>
  <si>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</si>
  <si>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</si>
  <si>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</si>
  <si>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</si>
  <si>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</si>
  <si>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</si>
  <si>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</si>
  <si>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</si>
  <si>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</si>
  <si>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</si>
  <si>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</si>
  <si>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</si>
  <si>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</si>
  <si>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</si>
  <si>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</si>
  <si>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</si>
  <si>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</si>
  <si>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</si>
  <si>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</si>
  <si>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</si>
  <si>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</si>
  <si>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</si>
  <si>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</si>
  <si>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</si>
  <si>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</si>
  <si>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</si>
  <si>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</si>
  <si>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</si>
  <si>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</si>
  <si>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</si>
  <si>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</si>
  <si>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</si>
  <si>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</si>
  <si>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</si>
  <si>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</si>
  <si>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</si>
  <si>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</si>
  <si>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</si>
  <si>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</si>
  <si>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</si>
  <si>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</si>
  <si>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</si>
  <si>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</si>
  <si>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</si>
  <si>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</si>
  <si>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</si>
  <si>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</si>
  <si>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</si>
  <si>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</si>
  <si>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</si>
  <si>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</si>
  <si>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</si>
  <si>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</si>
  <si>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</si>
  <si>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</si>
  <si>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</si>
  <si>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</si>
  <si>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</si>
  <si>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</si>
  <si>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</si>
  <si>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</si>
  <si>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</si>
  <si>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</si>
  <si>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</si>
  <si>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</si>
  <si>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</si>
  <si>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</si>
  <si>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</si>
  <si>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</si>
  <si>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</si>
  <si>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</si>
  <si>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</si>
  <si>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</si>
  <si>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</si>
  <si>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</si>
  <si>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</si>
  <si>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</si>
  <si>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</si>
  <si>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</si>
  <si>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</si>
  <si>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</si>
  <si>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</si>
  <si>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</si>
  <si>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</si>
  <si>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</si>
  <si>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</si>
  <si>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</si>
  <si>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</si>
  <si>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</si>
  <si>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</si>
  <si>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</si>
  <si>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</si>
  <si>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</si>
  <si>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</si>
  <si>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</si>
  <si>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</si>
  <si>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</si>
  <si>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</si>
  <si>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</si>
  <si>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</si>
  <si>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</si>
  <si>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</si>
  <si>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</si>
  <si>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</si>
  <si>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</si>
  <si>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</si>
  <si>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</si>
  <si>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</si>
  <si>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</si>
  <si>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</si>
  <si>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</si>
  <si>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</si>
  <si>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</si>
  <si>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</si>
  <si>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</si>
  <si>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</si>
  <si>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</si>
  <si>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</si>
  <si>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</si>
  <si>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</si>
  <si>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</si>
  <si>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</si>
  <si>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</si>
  <si>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</si>
  <si>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</si>
  <si>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</si>
  <si>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</si>
  <si>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</si>
  <si>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</si>
  <si>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</si>
  <si>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</si>
  <si>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</si>
  <si>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</si>
  <si>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</si>
  <si>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</si>
  <si>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</si>
  <si>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</si>
  <si>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</si>
  <si>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</si>
  <si>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</si>
  <si>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</si>
  <si>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</si>
  <si>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</si>
  <si>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</si>
  <si>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</si>
  <si>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</si>
  <si>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</si>
  <si>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</si>
  <si>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</si>
  <si>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</si>
  <si>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</si>
  <si>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</si>
  <si>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</si>
  <si>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</si>
  <si>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</si>
  <si>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</si>
  <si>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</si>
  <si>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</si>
  <si>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</si>
  <si>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</si>
  <si>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</si>
  <si>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</si>
  <si>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</si>
  <si>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</si>
  <si>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</si>
  <si>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</si>
  <si>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</si>
  <si>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</si>
  <si>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</si>
  <si>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</si>
  <si>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</si>
  <si>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</si>
  <si>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</si>
  <si>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</si>
  <si>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</si>
  <si>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</si>
  <si>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</si>
  <si>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</si>
  <si>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</si>
  <si>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</si>
  <si>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</si>
  <si>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</si>
  <si>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</si>
  <si>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</si>
  <si>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</si>
  <si>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</si>
  <si>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</si>
  <si>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</si>
  <si>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</si>
  <si>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</si>
  <si>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</si>
  <si>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</si>
  <si>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</si>
  <si>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</si>
  <si>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</si>
  <si>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</si>
  <si>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</si>
  <si>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</si>
  <si>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</si>
  <si>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</si>
  <si>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</si>
  <si>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</si>
  <si>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</si>
  <si>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</si>
  <si>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</si>
  <si>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</si>
  <si>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</si>
  <si>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</si>
  <si>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</si>
  <si>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</si>
  <si>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</si>
  <si>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</si>
  <si>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</si>
  <si>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</si>
  <si>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</si>
  <si>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</si>
  <si>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</si>
  <si>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</si>
  <si>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</si>
  <si>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</si>
  <si>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</si>
  <si>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</si>
  <si>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</si>
  <si>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</si>
  <si>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</si>
  <si>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</si>
  <si>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</si>
  <si>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</si>
  <si>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</si>
  <si>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</si>
  <si>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</si>
  <si>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</si>
  <si>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</si>
  <si>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</si>
  <si>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</si>
  <si>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</si>
  <si>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</si>
  <si>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</si>
  <si>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</si>
  <si>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</si>
  <si>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</si>
  <si>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</si>
  <si>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</si>
  <si>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</si>
  <si>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</si>
  <si>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</si>
  <si>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</si>
  <si>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</si>
  <si>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</si>
  <si>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</si>
  <si>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</si>
  <si>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</si>
  <si>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</si>
  <si>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</si>
  <si>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</si>
  <si>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</si>
  <si>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</si>
  <si>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</si>
  <si>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</si>
  <si>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</si>
  <si>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</si>
  <si>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</si>
  <si>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</si>
  <si>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</si>
  <si>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</si>
  <si>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</si>
  <si>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</si>
  <si>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</si>
  <si>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</si>
  <si>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</si>
  <si>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</si>
  <si>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</si>
  <si>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</si>
  <si>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</si>
  <si>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</si>
  <si>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</si>
  <si>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</si>
  <si>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</si>
  <si>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</si>
  <si>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</si>
  <si>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</si>
  <si>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</si>
  <si>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</si>
  <si>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</si>
  <si>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</si>
  <si>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</si>
  <si>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</si>
  <si>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</si>
  <si>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</si>
  <si>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</si>
  <si>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</si>
  <si>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</si>
  <si>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</si>
  <si>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</si>
  <si>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</si>
  <si>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</si>
  <si>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</si>
  <si>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</si>
  <si>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</si>
  <si>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</si>
  <si>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</si>
  <si>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</si>
  <si>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</si>
  <si>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</si>
  <si>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</si>
  <si>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</si>
  <si>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</si>
  <si>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</si>
  <si>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</si>
  <si>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</si>
  <si>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</si>
  <si>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</si>
  <si>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</si>
  <si>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</si>
  <si>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</si>
  <si>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</si>
  <si>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</si>
  <si>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</si>
  <si>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</si>
  <si>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</si>
  <si>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</si>
  <si>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</si>
  <si>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</si>
  <si>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</si>
  <si>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</si>
  <si>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</si>
  <si>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</si>
  <si>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</si>
  <si>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</si>
  <si>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</si>
  <si>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</si>
  <si>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</si>
  <si>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</si>
  <si>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</si>
  <si>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</si>
  <si>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</si>
  <si>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</si>
  <si>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</si>
  <si>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</si>
  <si>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</si>
  <si>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</si>
  <si>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</si>
  <si>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</si>
  <si>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</si>
  <si>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</si>
  <si>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</si>
  <si>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</si>
  <si>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</si>
  <si>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</si>
  <si>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</si>
  <si>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</si>
  <si>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</si>
  <si>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</si>
  <si>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</si>
  <si>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</si>
  <si>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</si>
  <si>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</si>
  <si>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</si>
  <si>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</si>
  <si>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</si>
  <si>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</si>
  <si>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</si>
  <si>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</si>
  <si>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</si>
  <si>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</si>
  <si>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</si>
  <si>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</si>
  <si>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</si>
  <si>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</si>
  <si>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</si>
  <si>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</si>
  <si>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</si>
  <si>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</si>
  <si>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</si>
  <si>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</si>
  <si>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</si>
  <si>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</si>
  <si>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</si>
  <si>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</si>
  <si>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</si>
  <si>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</si>
  <si>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</si>
  <si>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</si>
  <si>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</si>
  <si>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</si>
  <si>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</si>
  <si>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</si>
  <si>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</si>
  <si>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</si>
  <si>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</si>
  <si>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</si>
  <si>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</si>
  <si>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</si>
  <si>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</si>
  <si>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</si>
  <si>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</si>
  <si>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</si>
  <si>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</si>
  <si>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</si>
  <si>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</si>
  <si>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</si>
  <si>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</si>
  <si>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</si>
  <si>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</si>
  <si>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</si>
  <si>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</si>
  <si>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</si>
  <si>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</si>
  <si>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</si>
  <si>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</si>
  <si>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</si>
  <si>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</si>
  <si>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</si>
  <si>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</si>
  <si>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</si>
  <si>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</si>
  <si>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</si>
  <si>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</si>
  <si>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</si>
  <si>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</si>
  <si>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</si>
  <si>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</si>
  <si>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</si>
  <si>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</si>
  <si>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</si>
  <si>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</si>
  <si>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</si>
  <si>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</si>
  <si>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</si>
  <si>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</si>
  <si>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</si>
  <si>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</si>
  <si>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</si>
  <si>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</si>
  <si>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</si>
  <si>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</si>
  <si>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</si>
  <si>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</si>
  <si>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</si>
  <si>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</si>
  <si>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</si>
  <si>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</si>
  <si>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</si>
  <si>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</si>
  <si>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</si>
  <si>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</si>
  <si>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</si>
  <si>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</si>
  <si>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</si>
  <si>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</si>
  <si>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</si>
  <si>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</si>
  <si>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</si>
  <si>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</si>
  <si>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</si>
  <si>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</si>
  <si>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</si>
  <si>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</si>
  <si>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</si>
  <si>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</si>
  <si>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</si>
  <si>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</si>
  <si>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</si>
  <si>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</si>
  <si>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</si>
  <si>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</si>
  <si>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</si>
  <si>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</si>
  <si>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</si>
  <si>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</si>
  <si>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</si>
  <si>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</si>
  <si>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</si>
  <si>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</si>
  <si>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</si>
  <si>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</si>
  <si>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</si>
  <si>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</si>
  <si>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</si>
  <si>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</si>
  <si>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</si>
  <si>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</si>
  <si>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</si>
  <si>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</si>
  <si>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</si>
  <si>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</si>
  <si>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</si>
  <si>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</si>
  <si>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</si>
  <si>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</si>
  <si>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</si>
  <si>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</si>
  <si>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</si>
  <si>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</si>
  <si>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</si>
  <si>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</si>
  <si>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</si>
  <si>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</si>
  <si>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</si>
  <si>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</si>
  <si>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</si>
  <si>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</si>
  <si>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</si>
  <si>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</si>
  <si>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</si>
  <si>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</si>
  <si>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</si>
  <si>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</si>
  <si>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</si>
  <si>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</si>
  <si>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</si>
  <si>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</si>
  <si>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</si>
  <si>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</si>
  <si>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</si>
  <si>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</si>
  <si>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</si>
  <si>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</si>
  <si>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</si>
  <si>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</si>
  <si>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</si>
  <si>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</si>
  <si>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</si>
  <si>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</si>
  <si>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</si>
  <si>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</si>
  <si>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</si>
  <si>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</si>
  <si>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</si>
  <si>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</si>
  <si>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</si>
  <si>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</si>
  <si>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</si>
  <si>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</si>
  <si>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</si>
  <si>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</si>
  <si>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</si>
  <si>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</si>
  <si>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</si>
  <si>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</si>
  <si>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</si>
  <si>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</si>
  <si>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</si>
  <si>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</si>
  <si>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</si>
  <si>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</si>
  <si>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</si>
  <si>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</si>
  <si>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</si>
  <si>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</si>
  <si>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</si>
  <si>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</si>
  <si>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</si>
  <si>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</si>
  <si>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</si>
  <si>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</si>
  <si>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</si>
  <si>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</si>
  <si>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</si>
  <si>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</si>
  <si>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</si>
  <si>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</si>
  <si>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</si>
  <si>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</si>
  <si>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</si>
  <si>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</si>
  <si>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</si>
  <si>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</si>
  <si>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</si>
  <si>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</si>
  <si>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</si>
  <si>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</si>
  <si>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</si>
  <si>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</si>
  <si>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</si>
  <si>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</si>
  <si>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</si>
  <si>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</si>
  <si>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</si>
  <si>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</si>
  <si>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</si>
  <si>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</si>
  <si>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</si>
  <si>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</si>
  <si>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</si>
  <si>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</si>
  <si>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</si>
  <si>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</si>
  <si>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</si>
  <si>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</si>
  <si>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</si>
  <si>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</si>
  <si>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</si>
  <si>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</si>
  <si>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</si>
  <si>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</si>
  <si>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</si>
  <si>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</si>
  <si>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</si>
  <si>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</si>
  <si>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</si>
  <si>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</si>
  <si>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</si>
  <si>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</si>
  <si>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</si>
  <si>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</si>
  <si>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</si>
  <si>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</si>
  <si>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</si>
  <si>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</si>
  <si>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</si>
  <si>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</si>
  <si>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</si>
  <si>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</si>
  <si>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</si>
  <si>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</si>
  <si>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</si>
  <si>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</si>
  <si>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</si>
  <si>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</si>
  <si>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</si>
  <si>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</si>
  <si>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</si>
  <si>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</si>
  <si>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</si>
  <si>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</si>
  <si>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</si>
  <si>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</si>
  <si>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</si>
  <si>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</si>
  <si>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</si>
  <si>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</si>
  <si>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</si>
  <si>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</si>
  <si>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</si>
  <si>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</si>
  <si>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</si>
  <si>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</si>
  <si>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</si>
  <si>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</si>
  <si>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</si>
  <si>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</si>
  <si>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</si>
  <si>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</si>
  <si>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</si>
  <si>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</si>
  <si>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</si>
  <si>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</si>
  <si>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</si>
  <si>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</si>
  <si>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</si>
  <si>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</si>
  <si>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</si>
  <si>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</si>
  <si>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</si>
  <si>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</si>
  <si>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</si>
  <si>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</si>
  <si>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</si>
  <si>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</si>
  <si>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</si>
  <si>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</si>
  <si>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</si>
  <si>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</si>
  <si>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</si>
  <si>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</si>
  <si>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</si>
  <si>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</si>
  <si>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</si>
  <si>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</si>
  <si>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</si>
  <si>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</si>
  <si>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</si>
  <si>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</si>
  <si>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</si>
  <si>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</si>
  <si>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</si>
  <si>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</si>
  <si>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</si>
  <si>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</si>
  <si>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</si>
  <si>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</si>
  <si>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</si>
  <si>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</si>
  <si>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</si>
  <si>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</si>
  <si>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</si>
  <si>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</si>
  <si>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</si>
  <si>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</si>
  <si>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</si>
  <si>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</si>
  <si>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</si>
  <si>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</si>
  <si>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</si>
  <si>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</si>
  <si>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</si>
  <si>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</si>
  <si>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</si>
  <si>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</si>
  <si>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</si>
  <si>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</si>
  <si>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</si>
  <si>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</si>
  <si>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</si>
  <si>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</si>
  <si>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</si>
  <si>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</si>
  <si>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</si>
  <si>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</si>
  <si>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</si>
  <si>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</si>
  <si>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</si>
  <si>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</si>
  <si>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</si>
  <si>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</si>
  <si>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</si>
  <si>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</si>
  <si>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</si>
  <si>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</si>
  <si>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</si>
  <si>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</si>
  <si>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</si>
  <si>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</si>
  <si>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</si>
  <si>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</si>
  <si>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</si>
  <si>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</si>
  <si>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</si>
  <si>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</si>
  <si>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</si>
  <si>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</si>
  <si>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</si>
  <si>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</si>
  <si>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</si>
  <si>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</si>
  <si>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</si>
  <si>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</si>
  <si>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</si>
  <si>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</si>
  <si>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</si>
  <si>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</si>
  <si>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</si>
  <si>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</si>
  <si>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</si>
  <si>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</si>
  <si>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</si>
  <si>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</si>
  <si>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</si>
  <si>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</si>
  <si>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</si>
  <si>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</si>
  <si>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</si>
  <si>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</si>
  <si>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</si>
  <si>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</si>
  <si>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</si>
  <si>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</si>
  <si>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</si>
  <si>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</si>
  <si>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</si>
  <si>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</si>
  <si>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</si>
  <si>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</si>
  <si>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</si>
  <si>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</si>
  <si>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</si>
  <si>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</si>
  <si>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</si>
  <si>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</si>
  <si>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</si>
  <si>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</si>
  <si>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</si>
  <si>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</si>
  <si>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</si>
  <si>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</si>
  <si>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</si>
  <si>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</si>
  <si>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</si>
  <si>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</si>
  <si>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</si>
  <si>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</si>
  <si>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</si>
  <si>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</si>
  <si>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</si>
  <si>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</si>
  <si>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</si>
  <si>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</si>
  <si>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</si>
  <si>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</si>
  <si>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</si>
  <si>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</si>
  <si>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</si>
  <si>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</si>
  <si>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</si>
  <si>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</si>
  <si>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</si>
  <si>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</si>
  <si>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</si>
  <si>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</si>
  <si>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</si>
  <si>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</si>
  <si>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</si>
  <si>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</si>
  <si>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</si>
  <si>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</si>
  <si>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</si>
  <si>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</si>
  <si>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</si>
  <si>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</si>
  <si>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</si>
  <si>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</si>
  <si>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</si>
  <si>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</si>
  <si>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</si>
  <si>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</si>
  <si>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</si>
  <si>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</si>
  <si>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</si>
  <si>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</si>
  <si>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</si>
  <si>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</si>
  <si>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</si>
  <si>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</si>
  <si>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</si>
  <si>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</si>
  <si>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</si>
  <si>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</si>
  <si>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</si>
  <si>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</si>
  <si>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</si>
  <si>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</si>
  <si>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</si>
  <si>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</si>
  <si>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</si>
  <si>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</si>
  <si>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</si>
  <si>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</si>
  <si>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</si>
  <si>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</si>
  <si>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</si>
  <si>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</si>
  <si>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</si>
  <si>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</si>
  <si>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</si>
  <si>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</si>
  <si>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</si>
  <si>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</si>
  <si>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</si>
  <si>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</si>
  <si>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</si>
  <si>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</si>
  <si>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</si>
  <si>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</si>
  <si>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</si>
  <si>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</si>
  <si>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</si>
  <si>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</si>
  <si>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</si>
  <si>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</si>
  <si>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</si>
  <si>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</si>
  <si>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</si>
  <si>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</si>
  <si>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</si>
  <si>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</si>
  <si>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</si>
  <si>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</si>
  <si>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</si>
  <si>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</si>
  <si>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</si>
  <si>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</si>
  <si>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</si>
  <si>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</si>
  <si>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</si>
  <si>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</si>
  <si>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</si>
  <si>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</si>
  <si>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</si>
  <si>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</si>
  <si>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</si>
  <si>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</si>
  <si>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</si>
  <si>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</si>
  <si>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</si>
  <si>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</si>
  <si>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</si>
  <si>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</si>
  <si>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</si>
  <si>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</si>
  <si>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</si>
  <si>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</si>
  <si>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</si>
  <si>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</si>
  <si>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</si>
  <si>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</si>
  <si>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</si>
  <si>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</si>
  <si>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</si>
  <si>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</si>
  <si>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</si>
  <si>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</si>
  <si>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</si>
  <si>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</si>
  <si>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</si>
  <si>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</si>
  <si>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</si>
  <si>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</si>
  <si>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</si>
  <si>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</si>
  <si>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</si>
  <si>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</si>
  <si>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</si>
  <si>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</si>
  <si>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</si>
  <si>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</si>
  <si>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</si>
  <si>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</si>
  <si>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</si>
  <si>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</si>
  <si>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</si>
  <si>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</si>
  <si>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</si>
  <si>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</si>
  <si>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</si>
  <si>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</si>
  <si>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</si>
  <si>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</si>
  <si>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</si>
  <si>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</si>
  <si>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</si>
  <si>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</si>
  <si>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</si>
  <si>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</si>
  <si>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</si>
  <si>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</si>
  <si>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</si>
  <si>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</si>
  <si>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</si>
  <si>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</si>
  <si>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</si>
  <si>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</si>
  <si>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</si>
  <si>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</si>
  <si>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</si>
  <si>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</si>
  <si>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</si>
  <si>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</si>
  <si>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</si>
  <si>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</si>
  <si>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</si>
  <si>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</si>
  <si>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</si>
  <si>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</si>
  <si>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</si>
  <si>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</si>
  <si>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</si>
  <si>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</si>
  <si>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</si>
  <si>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</si>
  <si>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</si>
  <si>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</si>
  <si>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</si>
  <si>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</si>
  <si>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</si>
  <si>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</si>
  <si>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</si>
  <si>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</si>
  <si>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</si>
  <si>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</si>
  <si>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</si>
  <si>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</si>
  <si>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</si>
  <si>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</si>
  <si>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</si>
  <si>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</si>
  <si>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</si>
  <si>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</si>
  <si>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</si>
  <si>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</si>
  <si>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</si>
  <si>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</si>
  <si>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</si>
  <si>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</si>
  <si>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</si>
  <si>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</si>
  <si>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</si>
  <si>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</si>
  <si>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</si>
  <si>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</si>
  <si>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</si>
  <si>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</si>
  <si>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</si>
  <si>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</si>
  <si>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</si>
  <si>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</si>
  <si>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</si>
  <si>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</si>
  <si>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</si>
  <si>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</si>
  <si>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</si>
  <si>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</si>
  <si>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</si>
  <si>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</si>
  <si>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</si>
  <si>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</si>
  <si>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</si>
  <si>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</si>
  <si>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</si>
  <si>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</si>
  <si>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</si>
  <si>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</si>
  <si>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</si>
  <si>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</si>
  <si>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</si>
  <si>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</si>
  <si>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</si>
  <si>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</si>
  <si>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</si>
  <si>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</si>
  <si>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</si>
  <si>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</si>
  <si>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</si>
  <si>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</si>
  <si>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</si>
  <si>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</si>
  <si>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</si>
  <si>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</si>
  <si>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</si>
  <si>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</si>
  <si>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</si>
  <si>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</si>
  <si>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</si>
  <si>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</si>
  <si>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</si>
  <si>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</si>
  <si>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</si>
  <si>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</si>
  <si>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</si>
  <si>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</si>
  <si>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</si>
  <si>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</si>
  <si>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</si>
  <si>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</si>
  <si>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</si>
  <si>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</si>
  <si>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</si>
  <si>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</si>
  <si>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</si>
  <si>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</si>
  <si>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</si>
  <si>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</si>
  <si>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</si>
  <si>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</si>
  <si>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</si>
  <si>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</si>
  <si>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</si>
  <si>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</si>
  <si>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</si>
  <si>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</si>
  <si>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</si>
  <si>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</si>
  <si>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</si>
  <si>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</si>
  <si>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</si>
  <si>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</si>
  <si>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</si>
  <si>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</si>
  <si>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</si>
  <si>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</si>
  <si>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</si>
  <si>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</si>
  <si>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</si>
  <si>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</si>
  <si>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</si>
  <si>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</si>
  <si>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</si>
  <si>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</si>
  <si>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</si>
  <si>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</si>
  <si>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</si>
  <si>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</si>
  <si>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</si>
  <si>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</si>
  <si>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</si>
  <si>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</si>
  <si>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</si>
  <si>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</si>
  <si>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</si>
  <si>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</si>
  <si>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</si>
  <si>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</si>
  <si>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</si>
  <si>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</si>
  <si>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</si>
  <si>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</si>
  <si>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</si>
  <si>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</si>
  <si>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</si>
  <si>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</si>
  <si>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</si>
  <si>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</si>
  <si>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</si>
  <si>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</si>
  <si>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</si>
  <si>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</si>
  <si>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</si>
  <si>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</si>
  <si>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</si>
  <si>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</si>
  <si>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</si>
  <si>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</si>
  <si>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</si>
  <si>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</si>
  <si>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</si>
  <si>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</si>
  <si>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</si>
  <si>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</si>
  <si>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</si>
  <si>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</si>
  <si>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</si>
  <si>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</si>
  <si>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</si>
  <si>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</si>
  <si>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</si>
  <si>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</si>
  <si>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</si>
  <si>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</si>
  <si>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</si>
  <si>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</si>
  <si>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</si>
  <si>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</si>
  <si>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</si>
  <si>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</si>
  <si>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</si>
  <si>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</si>
  <si>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</si>
  <si>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</si>
  <si>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</si>
  <si>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</si>
  <si>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</si>
  <si>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</si>
  <si>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</si>
  <si>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</si>
  <si>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</si>
  <si>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</si>
  <si>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</si>
  <si>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</si>
  <si>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</si>
  <si>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</si>
  <si>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</si>
  <si>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</si>
  <si>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</si>
  <si>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</si>
  <si>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</si>
  <si>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</si>
  <si>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</si>
  <si>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</si>
  <si>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</si>
  <si>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</si>
  <si>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</si>
  <si>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</si>
  <si>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</si>
  <si>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</si>
  <si>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</si>
  <si>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</si>
  <si>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</si>
  <si>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</si>
  <si>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</si>
  <si>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</si>
  <si>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</si>
  <si>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</si>
  <si>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</si>
  <si>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</si>
  <si>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</si>
  <si>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</si>
  <si>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</si>
  <si>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</si>
  <si>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</si>
  <si>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</si>
  <si>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</si>
  <si>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</si>
  <si>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</si>
  <si>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</si>
  <si>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</si>
  <si>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</si>
  <si>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</si>
  <si>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</si>
  <si>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</si>
  <si>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</si>
  <si>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</si>
  <si>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</si>
  <si>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</si>
  <si>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</si>
  <si>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</si>
  <si>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</si>
  <si>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</si>
  <si>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</si>
  <si>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</si>
  <si>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</si>
  <si>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</si>
  <si>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</si>
  <si>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</si>
  <si>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</si>
  <si>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</si>
  <si>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</si>
  <si>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</si>
  <si>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</si>
  <si>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</si>
  <si>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</si>
  <si>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</si>
  <si>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</si>
  <si>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</si>
  <si>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</si>
  <si>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</si>
  <si>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</si>
  <si>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</si>
  <si>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</si>
  <si>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</si>
  <si>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</si>
  <si>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</si>
  <si>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</si>
  <si>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</si>
  <si>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</si>
  <si>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</si>
  <si>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</si>
  <si>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</si>
  <si>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</si>
  <si>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</si>
  <si>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</si>
  <si>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</si>
  <si>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</si>
  <si>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</si>
  <si>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</si>
  <si>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</si>
  <si>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</si>
  <si>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</si>
  <si>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</si>
  <si>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</si>
  <si>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</si>
  <si>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</si>
  <si>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</si>
  <si>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</si>
  <si>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</si>
  <si>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</si>
  <si>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</si>
  <si>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</si>
  <si>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</si>
  <si>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</si>
  <si>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</si>
  <si>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</si>
  <si>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</si>
  <si>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</si>
  <si>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</si>
  <si>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</si>
  <si>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</si>
  <si>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</si>
  <si>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</si>
  <si>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</si>
  <si>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</si>
  <si>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</si>
  <si>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</si>
  <si>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</si>
  <si>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</si>
  <si>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</si>
  <si>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</si>
  <si>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</si>
  <si>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</si>
  <si>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</si>
  <si>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</si>
  <si>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</si>
  <si>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</si>
  <si>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</si>
  <si>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</si>
  <si>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</si>
  <si>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</si>
  <si>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</si>
  <si>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</si>
  <si>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</si>
  <si>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</si>
  <si>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</si>
  <si>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</si>
  <si>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</si>
  <si>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</si>
  <si>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</si>
  <si>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</si>
  <si>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</si>
  <si>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</si>
  <si>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</si>
  <si>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</si>
  <si>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</si>
  <si>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</si>
  <si>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</si>
  <si>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</si>
  <si>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</si>
  <si>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</si>
  <si>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</si>
  <si>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</si>
  <si>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</si>
  <si>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</si>
  <si>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</si>
  <si>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</si>
  <si>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</si>
  <si>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</si>
  <si>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</si>
  <si>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</si>
  <si>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</si>
  <si>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</si>
  <si>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</si>
  <si>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</si>
  <si>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</si>
  <si>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</si>
  <si>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</si>
  <si>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</si>
  <si>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</si>
  <si>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</si>
  <si>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</si>
  <si>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</si>
  <si>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</si>
  <si>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</si>
  <si>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</si>
  <si>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</si>
  <si>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</si>
  <si>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</si>
  <si>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</si>
  <si>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</si>
  <si>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</si>
  <si>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</si>
  <si>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</si>
  <si>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</si>
  <si>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</si>
  <si>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</si>
  <si>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</si>
  <si>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</si>
  <si>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</si>
  <si>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</si>
  <si>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</si>
  <si>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</si>
  <si>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</si>
  <si>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</si>
  <si>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</si>
  <si>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</si>
  <si>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</si>
  <si>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</si>
  <si>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</si>
  <si>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</si>
  <si>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</si>
  <si>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</si>
  <si>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</si>
  <si>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</si>
  <si>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</si>
  <si>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</si>
  <si>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</si>
  <si>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</si>
  <si>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</si>
  <si>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</si>
  <si>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</si>
  <si>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</si>
  <si>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</si>
  <si>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</si>
  <si>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</si>
  <si>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</si>
  <si>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</si>
  <si>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</si>
  <si>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</si>
  <si>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</si>
  <si>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</si>
  <si>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</si>
  <si>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</si>
  <si>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</si>
  <si>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</si>
  <si>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</si>
  <si>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</si>
  <si>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</si>
  <si>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</si>
  <si>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</si>
  <si>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</si>
  <si>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</si>
  <si>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</si>
  <si>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</si>
  <si>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</si>
  <si>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</si>
  <si>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</si>
  <si>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</si>
  <si>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</si>
  <si>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</si>
  <si>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</si>
  <si>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</si>
  <si>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</si>
  <si>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</si>
  <si>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</si>
  <si>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</si>
  <si>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</si>
  <si>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</si>
  <si>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</si>
  <si>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</si>
  <si>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</si>
  <si>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</si>
  <si>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</si>
  <si>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</si>
  <si>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</si>
  <si>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</si>
  <si>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</si>
  <si>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</si>
  <si>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</si>
  <si>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</si>
  <si>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</si>
  <si>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</si>
  <si>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</si>
  <si>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</si>
  <si>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</si>
  <si>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</si>
  <si>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</si>
  <si>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</si>
  <si>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</si>
  <si>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</si>
  <si>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</si>
  <si>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</si>
  <si>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</si>
  <si>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</si>
  <si>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</si>
  <si>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</si>
  <si>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</si>
  <si>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</si>
  <si>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</si>
  <si>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</si>
  <si>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</si>
  <si>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</si>
  <si>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</si>
  <si>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</si>
  <si>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</si>
  <si>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</si>
  <si>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</si>
  <si>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</si>
  <si>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</si>
  <si>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</si>
  <si>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</si>
  <si>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</si>
  <si>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</si>
  <si>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</si>
  <si>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</si>
  <si>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</si>
  <si>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</si>
  <si>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</si>
  <si>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</si>
  <si>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</si>
  <si>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</si>
  <si>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</si>
  <si>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</si>
  <si>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</si>
  <si>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</si>
  <si>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</si>
  <si>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</si>
  <si>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</si>
  <si>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</si>
  <si>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</si>
  <si>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</si>
  <si>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</si>
  <si>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</si>
  <si>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</si>
  <si>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</si>
  <si>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</si>
  <si>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</si>
  <si>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</si>
  <si>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</si>
  <si>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</si>
  <si>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</si>
  <si>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</si>
  <si>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</si>
  <si>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</si>
  <si>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</si>
  <si>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</si>
  <si>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</si>
  <si>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</si>
  <si>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</si>
  <si>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</si>
  <si>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</si>
  <si>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</si>
  <si>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</si>
  <si>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</si>
  <si>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</si>
  <si>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</si>
  <si>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</si>
  <si>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</si>
  <si>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</si>
  <si>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</si>
  <si>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</si>
  <si>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</si>
  <si>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</si>
  <si>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</si>
  <si>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</si>
  <si>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</si>
  <si>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</si>
  <si>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</si>
  <si>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</si>
  <si>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</si>
  <si>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</si>
  <si>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</si>
  <si>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</si>
  <si>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</si>
  <si>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</si>
  <si>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</si>
  <si>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</si>
  <si>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</si>
  <si>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</si>
  <si>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</si>
  <si>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</si>
  <si>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</si>
  <si>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</si>
  <si>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</si>
  <si>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</si>
  <si>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</si>
  <si>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</si>
  <si>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</si>
  <si>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</si>
  <si>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</si>
  <si>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</si>
  <si>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</si>
  <si>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</si>
  <si>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</si>
  <si>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</si>
  <si>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</si>
  <si>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</si>
  <si>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</si>
  <si>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</si>
  <si>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</si>
  <si>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</si>
  <si>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</si>
  <si>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</si>
  <si>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</si>
  <si>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</si>
  <si>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</si>
  <si>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</si>
  <si>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</si>
  <si>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</si>
  <si>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</si>
  <si>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</si>
  <si>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</si>
  <si>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</si>
  <si>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</si>
  <si>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</si>
  <si>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</si>
  <si>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</si>
  <si>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</si>
  <si>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</si>
  <si>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</si>
  <si>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</si>
  <si>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</si>
  <si>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</si>
  <si>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</si>
  <si>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</si>
  <si>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</si>
  <si>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</si>
  <si>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</si>
  <si>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</si>
  <si>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</si>
  <si>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</si>
  <si>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</si>
  <si>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</si>
  <si>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</si>
  <si>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</si>
  <si>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</si>
  <si>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</si>
  <si>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</si>
  <si>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</si>
  <si>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</si>
  <si>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</si>
  <si>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</si>
  <si>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</si>
  <si>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</si>
  <si>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</si>
  <si>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</si>
  <si>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</si>
  <si>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</si>
  <si>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</si>
  <si>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</si>
  <si>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</si>
  <si>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</si>
  <si>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</si>
  <si>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</si>
  <si>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</si>
  <si>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</si>
  <si>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</si>
  <si>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</si>
  <si>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</si>
  <si>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</si>
  <si>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</si>
  <si>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</si>
  <si>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</si>
  <si>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</si>
  <si>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</si>
  <si>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</si>
  <si>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</si>
  <si>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</si>
  <si>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</si>
  <si>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</si>
  <si>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</si>
  <si>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</si>
  <si>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</si>
  <si>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</si>
  <si>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</si>
  <si>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</si>
  <si>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</si>
  <si>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</si>
  <si>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</si>
  <si>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</si>
  <si>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</si>
  <si>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</si>
  <si>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</si>
  <si>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</si>
  <si>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</si>
  <si>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</si>
  <si>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</si>
  <si>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</si>
  <si>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</si>
  <si>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</si>
  <si>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</si>
  <si>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</si>
  <si>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</si>
  <si>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</si>
  <si>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</si>
  <si>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</si>
  <si>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</si>
  <si>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</si>
  <si>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</si>
  <si>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</si>
  <si>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</si>
  <si>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</si>
  <si>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</si>
  <si>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</si>
  <si>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</si>
  <si>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</si>
  <si>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</si>
  <si>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</si>
  <si>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</si>
  <si>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</si>
  <si>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</si>
  <si>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</si>
  <si>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</si>
  <si>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</si>
  <si>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</si>
  <si>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</si>
  <si>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</si>
  <si>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</si>
  <si>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</si>
  <si>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</si>
  <si>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</si>
  <si>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</si>
  <si>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</si>
  <si>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Ⅵ-天竺保税区北Ⅱ</t>
  </si>
  <si>
    <t>房产证/不动产权证书证号</t>
    <phoneticPr fontId="134" type="noConversion"/>
  </si>
  <si>
    <t>房屋所有权人</t>
    <phoneticPr fontId="134" type="noConversion"/>
  </si>
  <si>
    <t>坐落</t>
    <phoneticPr fontId="134" type="noConversion"/>
  </si>
  <si>
    <t>楼号</t>
    <phoneticPr fontId="134" type="noConversion"/>
  </si>
  <si>
    <t>甲6幢</t>
    <phoneticPr fontId="134" type="noConversion"/>
  </si>
  <si>
    <t>总层数</t>
    <phoneticPr fontId="134" type="noConversion"/>
  </si>
  <si>
    <t>结构</t>
    <phoneticPr fontId="134" type="noConversion"/>
  </si>
  <si>
    <t>钢混</t>
  </si>
  <si>
    <t>钢混</t>
    <phoneticPr fontId="134" type="noConversion"/>
  </si>
  <si>
    <t>规划用途</t>
    <phoneticPr fontId="134" type="noConversion"/>
  </si>
  <si>
    <t>办公室</t>
    <phoneticPr fontId="134" type="noConversion"/>
  </si>
  <si>
    <t>乙6幢</t>
    <phoneticPr fontId="134" type="noConversion"/>
  </si>
  <si>
    <t>钢</t>
    <phoneticPr fontId="134" type="noConversion"/>
  </si>
  <si>
    <t>库房</t>
    <phoneticPr fontId="134" type="noConversion"/>
  </si>
  <si>
    <t>顺义区保汇二街10号院3幢等4幢</t>
    <phoneticPr fontId="134" type="noConversion"/>
  </si>
  <si>
    <t>3幢</t>
    <phoneticPr fontId="134" type="noConversion"/>
  </si>
  <si>
    <t>出口监管站</t>
    <phoneticPr fontId="134" type="noConversion"/>
  </si>
  <si>
    <t>4幢</t>
  </si>
  <si>
    <t>进口监管站</t>
    <phoneticPr fontId="134" type="noConversion"/>
  </si>
  <si>
    <t>5幢</t>
  </si>
  <si>
    <t>6幢</t>
  </si>
  <si>
    <t>航港发展有限公司</t>
    <phoneticPr fontId="134" type="noConversion"/>
  </si>
  <si>
    <r>
      <t>顺义区保汇二街10号院甲</t>
    </r>
    <r>
      <rPr>
        <sz val="11"/>
        <color theme="1"/>
        <rFont val="宋体"/>
        <family val="3"/>
        <charset val="134"/>
        <scheme val="minor"/>
      </rPr>
      <t>5号1层101</t>
    </r>
    <phoneticPr fontId="134" type="noConversion"/>
  </si>
  <si>
    <t>充电间</t>
    <phoneticPr fontId="134" type="noConversion"/>
  </si>
  <si>
    <t>1号楼</t>
    <phoneticPr fontId="134" type="noConversion"/>
  </si>
  <si>
    <r>
      <t>-</t>
    </r>
    <r>
      <rPr>
        <sz val="11"/>
        <color theme="1"/>
        <rFont val="宋体"/>
        <family val="3"/>
        <charset val="134"/>
        <scheme val="minor"/>
      </rPr>
      <t>1-3层</t>
    </r>
    <phoneticPr fontId="134" type="noConversion"/>
  </si>
  <si>
    <t>库房、办公用房、设备用房</t>
    <phoneticPr fontId="134" type="noConversion"/>
  </si>
  <si>
    <t>建筑面积（建筑面积）</t>
    <phoneticPr fontId="134" type="noConversion"/>
  </si>
  <si>
    <t>序号</t>
    <phoneticPr fontId="134" type="noConversion"/>
  </si>
  <si>
    <t>——</t>
    <phoneticPr fontId="134" type="noConversion"/>
  </si>
  <si>
    <t>仓储</t>
    <phoneticPr fontId="7" type="noConversion"/>
  </si>
  <si>
    <t>是</t>
  </si>
  <si>
    <t>地上</t>
  </si>
  <si>
    <t>戊类库房</t>
  </si>
  <si>
    <t>地下</t>
  </si>
  <si>
    <t>租金</t>
    <phoneticPr fontId="134" type="noConversion"/>
  </si>
  <si>
    <t>建安费用</t>
    <phoneticPr fontId="134" type="noConversion"/>
  </si>
  <si>
    <t>成新度</t>
  </si>
  <si>
    <t>成新度</t>
    <phoneticPr fontId="134" type="noConversion"/>
  </si>
  <si>
    <t>建成年代</t>
    <phoneticPr fontId="134" type="noConversion"/>
  </si>
  <si>
    <t>合计</t>
    <phoneticPr fontId="134" type="noConversion"/>
  </si>
  <si>
    <t>收益法</t>
  </si>
  <si>
    <t>自定义容积率</t>
  </si>
  <si>
    <t>不临65条商业街</t>
  </si>
  <si>
    <t>通路</t>
  </si>
  <si>
    <t>通电</t>
  </si>
  <si>
    <t>通讯</t>
  </si>
  <si>
    <t>通下水</t>
  </si>
  <si>
    <t>通上水</t>
  </si>
  <si>
    <t>平整</t>
  </si>
  <si>
    <t>与级别开发程度不一致</t>
  </si>
  <si>
    <t>较好</t>
  </si>
  <si>
    <t>一般</t>
  </si>
  <si>
    <t>较差</t>
  </si>
  <si>
    <t>好</t>
  </si>
  <si>
    <t>未包含在土地购买价格中</t>
  </si>
  <si>
    <t>已包含在土地取得成本中</t>
  </si>
  <si>
    <t>押一</t>
  </si>
  <si>
    <t>非生产用房</t>
  </si>
  <si>
    <t>成本法</t>
  </si>
  <si>
    <t>总价</t>
  </si>
  <si>
    <t>成本比率</t>
  </si>
  <si>
    <r>
      <t>出租率8</t>
    </r>
    <r>
      <rPr>
        <sz val="11"/>
        <color theme="1"/>
        <rFont val="宋体"/>
        <family val="3"/>
        <charset val="134"/>
        <scheme val="minor"/>
      </rPr>
      <t>0%</t>
    </r>
    <phoneticPr fontId="134" type="noConversion"/>
  </si>
  <si>
    <r>
      <t>出口库按照货量收取分成，没有租赁台账，年租金2</t>
    </r>
    <r>
      <rPr>
        <sz val="11"/>
        <color theme="1"/>
        <rFont val="宋体"/>
        <family val="3"/>
        <charset val="134"/>
        <scheme val="minor"/>
      </rPr>
      <t>000多万</t>
    </r>
    <phoneticPr fontId="134" type="noConversion"/>
  </si>
  <si>
    <t>进口库出租率90%以上，租金2.5-3.6</t>
    <phoneticPr fontId="134" type="noConversion"/>
  </si>
  <si>
    <t>甲5号</t>
    <phoneticPr fontId="134" type="noConversion"/>
  </si>
  <si>
    <r>
      <t>顺义区保汇二街1</t>
    </r>
    <r>
      <rPr>
        <sz val="11"/>
        <color theme="1"/>
        <rFont val="宋体"/>
        <family val="3"/>
        <charset val="134"/>
        <scheme val="minor"/>
      </rPr>
      <t>0号院甲6幢等2幢</t>
    </r>
    <phoneticPr fontId="134" type="noConversion"/>
  </si>
  <si>
    <t>钢混</t>
    <phoneticPr fontId="134" type="noConversion"/>
  </si>
  <si>
    <t>顺义区金岸西路6号院1号楼-1至3层101</t>
    <phoneticPr fontId="134" type="noConversion"/>
  </si>
  <si>
    <r>
      <t>X京房权证顺字第</t>
    </r>
    <r>
      <rPr>
        <sz val="11"/>
        <color theme="1"/>
        <rFont val="宋体"/>
        <family val="3"/>
        <charset val="134"/>
        <scheme val="minor"/>
      </rPr>
      <t>331108号</t>
    </r>
    <phoneticPr fontId="134" type="noConversion"/>
  </si>
  <si>
    <t>X京房权证顺字第297113号</t>
    <phoneticPr fontId="134" type="noConversion"/>
  </si>
  <si>
    <t>京（2019）顺不动产权第0009559号</t>
    <phoneticPr fontId="134" type="noConversion"/>
  </si>
  <si>
    <t>京（2022）顺不动产权第0008056号</t>
    <phoneticPr fontId="134" type="noConversion"/>
  </si>
  <si>
    <t>航港发展有限公司</t>
    <phoneticPr fontId="134" type="noConversion"/>
  </si>
  <si>
    <t>场地面积</t>
    <phoneticPr fontId="134"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</si>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</sst>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0" fillId="0" borderId="0" xfId="0" applyAlignment="1">
      <alignment horizontal="center"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49" fontId="95" fillId="0" borderId="1" xfId="0" applyNumberFormat="1" applyFont="1" applyBorder="1" applyAlignment="1">
      <alignment horizontal="center" vertical="center" wrapText="1"/>
    </xf>
    <xf numFmtId="0" fontId="95" fillId="0" borderId="1" xfId="0" applyFont="1" applyFill="1" applyBorder="1" applyAlignment="1">
      <alignment horizontal="center"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0" xfId="0" applyFont="1" applyFill="1" applyBorder="1" applyAlignment="1">
      <alignment horizontal="center" vertical="center" wrapText="1"/>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0" fontId="95" fillId="0" borderId="58" xfId="0" applyFont="1" applyFill="1" applyBorder="1" applyAlignment="1">
      <alignment horizontal="center" vertical="center" wrapText="1"/>
    </xf>
    <xf numFmtId="0" fontId="0" fillId="0" borderId="0" xfId="0" applyBorder="1" applyAlignment="1">
      <alignment horizontal="center" vertical="center"/>
    </xf>
    <xf numFmtId="9" fontId="0" fillId="0" borderId="0" xfId="17" applyFont="1" applyBorder="1" applyAlignment="1">
      <alignment horizontal="center" vertical="center"/>
    </xf>
    <xf numFmtId="0" fontId="0" fillId="0" borderId="0" xfId="0" applyFill="1" applyBorder="1" applyAlignment="1">
      <alignment horizontal="center" vertical="center"/>
    </xf>
    <xf numFmtId="0" fontId="95" fillId="7" borderId="58" xfId="0" applyFont="1" applyFill="1" applyBorder="1" applyAlignment="1">
      <alignment horizontal="center" vertical="center" wrapText="1"/>
    </xf>
    <xf numFmtId="176" fontId="44" fillId="16" borderId="24" xfId="1"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0" xfId="0" applyFont="1" applyAlignment="1">
      <alignment horizontal="left" vertical="center"/>
    </xf>
    <xf numFmtId="0" fontId="0" fillId="0" borderId="0" xfId="0" applyAlignment="1">
      <alignment horizontal="left" vertical="center"/>
    </xf>
    <xf numFmtId="0" fontId="95" fillId="0" borderId="1"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257175</xdr:colOff>
      <xdr:row>6</xdr:row>
      <xdr:rowOff>36041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5175" cy="10647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估价对象为北京市房地产，为所有。根据《国有土地使用证》[]，估价对象（分摊）出让国有建设用地使用权面积为497445.96平方米，建筑面积为101448.13平方米。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估价对象为北京市房地产,属开发建设的，该项目尚在开发建设中。根据《国有土地使用证》[]，估价对象（分摊）出让国有建设用地使用权面积为497445.96平方米，规划建筑面积为101448.13平方米。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2023年10月31日（评估专业人员实地查勘之日）</v>
      </c>
    </row>
    <row r="13" spans="1:2" s="1202" customFormat="1">
      <c r="A13" s="1200" t="s">
        <v>529</v>
      </c>
      <c r="B13" s="1201" t="str">
        <f>'预评函-1'!A18</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201837</v>
      </c>
    </row>
    <row r="21" spans="1:2" s="1202" customFormat="1">
      <c r="A21" s="1200" t="s">
        <v>537</v>
      </c>
      <c r="B21" s="1201">
        <f ca="1">'预评函-2'!D7</f>
        <v>19896</v>
      </c>
    </row>
    <row r="22" spans="1:2" s="1202" customFormat="1">
      <c r="A22" s="1200" t="s">
        <v>538</v>
      </c>
      <c r="B22" s="1201" t="str">
        <f ca="1">'预评函-2'!D6</f>
        <v>贰拾亿壹仟捌佰叁拾柒万元整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201837</v>
      </c>
    </row>
    <row r="31" spans="1:2" s="1202" customFormat="1">
      <c r="A31" s="1200" t="s">
        <v>576</v>
      </c>
      <c r="B31" s="1201">
        <f ca="1">'预评函-2'!D15</f>
        <v>19896</v>
      </c>
    </row>
    <row r="32" spans="1:2" s="1202" customFormat="1">
      <c r="A32" s="1200" t="s">
        <v>543</v>
      </c>
      <c r="B32" s="1201" t="str">
        <f ca="1">'预评函-2'!D14</f>
        <v>贰拾亿壹仟捌佰叁拾柒万元整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101448.13</v>
      </c>
    </row>
    <row r="44" spans="1:2" s="1202" customFormat="1">
      <c r="A44" s="1200" t="s">
        <v>575</v>
      </c>
      <c r="B44" s="1201" t="str">
        <f>'预评函-3'!C2</f>
        <v>(分摊)土地面积</v>
      </c>
    </row>
    <row r="45" spans="1:2" s="1202" customFormat="1">
      <c r="A45" s="1200" t="s">
        <v>547</v>
      </c>
      <c r="B45" s="1201">
        <f>'预评函-3'!C4</f>
        <v>497445.96</v>
      </c>
    </row>
    <row r="46" spans="1:2" s="1202" customFormat="1">
      <c r="A46" s="1200" t="s">
        <v>573</v>
      </c>
      <c r="B46" s="1201" t="str">
        <f>'预评函-3'!D2</f>
        <v>出让国有建设用地使用权价值</v>
      </c>
    </row>
    <row r="47" spans="1:2" s="1202" customFormat="1">
      <c r="A47" s="1200" t="s">
        <v>548</v>
      </c>
      <c r="B47" s="1201">
        <f ca="1">'预评函-3'!D4</f>
        <v>173176</v>
      </c>
    </row>
    <row r="48" spans="1:2" s="1202" customFormat="1">
      <c r="A48" s="1200" t="s">
        <v>549</v>
      </c>
      <c r="B48" s="1201">
        <f ca="1">'预评函-3'!E4</f>
        <v>17071</v>
      </c>
    </row>
    <row r="49" spans="1:2" s="1202" customFormat="1">
      <c r="A49" s="1200" t="s">
        <v>550</v>
      </c>
      <c r="B49" s="1201" t="str">
        <f ca="1">'预评函-3'!D5</f>
        <v>壹拾柒亿叁仟壹佰柒拾陆万元整</v>
      </c>
    </row>
    <row r="50" spans="1:2" s="1202" customFormat="1">
      <c r="A50" s="1200" t="s">
        <v>574</v>
      </c>
      <c r="B50" s="1201" t="str">
        <f>'预评函-3'!F2</f>
        <v>在建建筑物价值</v>
      </c>
    </row>
    <row r="51" spans="1:2" s="1202" customFormat="1">
      <c r="A51" s="1200" t="s">
        <v>551</v>
      </c>
      <c r="B51" s="1201">
        <f ca="1">'预评函-3'!F4</f>
        <v>28661</v>
      </c>
    </row>
    <row r="52" spans="1:2" s="1202" customFormat="1">
      <c r="A52" s="1200" t="s">
        <v>552</v>
      </c>
      <c r="B52" s="1201">
        <f ca="1">'预评函-3'!G4</f>
        <v>2825</v>
      </c>
    </row>
    <row r="53" spans="1:2" s="1202" customFormat="1">
      <c r="A53" s="1200" t="s">
        <v>580</v>
      </c>
      <c r="B53" s="1201" t="str">
        <f ca="1">'预评函-3'!F5</f>
        <v>贰亿捌仟陆佰陆拾壹万元整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28" sqref="E28"/>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2581</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2582</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3" t="s">
        <v>385</v>
      </c>
      <c r="C54" s="1550" t="s">
        <v>583</v>
      </c>
    </row>
    <row r="55" spans="1:4">
      <c r="A55" s="3506"/>
      <c r="B55" s="1553" t="s">
        <v>386</v>
      </c>
      <c r="C55" s="1550" t="s">
        <v>584</v>
      </c>
    </row>
    <row r="56" spans="1:4">
      <c r="A56" s="3506"/>
      <c r="B56" s="1553" t="s">
        <v>387</v>
      </c>
      <c r="C56" s="1550" t="s">
        <v>588</v>
      </c>
    </row>
    <row r="57" spans="1:4">
      <c r="A57" s="350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3" sqref="M13"/>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7" t="s">
        <v>2584</v>
      </c>
      <c r="J2" s="3507"/>
      <c r="K2" s="3507"/>
      <c r="L2" s="3507"/>
      <c r="M2" s="3507"/>
      <c r="N2" s="3507"/>
      <c r="O2" s="3507"/>
      <c r="P2" s="3507"/>
      <c r="Q2" s="3507"/>
      <c r="R2" s="3507"/>
    </row>
    <row r="3" spans="1:18">
      <c r="A3" s="3019" t="s">
        <v>2505</v>
      </c>
      <c r="B3" s="3020">
        <f>项目基本情况!D3</f>
        <v>45230</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3.13</v>
      </c>
      <c r="D5" s="3024">
        <f>IF(ISERROR(ROUND(POWER(1+E5,A5-C5)*(POWER(1+E5,C5)-1)/(POWER(1+E5,A5)-1),3)),0,ROUND(POWER(1+E5,A5-C5)*(POWER(1+E5,C5)-1)/(POWER(1+E5,A5)-1),4))</f>
        <v>0.1459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13.14</v>
      </c>
      <c r="D6" s="3024">
        <f>IF(ISERROR(ROUND(POWER(1+E6,A6-C6)*(POWER(1+E6,C6)-1)/(POWER(1+E6,A6)-1),3)),0,ROUND(POWER(1+E6,A6-C6)*(POWER(1+E6,C6)-1)/(POWER(1+E6,A6)-1),4))</f>
        <v>0.46870000000000001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33.15</v>
      </c>
      <c r="D7" s="3024">
        <f>IF(ISERROR(ROUND(POWER(1+E7,A7-C7)*(POWER(1+E7,C7)-1)/(POWER(1+E7,A7)-1),3)),0,ROUND(POWER(1+E7,A7-C7)*(POWER(1+E7,C7)-1)/(POWER(1+E7,A7)-1),4))</f>
        <v>0.77739999999999998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 sqref="C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2170</v>
      </c>
      <c r="B3" s="2372">
        <v>45230</v>
      </c>
      <c r="C3" s="2373" t="s">
        <v>2171</v>
      </c>
      <c r="D3" s="2372">
        <v>45230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t="s">
        <v>3463</v>
      </c>
      <c r="C4" s="2375">
        <f ca="1">SUMIF(注册房地产估价师,B4,估价师及机构信息!B3:B24)</f>
        <v>1120100036</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3383</v>
      </c>
      <c r="C8" s="2389"/>
      <c r="D8" s="3519"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20"/>
      <c r="E9" s="2393"/>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2"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c r="E13" s="855"/>
      <c r="F13" s="855"/>
      <c r="G13" s="855">
        <v>57524</v>
      </c>
      <c r="H13" s="855">
        <f>G13</f>
        <v>57524</v>
      </c>
      <c r="I13" s="855"/>
      <c r="J13" s="3061"/>
      <c r="K13" s="2612"/>
      <c r="L13" s="2612"/>
      <c r="M13" s="2438"/>
      <c r="N13" s="2449"/>
      <c r="O13" s="2438"/>
      <c r="P13" s="2438"/>
      <c r="Q13" s="2438"/>
      <c r="AD13" s="1744"/>
    </row>
    <row r="14" spans="1:30">
      <c r="A14" s="1080"/>
      <c r="B14" s="2406" t="s">
        <v>2191</v>
      </c>
      <c r="C14" s="2407"/>
      <c r="D14" s="2407"/>
      <c r="E14" s="2407"/>
      <c r="F14" s="2407"/>
      <c r="G14" s="2407">
        <v>50</v>
      </c>
      <c r="H14" s="2407">
        <f>G14</f>
        <v>50</v>
      </c>
      <c r="I14" s="2407"/>
      <c r="J14" s="3062"/>
      <c r="K14" s="2612"/>
      <c r="L14" s="2612"/>
      <c r="M14" s="2438"/>
      <c r="N14" s="2449"/>
      <c r="O14" s="2438"/>
      <c r="P14" s="2438"/>
      <c r="Q14" s="2438"/>
      <c r="AD14" s="1744"/>
    </row>
    <row r="15" spans="1:30">
      <c r="A15" s="319"/>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f>IF(A13="出让",IF(G13="","",ROUNDDOWN(MIN((G13-$D$3)/365,G14),2)),G14)</f>
        <v>33.68</v>
      </c>
      <c r="H15" s="2409">
        <f>IF(A13="出让",IF(H13="","",ROUNDDOWN(MIN((H13-$D$3)/365,H14),2)),H14)</f>
        <v>33.68</v>
      </c>
      <c r="I15" s="2409" t="str">
        <f>IF(A13="出让",IF(I13="","",ROUNDDOWN(MIN((I13-$D$3)/365,I14),2)),I14)</f>
        <v/>
      </c>
      <c r="J15" s="3063"/>
      <c r="K15" s="2450"/>
      <c r="L15" s="2450"/>
      <c r="M15" s="2508"/>
      <c r="N15" s="2450"/>
      <c r="O15" s="2508"/>
      <c r="P15" s="2438"/>
      <c r="Q15" s="2438"/>
      <c r="AD15" s="1744"/>
    </row>
    <row r="16" spans="1:30">
      <c r="A16" s="2399" t="s">
        <v>2193</v>
      </c>
      <c r="B16" s="3526"/>
      <c r="C16" s="3527"/>
      <c r="D16" s="3528"/>
      <c r="E16" s="2412" t="s">
        <v>2194</v>
      </c>
      <c r="F16" s="3529"/>
      <c r="G16" s="3530"/>
      <c r="H16" s="3530"/>
      <c r="I16" s="3531"/>
      <c r="J16" s="2438"/>
      <c r="K16" s="2616"/>
      <c r="L16" s="2450"/>
      <c r="M16" s="2450"/>
      <c r="N16" s="2508"/>
      <c r="O16" s="2450"/>
      <c r="P16" s="2508"/>
      <c r="Q16" s="2438"/>
      <c r="R16" s="2438"/>
    </row>
    <row r="17" spans="1:28">
      <c r="A17" s="312" t="s">
        <v>2195</v>
      </c>
      <c r="B17" s="301" t="s">
        <v>2196</v>
      </c>
      <c r="C17" s="8">
        <f>'数据-汇总表'!E3</f>
        <v>101448.13</v>
      </c>
      <c r="D17" s="2321" t="s">
        <v>2197</v>
      </c>
      <c r="E17" s="3532" t="s">
        <v>2198</v>
      </c>
      <c r="F17" s="3533"/>
      <c r="G17" s="3533"/>
      <c r="H17" s="3533"/>
      <c r="I17" s="3534"/>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497445.96</v>
      </c>
      <c r="D18" s="1091" t="s">
        <v>2201</v>
      </c>
      <c r="E18" s="3535" t="s">
        <v>2202</v>
      </c>
      <c r="F18" s="3536"/>
      <c r="G18" s="3536"/>
      <c r="H18" s="3536"/>
      <c r="I18" s="3537"/>
      <c r="J18" s="2438"/>
      <c r="K18" s="2617"/>
      <c r="L18" s="2450"/>
      <c r="M18" s="2450"/>
      <c r="N18" s="2508"/>
      <c r="O18" s="2450"/>
      <c r="P18" s="2508"/>
      <c r="Q18" s="2438"/>
      <c r="R18" s="2438"/>
      <c r="S18" s="2438"/>
      <c r="T18" s="2438"/>
      <c r="U18" s="2438"/>
      <c r="V18" s="2438"/>
    </row>
    <row r="19" spans="1:28" ht="37.5" thickTop="1" thickBot="1">
      <c r="A19" s="326" t="s">
        <v>1055</v>
      </c>
      <c r="B19" s="306"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2" t="s">
        <v>2206</v>
      </c>
      <c r="C20" s="3523"/>
      <c r="D20" s="3524" t="s">
        <v>2207</v>
      </c>
      <c r="E20" s="3525"/>
      <c r="F20" s="2646" t="s">
        <v>1056</v>
      </c>
      <c r="G20" s="2663"/>
      <c r="H20" s="2663"/>
      <c r="I20" s="2663"/>
      <c r="J20" s="2438"/>
      <c r="K20" s="3521"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2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9" t="s">
        <v>2214</v>
      </c>
      <c r="B27" s="319"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9"/>
      <c r="B28" s="301"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9"/>
      <c r="B29" s="301"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0"/>
      <c r="B30" s="301" t="s">
        <v>2218</v>
      </c>
      <c r="C30" s="3511"/>
      <c r="D30" s="3512"/>
      <c r="E30" s="2663"/>
      <c r="F30" s="2663"/>
      <c r="G30" s="2663"/>
      <c r="H30" s="2663"/>
      <c r="I30" s="2663"/>
      <c r="J30" s="2438"/>
      <c r="K30" s="2615"/>
      <c r="L30" s="2612"/>
      <c r="M30" s="2612"/>
      <c r="N30" s="2438"/>
      <c r="O30" s="2449"/>
      <c r="P30" s="2438"/>
      <c r="Q30" s="2438"/>
      <c r="R30" s="2438"/>
      <c r="S30" s="2438"/>
      <c r="T30" s="2438"/>
      <c r="U30" s="2438"/>
      <c r="V30" s="2438"/>
    </row>
    <row r="31" spans="1:28">
      <c r="A31" s="3513"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2220</v>
      </c>
      <c r="B34" s="2025"/>
      <c r="C34" s="2025"/>
      <c r="D34" s="2025"/>
      <c r="E34" s="2025"/>
      <c r="F34" s="2025"/>
      <c r="G34" s="2025"/>
      <c r="H34" s="2025"/>
      <c r="I34" s="2663"/>
      <c r="J34" s="2438"/>
      <c r="K34" s="2426">
        <f>COUNTIF(B34:H34,"——")</f>
        <v>0</v>
      </c>
      <c r="L34" s="322" t="s">
        <v>2221</v>
      </c>
      <c r="M34" s="322" t="s">
        <v>2222</v>
      </c>
      <c r="N34" s="322" t="s">
        <v>2223</v>
      </c>
      <c r="O34" s="322" t="s">
        <v>2224</v>
      </c>
      <c r="P34" s="322" t="s">
        <v>2225</v>
      </c>
      <c r="Q34" s="322" t="s">
        <v>2226</v>
      </c>
      <c r="R34" s="322" t="s">
        <v>2227</v>
      </c>
      <c r="S34" s="3508" t="s">
        <v>2228</v>
      </c>
      <c r="T34" s="2427" t="str">
        <f>NUMBERSTRING(7-K34,1)&amp;"通"</f>
        <v>七通</v>
      </c>
      <c r="U34" s="2438"/>
      <c r="V34" s="2438"/>
    </row>
    <row r="35" spans="1:30">
      <c r="A35" s="2428"/>
      <c r="B35" s="3515" t="s">
        <v>2229</v>
      </c>
      <c r="C35" s="3515"/>
      <c r="D35" s="3515"/>
      <c r="E35" s="3515"/>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8"/>
      <c r="T35" s="328" t="str">
        <f>IF(T34="一通",L35,IF(T34="二通",M35,IF(T34="三通",N35,IF(T34="四通",O35,IF(T34="五通",P35,IF(T34="六通",Q35,R35))))))</f>
        <v>、、、、、、</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6.25" thickBot="1">
      <c r="A38" s="2630" t="s">
        <v>2231</v>
      </c>
      <c r="B38" s="2431"/>
      <c r="C38" s="2431"/>
      <c r="D38" s="2431"/>
      <c r="E38" s="2431" t="s">
        <v>3387</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28" sqref="E28"/>
      <selection pane="topRight" activeCell="E28" sqref="E28"/>
      <selection pane="bottomLeft" activeCell="E28" sqref="E28"/>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497445.96</v>
      </c>
      <c r="B3" s="11">
        <f>IF(C3="否",G5-AT5,G5)</f>
        <v>101448.13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101448.13</v>
      </c>
      <c r="H5" s="13">
        <f t="shared" ref="H5:AT5" si="0">SUM(H13:H656)</f>
        <v>101448.13</v>
      </c>
      <c r="I5" s="13">
        <f t="shared" si="0"/>
        <v>91741.09</v>
      </c>
      <c r="J5" s="13">
        <f t="shared" si="0"/>
        <v>0</v>
      </c>
      <c r="K5" s="13">
        <f t="shared" si="0"/>
        <v>9707.0400000000009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101448.13</v>
      </c>
      <c r="BA5" s="15">
        <f t="shared" si="1"/>
        <v>101448.13</v>
      </c>
      <c r="BB5" s="15">
        <f t="shared" si="1"/>
        <v>91741.09</v>
      </c>
      <c r="BC5" s="15">
        <f t="shared" si="1"/>
        <v>9707.0400000000009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497445.96</v>
      </c>
      <c r="F6" s="13" t="s">
        <v>0</v>
      </c>
      <c r="G6" s="13" t="s">
        <v>1</v>
      </c>
      <c r="H6" s="17">
        <f>SUMIF(I$12:AB$12,"总值",I6:AB6)</f>
        <v>497445.96</v>
      </c>
      <c r="I6" s="13">
        <f t="shared" ref="I6:AB6" si="2">ROUND($A$3*I5/$B$3,2)</f>
        <v>449847.96</v>
      </c>
      <c r="J6" s="13">
        <f t="shared" si="2"/>
        <v>0</v>
      </c>
      <c r="K6" s="13">
        <f t="shared" si="2"/>
        <v>47598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497445.96</v>
      </c>
      <c r="AZ6" s="13" t="s">
        <v>2</v>
      </c>
      <c r="BA6" s="13">
        <f>ROUND($AY$6*BA5/$AZ$5,2)</f>
        <v>497445.96</v>
      </c>
      <c r="BB6" s="13">
        <f>ROUND($AY$6*BB5/$AZ$5,2)</f>
        <v>449847.96</v>
      </c>
      <c r="BC6" s="13">
        <f t="shared" ref="BC6:BH6" si="4">ROUND($AY$6*BC5/$AZ$5,2)</f>
        <v>47598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3420</v>
      </c>
      <c r="J9" s="808"/>
      <c r="K9" s="1602" t="s">
        <v>3422</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3421</v>
      </c>
      <c r="J11" s="1614"/>
      <c r="K11" s="1613" t="s">
        <v>3421</v>
      </c>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戊类库房</v>
      </c>
      <c r="BC12" s="1623" t="str">
        <f>K11</f>
        <v>戊类库房</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3419</v>
      </c>
      <c r="E13" s="13">
        <f>IF($C$3="是",ROUND($A$3*G13/$B$3,2),ROUND($A$3*(G13-AT13)/$B$3,2))</f>
        <v>497445.96</v>
      </c>
      <c r="F13" s="29"/>
      <c r="G13" s="30">
        <f>H13+AC13+AT13</f>
        <v>101448.13</v>
      </c>
      <c r="H13" s="17">
        <f>SUMIF(I$12:AB$12,"总值",I13:AB13)</f>
        <v>101448.13</v>
      </c>
      <c r="I13" s="1625">
        <f>面积表!H10-'数据-基础表'!K13</f>
        <v>91741.09</v>
      </c>
      <c r="J13" s="1625"/>
      <c r="K13" s="1625">
        <f>ROUND(面积表!H9/4*1,2)</f>
        <v>9707.0400000000009</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497445.96</v>
      </c>
      <c r="AZ13" s="13">
        <f>BA13+BL13</f>
        <v>101448.13</v>
      </c>
      <c r="BA13" s="13">
        <f>SUM(BB13:BK13)</f>
        <v>101448.13</v>
      </c>
      <c r="BB13" s="13">
        <f>IF($D13="是",I13-J13,0)</f>
        <v>91741.09</v>
      </c>
      <c r="BC13" s="13">
        <f>IF($D13="是",K13-L13,0)</f>
        <v>9707.0400000000009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6"/>
  <sheetViews>
    <sheetView topLeftCell="C1" zoomScale="85" zoomScaleNormal="85" workbookViewId="0">
      <selection activeCell="L13" sqref="L13"/>
    </sheetView>
  </sheetViews>
  <sheetFormatPr defaultRowHeight="13.5"/>
  <cols>
    <col min="2" max="2" width="23.5" customWidth="1"/>
    <col min="3" max="3" width="17" customWidth="1"/>
    <col min="4" max="4" width="17.5" customWidth="1"/>
    <col min="8" max="8" width="20.75" customWidth="1"/>
    <col min="9" max="9" width="14.375" customWidth="1"/>
    <col min="10" max="13" width="9" style="3460"/>
    <col min="14" max="15" width="9" style="3449"/>
    <col min="18" max="18" width="49.125" customWidth="1"/>
  </cols>
  <sheetData>
    <row r="1" spans="1:20" ht="30" customHeight="1">
      <c r="A1" s="3454" t="s">
        <v>3416</v>
      </c>
      <c r="B1" s="3450" t="s">
        <v>3388</v>
      </c>
      <c r="C1" s="3450" t="s">
        <v>3389</v>
      </c>
      <c r="D1" s="3450" t="s">
        <v>3390</v>
      </c>
      <c r="E1" s="3450" t="s">
        <v>3391</v>
      </c>
      <c r="F1" s="3450" t="s">
        <v>3393</v>
      </c>
      <c r="G1" s="3450" t="s">
        <v>3394</v>
      </c>
      <c r="H1" s="3450" t="s">
        <v>3415</v>
      </c>
      <c r="I1" s="3450" t="s">
        <v>3397</v>
      </c>
      <c r="J1" s="3456" t="s">
        <v>3424</v>
      </c>
      <c r="K1" s="3456" t="s">
        <v>3423</v>
      </c>
      <c r="L1" s="3456" t="s">
        <v>3427</v>
      </c>
      <c r="M1" s="3456" t="s">
        <v>3426</v>
      </c>
    </row>
    <row r="2" spans="1:20" ht="30" customHeight="1">
      <c r="A2" s="3455">
        <v>1</v>
      </c>
      <c r="B2" s="3540" t="s">
        <v>3457</v>
      </c>
      <c r="C2" s="3540" t="s">
        <v>3461</v>
      </c>
      <c r="D2" s="3540" t="s">
        <v>3454</v>
      </c>
      <c r="E2" s="3450" t="s">
        <v>3392</v>
      </c>
      <c r="F2" s="3451">
        <v>2</v>
      </c>
      <c r="G2" s="3450" t="s">
        <v>3455</v>
      </c>
      <c r="H2" s="3451">
        <v>889.33</v>
      </c>
      <c r="I2" s="3450" t="s">
        <v>3398</v>
      </c>
      <c r="J2" s="3460">
        <v>2000</v>
      </c>
      <c r="K2" s="3463">
        <v>2</v>
      </c>
      <c r="L2" s="3460">
        <v>2014</v>
      </c>
      <c r="M2" s="3461">
        <f>ROUND(1-(1-0%)*(2023-L2)/60,2)</f>
        <v>0.85</v>
      </c>
      <c r="O2" s="3449">
        <f>ROUND(H2*J2/10000,0)</f>
        <v>178</v>
      </c>
    </row>
    <row r="3" spans="1:20" ht="30" customHeight="1">
      <c r="A3" s="3455">
        <v>2</v>
      </c>
      <c r="B3" s="3540"/>
      <c r="C3" s="3540"/>
      <c r="D3" s="3540"/>
      <c r="E3" s="3450" t="s">
        <v>3399</v>
      </c>
      <c r="F3" s="3451">
        <v>1</v>
      </c>
      <c r="G3" s="3450" t="s">
        <v>3400</v>
      </c>
      <c r="H3" s="3451">
        <v>4988.75</v>
      </c>
      <c r="I3" s="3450" t="s">
        <v>3401</v>
      </c>
      <c r="J3" s="3460">
        <v>2300</v>
      </c>
      <c r="K3" s="3463">
        <v>2</v>
      </c>
      <c r="L3" s="3460">
        <v>2014</v>
      </c>
      <c r="M3" s="3461">
        <f>ROUND(1-(1-2%)*(2023-L3)/80,2)</f>
        <v>0.89</v>
      </c>
      <c r="O3" s="3449">
        <f t="shared" ref="O3:O9" si="0">ROUND(H3*J3/10000,0)</f>
        <v>1147</v>
      </c>
    </row>
    <row r="4" spans="1:20" ht="30" customHeight="1">
      <c r="A4" s="3455">
        <v>3</v>
      </c>
      <c r="B4" s="3540" t="s">
        <v>3458</v>
      </c>
      <c r="C4" s="3540" t="s">
        <v>3409</v>
      </c>
      <c r="D4" s="3540" t="s">
        <v>3402</v>
      </c>
      <c r="E4" s="3450" t="s">
        <v>3403</v>
      </c>
      <c r="F4" s="3451">
        <v>1</v>
      </c>
      <c r="G4" s="3450" t="s">
        <v>3400</v>
      </c>
      <c r="H4" s="3451">
        <v>9539.34</v>
      </c>
      <c r="I4" s="3450" t="s">
        <v>3404</v>
      </c>
      <c r="J4" s="3460">
        <v>2300</v>
      </c>
      <c r="K4" s="3459">
        <v>2</v>
      </c>
      <c r="L4" s="3460">
        <v>2012</v>
      </c>
      <c r="M4" s="3461">
        <f t="shared" ref="M4:M8" si="1">ROUND(1-(1-2%)*(2023-L4)/80,2)</f>
        <v>0.87</v>
      </c>
      <c r="O4" s="3449">
        <f t="shared" si="0"/>
        <v>2194</v>
      </c>
    </row>
    <row r="5" spans="1:20" ht="30" customHeight="1">
      <c r="A5" s="3455">
        <v>4</v>
      </c>
      <c r="B5" s="3540"/>
      <c r="C5" s="3540"/>
      <c r="D5" s="3540"/>
      <c r="E5" s="3450" t="s">
        <v>3405</v>
      </c>
      <c r="F5" s="3451">
        <v>1</v>
      </c>
      <c r="G5" s="3450" t="s">
        <v>3400</v>
      </c>
      <c r="H5" s="3451">
        <v>17331.740000000002</v>
      </c>
      <c r="I5" s="3450" t="s">
        <v>3406</v>
      </c>
      <c r="J5" s="3462">
        <v>2800</v>
      </c>
      <c r="K5" s="3459">
        <v>3</v>
      </c>
      <c r="L5" s="3460">
        <v>2012</v>
      </c>
      <c r="M5" s="3461">
        <f t="shared" si="1"/>
        <v>0.87</v>
      </c>
      <c r="O5" s="3449">
        <f t="shared" si="0"/>
        <v>4853</v>
      </c>
      <c r="R5" s="3538" t="s">
        <v>3452</v>
      </c>
    </row>
    <row r="6" spans="1:20" ht="30" customHeight="1">
      <c r="A6" s="3455">
        <v>5</v>
      </c>
      <c r="B6" s="3540"/>
      <c r="C6" s="3540"/>
      <c r="D6" s="3540"/>
      <c r="E6" s="3450" t="s">
        <v>3407</v>
      </c>
      <c r="F6" s="3450">
        <v>1</v>
      </c>
      <c r="G6" s="3450" t="s">
        <v>3400</v>
      </c>
      <c r="H6" s="3451">
        <v>17331.740000000002</v>
      </c>
      <c r="I6" s="3450" t="s">
        <v>3406</v>
      </c>
      <c r="J6" s="3462">
        <v>2800</v>
      </c>
      <c r="K6" s="3459">
        <v>3</v>
      </c>
      <c r="L6" s="3460">
        <v>2012</v>
      </c>
      <c r="M6" s="3461">
        <f t="shared" si="1"/>
        <v>0.87</v>
      </c>
      <c r="O6" s="3449">
        <f t="shared" si="0"/>
        <v>4853</v>
      </c>
      <c r="R6" s="3539"/>
    </row>
    <row r="7" spans="1:20" ht="30" customHeight="1">
      <c r="A7" s="3455">
        <v>6</v>
      </c>
      <c r="B7" s="3540"/>
      <c r="C7" s="3540"/>
      <c r="D7" s="3540"/>
      <c r="E7" s="3450" t="s">
        <v>3408</v>
      </c>
      <c r="F7" s="3450">
        <v>2</v>
      </c>
      <c r="G7" s="3450" t="s">
        <v>3400</v>
      </c>
      <c r="H7" s="3451">
        <v>11443.27</v>
      </c>
      <c r="I7" s="3450" t="s">
        <v>3404</v>
      </c>
      <c r="J7" s="3462">
        <v>2300</v>
      </c>
      <c r="K7" s="3459">
        <v>2</v>
      </c>
      <c r="L7" s="3460">
        <v>2012</v>
      </c>
      <c r="M7" s="3461">
        <f t="shared" si="1"/>
        <v>0.87</v>
      </c>
      <c r="O7" s="3449">
        <f t="shared" si="0"/>
        <v>2632</v>
      </c>
      <c r="R7" s="3448" t="s">
        <v>3451</v>
      </c>
      <c r="T7">
        <f>2000/(H7+H4+H3+H2)/365*10000</f>
        <v>2.0399520841774801</v>
      </c>
    </row>
    <row r="8" spans="1:20" ht="30" customHeight="1">
      <c r="A8" s="3455">
        <v>7</v>
      </c>
      <c r="B8" s="3450" t="s">
        <v>3459</v>
      </c>
      <c r="C8" s="3450" t="s">
        <v>3409</v>
      </c>
      <c r="D8" s="3450" t="s">
        <v>3410</v>
      </c>
      <c r="E8" s="3450" t="s">
        <v>3453</v>
      </c>
      <c r="F8" s="3450">
        <v>1</v>
      </c>
      <c r="G8" s="3450" t="s">
        <v>3400</v>
      </c>
      <c r="H8" s="3451">
        <v>1095.82</v>
      </c>
      <c r="I8" s="3450" t="s">
        <v>3411</v>
      </c>
      <c r="J8" s="3462">
        <v>1500</v>
      </c>
      <c r="L8" s="3462">
        <v>2019</v>
      </c>
      <c r="M8" s="3461">
        <f t="shared" si="1"/>
        <v>0.95</v>
      </c>
      <c r="O8" s="3449">
        <f t="shared" si="0"/>
        <v>164</v>
      </c>
    </row>
    <row r="9" spans="1:20" ht="30" customHeight="1">
      <c r="A9" s="3455">
        <v>8</v>
      </c>
      <c r="B9" s="3450" t="s">
        <v>3460</v>
      </c>
      <c r="C9" s="3450" t="s">
        <v>3409</v>
      </c>
      <c r="D9" s="3450" t="s">
        <v>3456</v>
      </c>
      <c r="E9" s="3450" t="s">
        <v>3412</v>
      </c>
      <c r="F9" s="3452" t="s">
        <v>3413</v>
      </c>
      <c r="G9" s="3450" t="s">
        <v>3396</v>
      </c>
      <c r="H9" s="3451">
        <v>38828.14</v>
      </c>
      <c r="I9" s="3450" t="s">
        <v>3414</v>
      </c>
      <c r="J9" s="3462">
        <v>3500</v>
      </c>
      <c r="K9" s="3456">
        <f>ROUND(1.5*T9/H9,2)</f>
        <v>1.1299999999999999</v>
      </c>
      <c r="L9" s="3462">
        <v>2021</v>
      </c>
      <c r="M9" s="3461">
        <f>ROUND(1-(1-0%)*(2023-L9)/60,2)</f>
        <v>0.97</v>
      </c>
      <c r="O9" s="3449">
        <f t="shared" si="0"/>
        <v>13590</v>
      </c>
      <c r="R9" s="3448" t="s">
        <v>3450</v>
      </c>
      <c r="T9">
        <f>H9/4*3</f>
        <v>29121.105</v>
      </c>
    </row>
    <row r="10" spans="1:20" ht="30" customHeight="1">
      <c r="A10" s="3454" t="s">
        <v>3428</v>
      </c>
      <c r="B10" s="3453" t="s">
        <v>3417</v>
      </c>
      <c r="C10" s="3453" t="s">
        <v>3417</v>
      </c>
      <c r="D10" s="3453" t="s">
        <v>3417</v>
      </c>
      <c r="E10" s="3453" t="s">
        <v>3417</v>
      </c>
      <c r="F10" s="3453" t="s">
        <v>3417</v>
      </c>
      <c r="G10" s="3453" t="s">
        <v>3417</v>
      </c>
      <c r="H10" s="3455">
        <f>SUM(H2:H9)</f>
        <v>101448.13</v>
      </c>
      <c r="I10" s="3453" t="s">
        <v>3417</v>
      </c>
      <c r="J10" s="3460">
        <f>ROUND((H2*J2+H3*J3+H4*J4+H5*J5+H6*J6+H7*J7+H8*J8+H9*J9)/H10,2)</f>
        <v>2918.86</v>
      </c>
      <c r="M10" s="3461">
        <f>ROUND((H2*M2+H3*M3+H4*M4+H5*M5+H6*M6+H7*M7+H8*M8+H9*M9)/H10,2)</f>
        <v>0.91</v>
      </c>
      <c r="O10" s="3449">
        <f>SUM(O2:O9)</f>
        <v>29611</v>
      </c>
    </row>
    <row r="11" spans="1:20">
      <c r="J11" s="3460">
        <f>J10*H10/10000</f>
        <v>29611.288873180001</v>
      </c>
      <c r="M11" s="3461"/>
    </row>
    <row r="13" spans="1:20">
      <c r="G13" s="3456" t="s">
        <v>3462</v>
      </c>
      <c r="H13">
        <f>'数据-汇总表'!D3-(H2/2+H3+H4+H5+H6+H7/2+H8+H9/4)</f>
        <v>431285.23499999999</v>
      </c>
      <c r="K13" s="3460">
        <v>0.2</v>
      </c>
    </row>
    <row r="16" spans="1:20">
      <c r="K16" s="3460">
        <f>ROUND((H2*K2+H3*K3+H4*K4+H5*K5+H6*K6+H7*K7+H8*K8+H9*K9+H13*K13)/H10,2)</f>
        <v>2.84</v>
      </c>
    </row>
  </sheetData>
  <mergeCells count="7">
    <mergeCell ref="R5:R6"/>
    <mergeCell ref="B2:B3"/>
    <mergeCell ref="C2:C3"/>
    <mergeCell ref="D2:D3"/>
    <mergeCell ref="B4:B7"/>
    <mergeCell ref="C4:C7"/>
    <mergeCell ref="D4:D7"/>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0" sqref="L4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5" t="s">
        <v>1107</v>
      </c>
      <c r="E2" s="1638" t="s">
        <v>1108</v>
      </c>
      <c r="F2" s="2658"/>
      <c r="G2" s="2649"/>
      <c r="H2" s="2650"/>
      <c r="I2" s="2324" t="s">
        <v>1132</v>
      </c>
      <c r="J2" s="2658"/>
      <c r="K2" s="2658"/>
      <c r="L2" s="2658"/>
      <c r="M2" s="2658"/>
      <c r="N2" s="2660"/>
      <c r="O2" s="2658"/>
      <c r="P2" s="2658"/>
    </row>
    <row r="3" spans="1:16" ht="15.75" thickBot="1">
      <c r="A3" s="3551" t="s">
        <v>1105</v>
      </c>
      <c r="B3" s="3551"/>
      <c r="C3" s="3551"/>
      <c r="D3" s="43">
        <f>'数据-基础表'!AY6</f>
        <v>497445.96</v>
      </c>
      <c r="E3" s="43">
        <f>'数据-基础表'!AZ5</f>
        <v>101448.13</v>
      </c>
      <c r="F3" s="2658"/>
      <c r="G3" s="1144"/>
      <c r="H3" s="1025" t="s">
        <v>1106</v>
      </c>
      <c r="I3" s="854">
        <f>ROUND('数据-基础表'!B3/'数据-基础表'!A3,2)</f>
        <v>0.2</v>
      </c>
      <c r="J3" s="2658"/>
      <c r="K3" s="2658"/>
      <c r="L3" s="2658"/>
      <c r="M3" s="2658"/>
      <c r="N3" s="2660"/>
      <c r="O3" s="2658"/>
      <c r="P3" s="2658"/>
    </row>
    <row r="4" spans="1:16" ht="15">
      <c r="A4" s="3552"/>
      <c r="B4" s="3553"/>
      <c r="C4" s="3554"/>
      <c r="D4" s="1640" t="s">
        <v>1107</v>
      </c>
      <c r="E4" s="1641" t="s">
        <v>1108</v>
      </c>
      <c r="F4" s="2658"/>
      <c r="G4" s="2651" t="s">
        <v>1133</v>
      </c>
      <c r="H4" s="1025" t="s">
        <v>1113</v>
      </c>
      <c r="I4" s="854">
        <f>ROUND(SUMIF('数据-基础表'!I9:AS9,"地上",'数据-基础表'!I5:AS5)/'数据-基础表'!A3,2)</f>
        <v>0.18</v>
      </c>
      <c r="J4" s="2658"/>
      <c r="K4" s="2658"/>
      <c r="L4" s="2658"/>
      <c r="M4" s="2658"/>
      <c r="N4" s="2660"/>
      <c r="O4" s="2658"/>
      <c r="P4" s="2658"/>
    </row>
    <row r="5" spans="1:16">
      <c r="A5" s="44" t="s">
        <v>1109</v>
      </c>
      <c r="B5" s="3555" t="s">
        <v>1110</v>
      </c>
      <c r="C5" s="3555"/>
      <c r="D5" s="45">
        <f>ROUND($D$3*E5/$E$3,2)</f>
        <v>0</v>
      </c>
      <c r="E5" s="46">
        <f>SUMIF('数据-基础表'!$11:$11,"住宅",'数据-基础表'!$5:$5)</f>
        <v>0</v>
      </c>
      <c r="F5" s="2658"/>
      <c r="G5" s="1144"/>
      <c r="H5" s="1025" t="s">
        <v>1106</v>
      </c>
      <c r="I5" s="854">
        <f>ROUND(E31/D31,2)</f>
        <v>0.2</v>
      </c>
      <c r="J5" s="2658"/>
      <c r="K5" s="2658"/>
      <c r="L5" s="2658"/>
      <c r="M5" s="2658"/>
      <c r="N5" s="2658"/>
      <c r="O5" s="2658"/>
      <c r="P5" s="2658"/>
    </row>
    <row r="6" spans="1:16" ht="15" thickBot="1">
      <c r="A6" s="1643"/>
      <c r="B6" s="3555" t="s">
        <v>1111</v>
      </c>
      <c r="C6" s="3555"/>
      <c r="D6" s="45">
        <f>ROUND($D$3*E6/$E$3,2)</f>
        <v>497445.96</v>
      </c>
      <c r="E6" s="46">
        <f>E3-E5</f>
        <v>101448.13</v>
      </c>
      <c r="F6" s="2658"/>
      <c r="G6" s="2652" t="s">
        <v>1112</v>
      </c>
      <c r="H6" s="1145" t="s">
        <v>1113</v>
      </c>
      <c r="I6" s="2653">
        <f>ROUND(F31/D31,2)</f>
        <v>0.18</v>
      </c>
      <c r="J6" s="2658"/>
      <c r="K6" s="2658"/>
      <c r="L6" s="2658"/>
      <c r="M6" s="2658"/>
      <c r="N6" s="2658"/>
      <c r="O6" s="2658"/>
      <c r="P6" s="2658"/>
    </row>
    <row r="7" spans="1:16" ht="15.75" thickBot="1">
      <c r="A7" s="3547"/>
      <c r="B7" s="3548"/>
      <c r="C7" s="3549"/>
      <c r="D7" s="1640" t="s">
        <v>1107</v>
      </c>
      <c r="E7" s="1644"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449847.96</v>
      </c>
      <c r="E8" s="48">
        <f>SUMIF('数据-基础表'!BB10:BK10,"地上",'数据-基础表'!BB5:BK5)</f>
        <v>91741.09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449847.96</v>
      </c>
      <c r="E16" s="50">
        <f>SUM(E8:E15)</f>
        <v>91741.09</v>
      </c>
      <c r="F16" s="2658"/>
      <c r="G16" s="2659"/>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3418</v>
      </c>
      <c r="D19" s="45">
        <f>ROUND($D$3*E19/$E$3,2)</f>
        <v>497445.96</v>
      </c>
      <c r="E19" s="53">
        <f t="shared" ref="E19:E26" si="1">SUM(F19:G19)</f>
        <v>101448.13</v>
      </c>
      <c r="F19" s="2794">
        <f>'数据-基础表'!I13</f>
        <v>91741.09</v>
      </c>
      <c r="G19" s="2795">
        <f>'数据-基础表'!K13</f>
        <v>9707.0400000000009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497445.96</v>
      </c>
      <c r="S19" s="1026">
        <f t="shared" si="5"/>
        <v>101448.13</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497445.96</v>
      </c>
      <c r="E27" s="1140">
        <f>IF(SUM(E19:E26)='数据-基础表'!BA5,SUM(E19:E26),IF(F27="地上面积有误","面积有误","地下面积有误"))</f>
        <v>101448.13</v>
      </c>
      <c r="F27" s="1139">
        <f>IF(SUM(F19:F26)=E8,SUM(F19:F26),"地上面积有误")</f>
        <v>91741.09</v>
      </c>
      <c r="G27" s="1141">
        <f>SUM(G19:G26)</f>
        <v>9707.0400000000009</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497445.96</v>
      </c>
      <c r="S27" s="1025">
        <f>IF(SUM(S19:S26)=$E$3,SUM(S19:S26),SUM(S19:S26)&amp;"误差"&amp;ROUND(SUM(S19:S26)-E3,2))</f>
        <v>101448.13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497445.96</v>
      </c>
      <c r="E31" s="675">
        <f>E27+E30</f>
        <v>101448.13</v>
      </c>
      <c r="F31" s="676">
        <f>F27+F30</f>
        <v>91741.09</v>
      </c>
      <c r="G31" s="677">
        <f>G27+G30</f>
        <v>9707.0400000000009</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E28" sqref="E28"/>
      <selection pane="topRight" activeCell="E28" sqref="E28"/>
      <selection pane="bottomLeft" activeCell="E28" sqref="E28"/>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45230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仓储</v>
      </c>
      <c r="B6" s="1712" t="str">
        <f>IF(A6=0,"","经营性")</f>
        <v>经营性</v>
      </c>
      <c r="C6" s="1713" t="s">
        <v>3</v>
      </c>
      <c r="D6" s="857">
        <f>SUMIF(项目基本情况!C$12:I$12,C6,项目基本情况!C$14:I$14)</f>
        <v>50</v>
      </c>
      <c r="E6" s="856">
        <f>IF(B6="","",SUMIF(项目基本情况!C$12:I$12,C6,项目基本情况!C$13:I$13))</f>
        <v>57524</v>
      </c>
      <c r="F6" s="64">
        <f>SUMIF(项目基本情况!C$12:I$12,C6,项目基本情况!C$15:I$15)</f>
        <v>33.68</v>
      </c>
      <c r="G6" s="65">
        <f>IF(ISERROR(ROUND(POWER(1+H6,D6-F6)*(POWER(1+H6,F6)-1)/(POWER(1+H6,D6)-1),3)),0,ROUND(POWER(1+H6,D6-F6)*(POWER(1+H6,F6)-1)/(POWER(1+H6,D6)-1),3))</f>
        <v>0.88400000000000001</v>
      </c>
      <c r="H6" s="731">
        <v>0.05</v>
      </c>
      <c r="I6" s="731">
        <v>5.5E-2</v>
      </c>
      <c r="J6" s="66">
        <v>7.0000000000000007E-2</v>
      </c>
      <c r="K6" s="1029">
        <f>SUMIF('数据-汇总表'!C$19:C$33,A6,'数据-汇总表'!E$19:E$33)</f>
        <v>101448.13</v>
      </c>
      <c r="L6" s="732">
        <f>面积表!J10</f>
        <v>2918.86</v>
      </c>
      <c r="M6" s="67">
        <f t="shared" ref="M6:M14" si="0">ROUND(K6*L6/10000,0)</f>
        <v>29611</v>
      </c>
      <c r="N6" s="730">
        <f>面积表!M10</f>
        <v>0.91</v>
      </c>
      <c r="O6" s="67" t="str">
        <f>IF($N$5="成新度","——",ROUND(M6*N6,0))</f>
        <v>——</v>
      </c>
      <c r="P6" s="68" t="str">
        <f>IF($N$5="成新度","——",M6-O6)</f>
        <v>——</v>
      </c>
      <c r="Q6" s="3465">
        <v>0.15</v>
      </c>
      <c r="R6" s="69">
        <f ca="1">SUMIF('数据-汇总表'!C$19:C$33,A6,'数据-汇总表'!R$19:R$27)</f>
        <v>497445.96</v>
      </c>
      <c r="S6" s="51">
        <f>IF('数据-汇总表'!$I$17="按面积比例",SUMIF('数据-汇总表'!C$19:C$33,A6,'数据-汇总表'!K$19:K$33),SUMIF('数据-汇总表'!C$19:C$33,A6,'数据-汇总表'!N$19:N$33))</f>
        <v>0</v>
      </c>
      <c r="T6" s="1171">
        <f>ROUND($L$14*S6/10000,0)</f>
        <v>0</v>
      </c>
      <c r="U6" s="3457">
        <f>面积表!K16</f>
        <v>2.84</v>
      </c>
      <c r="V6" s="3458">
        <v>0.02</v>
      </c>
      <c r="W6" s="3458">
        <v>0.1</v>
      </c>
      <c r="X6" s="1039"/>
      <c r="Y6" s="71">
        <f>N6</f>
        <v>0.91</v>
      </c>
      <c r="Z6" s="72"/>
      <c r="AA6" s="66"/>
      <c r="AB6" s="66"/>
      <c r="AC6" s="1039"/>
      <c r="AD6" s="73"/>
      <c r="AE6" s="1040">
        <f ca="1">IF(AN6="",0,SUMIF(INDIRECT("'"&amp;AN6&amp;"'"&amp;"!E:E"),$AE$5,INDIRECT("'"&amp;AN6&amp;"'"&amp;"!F:F")))</f>
        <v>33.68</v>
      </c>
      <c r="AF6" s="1347"/>
      <c r="AG6" s="137">
        <f>IF(AF6="",0,AE6-AF6)</f>
        <v>0</v>
      </c>
      <c r="AH6" s="74"/>
      <c r="AI6" s="76">
        <v>365</v>
      </c>
      <c r="AJ6" s="77"/>
      <c r="AK6" s="78">
        <v>0.01</v>
      </c>
      <c r="AL6" s="79">
        <v>1.5E-3</v>
      </c>
      <c r="AM6" s="80">
        <v>0.01</v>
      </c>
      <c r="AN6" s="1714" t="s">
        <v>3429</v>
      </c>
      <c r="AO6" s="52">
        <f ca="1">SUMIF(INDIRECT("'"&amp;AN6&amp;"'"&amp;"!A:A"),"总价",INDIRECT("'"&amp;AN6&amp;"'"&amp;"!B:B"))</f>
        <v>140455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0.88400000000000001</v>
      </c>
      <c r="H16" s="90">
        <f>ROUND(SUMPRODUCT(H6:H13,K6:K13)/SUMPRODUCT((H6:H13&gt;0)*(K6:K13)),3)</f>
        <v>0.05</v>
      </c>
      <c r="I16" s="91"/>
      <c r="J16" s="91"/>
      <c r="K16" s="92">
        <f>SUM(K6:K15)</f>
        <v>101448.13</v>
      </c>
      <c r="L16" s="93">
        <f>ROUND(M16*10000/SUM(K6:K14),0)</f>
        <v>2919</v>
      </c>
      <c r="M16" s="93">
        <f>SUM(M6:M14)</f>
        <v>29611</v>
      </c>
      <c r="N16" s="94">
        <f>ROUND(SUMPRODUCT(M6:M14,N6:N14)/M16,3)</f>
        <v>0.91</v>
      </c>
      <c r="O16" s="93">
        <f>SUM(O6:O14)</f>
        <v>0</v>
      </c>
      <c r="P16" s="93">
        <f>SUM(P6:P14)</f>
        <v>0</v>
      </c>
      <c r="Q16" s="95">
        <f>ROUND(SUMPRODUCT(Q6:Q13,K6:K13)/SUMPRODUCT((Q6:Q13&gt;0)*(K6:K13)),2)</f>
        <v>0.15</v>
      </c>
      <c r="R16" s="1033">
        <f ca="1">SUM(R6:R13)</f>
        <v>497445.96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346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346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4">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4">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6"/>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09"/>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1"/>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2">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09">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4">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2">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8">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6">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6">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0">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28" sqref="E28"/>
      <selection pane="topRight" activeCell="E28" sqref="E28"/>
      <selection pane="bottomLeft" activeCell="E28" sqref="E28"/>
      <selection pane="bottomRight" activeCell="E28" sqref="E28"/>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6" t="s">
        <v>2286</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2" t="s">
        <v>2254</v>
      </c>
      <c r="C4" s="2467" t="s">
        <v>2255</v>
      </c>
      <c r="D4" s="2464"/>
      <c r="E4" s="2468"/>
      <c r="F4" s="1372" t="s">
        <v>2256</v>
      </c>
      <c r="G4" s="2469" t="s">
        <v>2257</v>
      </c>
      <c r="H4" s="798"/>
      <c r="I4" s="798"/>
      <c r="J4" s="798"/>
      <c r="K4" s="798"/>
      <c r="L4" s="798"/>
      <c r="M4" s="798"/>
      <c r="N4" s="798"/>
      <c r="O4" s="798"/>
      <c r="P4" s="798"/>
      <c r="Q4" s="798"/>
      <c r="R4" s="798"/>
    </row>
    <row r="5" spans="1:29" ht="36.75">
      <c r="A5" s="2441"/>
      <c r="B5" s="322" t="s">
        <v>2258</v>
      </c>
      <c r="C5" s="2467" t="s">
        <v>2259</v>
      </c>
      <c r="D5" s="2464"/>
      <c r="E5" s="2468"/>
      <c r="F5" s="322" t="s">
        <v>2260</v>
      </c>
      <c r="G5" s="2469" t="s">
        <v>2261</v>
      </c>
      <c r="H5" s="798"/>
      <c r="I5" s="798"/>
      <c r="J5" s="798"/>
      <c r="K5" s="798"/>
      <c r="L5" s="798"/>
      <c r="M5" s="798"/>
      <c r="N5" s="798"/>
      <c r="O5" s="798"/>
      <c r="P5" s="798"/>
      <c r="Q5" s="798"/>
      <c r="R5" s="798"/>
    </row>
    <row r="6" spans="1:29" ht="36">
      <c r="A6" s="2441"/>
      <c r="B6" s="322" t="s">
        <v>2262</v>
      </c>
      <c r="C6" s="2469" t="s">
        <v>2257</v>
      </c>
      <c r="D6" s="2464"/>
      <c r="E6" s="2468"/>
      <c r="F6" s="322" t="s">
        <v>2263</v>
      </c>
      <c r="G6" s="2469" t="s">
        <v>2264</v>
      </c>
      <c r="H6" s="798"/>
      <c r="I6" s="798"/>
      <c r="J6" s="798"/>
      <c r="K6" s="798"/>
      <c r="L6" s="798"/>
      <c r="M6" s="798"/>
      <c r="N6" s="798"/>
      <c r="O6" s="798"/>
      <c r="P6" s="798"/>
      <c r="Q6" s="798"/>
      <c r="R6" s="798"/>
    </row>
    <row r="7" spans="1:29" ht="24.75" thickBot="1">
      <c r="A7" s="2441"/>
      <c r="B7" s="322" t="s">
        <v>2260</v>
      </c>
      <c r="C7" s="2469" t="s">
        <v>2261</v>
      </c>
      <c r="D7" s="2470"/>
      <c r="E7" s="2471"/>
      <c r="F7" s="2472" t="s">
        <v>2265</v>
      </c>
      <c r="G7" s="2473" t="s">
        <v>2266</v>
      </c>
      <c r="H7" s="798"/>
      <c r="I7" s="798"/>
      <c r="J7" s="798"/>
      <c r="K7" s="798"/>
      <c r="L7" s="798"/>
      <c r="M7" s="798"/>
      <c r="N7" s="798"/>
      <c r="O7" s="798"/>
      <c r="P7" s="798"/>
      <c r="Q7" s="798"/>
      <c r="R7" s="798"/>
    </row>
    <row r="8" spans="1:29">
      <c r="A8" s="2441"/>
      <c r="B8" s="322" t="s">
        <v>2263</v>
      </c>
      <c r="C8" s="2469" t="s">
        <v>2264</v>
      </c>
      <c r="D8" s="2470"/>
      <c r="E8" s="2470"/>
      <c r="F8" s="2474"/>
      <c r="G8" s="2474"/>
      <c r="H8" s="798"/>
      <c r="I8" s="798"/>
      <c r="J8" s="798"/>
      <c r="K8" s="798"/>
      <c r="L8" s="798"/>
      <c r="M8" s="798"/>
      <c r="N8" s="798"/>
      <c r="O8" s="798"/>
      <c r="P8" s="798"/>
      <c r="Q8" s="798"/>
      <c r="R8" s="798"/>
    </row>
    <row r="9" spans="1:29" ht="24">
      <c r="A9" s="2441"/>
      <c r="B9" s="322"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2"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2" t="s">
        <v>2263</v>
      </c>
      <c r="G20" s="2502" t="str">
        <f>G6</f>
        <v>估价对象所在区域基础设施水平</v>
      </c>
    </row>
    <row r="21" spans="1:18" ht="25.5">
      <c r="A21" s="2445"/>
      <c r="B21" s="322" t="s">
        <v>2260</v>
      </c>
      <c r="C21" s="2502" t="str">
        <f>C7</f>
        <v>估价对象所在区域公共配套设施齐备情况</v>
      </c>
      <c r="D21" s="2464"/>
      <c r="E21" s="2446"/>
      <c r="F21" s="2501" t="s">
        <v>2278</v>
      </c>
      <c r="G21" s="2504"/>
    </row>
    <row r="22" spans="1:18" ht="13.5" customHeight="1">
      <c r="A22" s="2445"/>
      <c r="B22" s="322"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80" zoomScaleNormal="80" zoomScaleSheetLayoutView="80" workbookViewId="0">
      <selection activeCell="D19" sqref="D1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101448.13</v>
      </c>
      <c r="C1" s="2685"/>
      <c r="D1" s="2685"/>
      <c r="E1" s="2685"/>
      <c r="F1" s="2685"/>
      <c r="G1" s="2686"/>
      <c r="H1" s="2687"/>
      <c r="I1" s="2687"/>
      <c r="J1" s="2687"/>
      <c r="K1" s="2687"/>
    </row>
    <row r="2" spans="1:11" ht="16.5">
      <c r="A2" s="2511" t="s">
        <v>653</v>
      </c>
      <c r="B2" s="2511">
        <f>SUM(C14:C23)</f>
        <v>497445.96</v>
      </c>
      <c r="C2" s="2685"/>
      <c r="D2" s="2685"/>
      <c r="E2" s="2685"/>
      <c r="F2" s="2685"/>
      <c r="G2" s="2686"/>
      <c r="H2" s="2687"/>
      <c r="I2" s="2687"/>
      <c r="J2" s="2687"/>
      <c r="K2" s="2687"/>
    </row>
    <row r="3" spans="1:11" ht="16.5">
      <c r="A3" s="2511" t="s">
        <v>662</v>
      </c>
      <c r="B3" s="2513">
        <f>项目基本情况!D3</f>
        <v>45230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201837</v>
      </c>
      <c r="C5" s="2511">
        <f ca="1">IF(B5=D14,结果表!H102,ROUND(B5*10000/$B$1,0))</f>
        <v>19896</v>
      </c>
      <c r="D5" s="2511">
        <f ca="1">ROUND(B5*10000/$B$2,0)</f>
        <v>4057</v>
      </c>
      <c r="E5" s="2685"/>
      <c r="F5" s="2686"/>
      <c r="G5" s="2686"/>
      <c r="H5" s="2687"/>
      <c r="I5" s="2687"/>
      <c r="J5" s="2687"/>
      <c r="K5" s="2687"/>
    </row>
    <row r="6" spans="1:11" ht="16.5">
      <c r="A6" s="2511" t="s">
        <v>656</v>
      </c>
      <c r="B6" s="2511">
        <f ca="1">SUM(G14:G23)</f>
        <v>201837</v>
      </c>
      <c r="C6" s="2511">
        <f ca="1">IF(B6=G14,结果表!H108,ROUND(B6*10000/$B$1,0))</f>
        <v>19896</v>
      </c>
      <c r="D6" s="2511">
        <f ca="1">ROUND(B6*10000/$B$2,0)</f>
        <v>4057</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101448.13</v>
      </c>
      <c r="C14" s="2517">
        <f>'数据-汇总表'!D3</f>
        <v>497445.96</v>
      </c>
      <c r="D14" s="2517">
        <f ca="1">结果表!G19</f>
        <v>201837</v>
      </c>
      <c r="E14" s="2517">
        <f ca="1">ROUND(D14*10000/B14,0)</f>
        <v>19896</v>
      </c>
      <c r="F14" s="2517">
        <f ca="1">ROUND(D14*10000/C14,0)</f>
        <v>4057</v>
      </c>
      <c r="G14" s="2517">
        <f ca="1">D14</f>
        <v>201837</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G23" sqref="G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3447</v>
      </c>
      <c r="D4" s="1755" t="s">
        <v>3429</v>
      </c>
      <c r="E4" s="3598" t="s">
        <v>1267</v>
      </c>
      <c r="F4" s="3599"/>
      <c r="G4" s="3599"/>
      <c r="H4" s="3599"/>
      <c r="I4" s="360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0" t="s">
        <v>1269</v>
      </c>
      <c r="F5" s="1756"/>
      <c r="G5" s="1756"/>
      <c r="H5" s="1756"/>
      <c r="I5" s="1372"/>
    </row>
    <row r="6" spans="1:12" ht="12.75">
      <c r="A6" s="3572"/>
      <c r="B6" s="3559"/>
      <c r="C6" s="3576"/>
      <c r="D6" s="3595"/>
      <c r="E6" s="130" t="s">
        <v>1270</v>
      </c>
      <c r="F6" s="1756"/>
      <c r="G6" s="1756"/>
      <c r="H6" s="1756"/>
      <c r="I6" s="1372"/>
    </row>
    <row r="7" spans="1:12" ht="12.75">
      <c r="A7" s="3572"/>
      <c r="B7" s="3559"/>
      <c r="C7" s="3577"/>
      <c r="D7" s="3595"/>
      <c r="E7" s="130" t="s">
        <v>1271</v>
      </c>
      <c r="F7" s="1756"/>
      <c r="G7" s="1756"/>
      <c r="H7" s="1756"/>
      <c r="I7" s="1372"/>
    </row>
    <row r="8" spans="1:12" ht="12.75">
      <c r="A8" s="3572" t="s">
        <v>1272</v>
      </c>
      <c r="B8" s="3559">
        <v>15</v>
      </c>
      <c r="C8" s="3575"/>
      <c r="D8" s="3595"/>
      <c r="E8" s="130" t="s">
        <v>1273</v>
      </c>
      <c r="F8" s="1756"/>
      <c r="G8" s="1756"/>
      <c r="H8" s="1756"/>
      <c r="I8" s="1372"/>
    </row>
    <row r="9" spans="1:12" ht="12.75">
      <c r="A9" s="3572"/>
      <c r="B9" s="3559"/>
      <c r="C9" s="3577"/>
      <c r="D9" s="3595"/>
      <c r="E9" s="130" t="s">
        <v>1274</v>
      </c>
      <c r="F9" s="1756"/>
      <c r="G9" s="1756"/>
      <c r="H9" s="1756"/>
      <c r="I9" s="1372"/>
    </row>
    <row r="10" spans="1:12" ht="12.75">
      <c r="A10" s="3572" t="s">
        <v>1275</v>
      </c>
      <c r="B10" s="3559">
        <v>15</v>
      </c>
      <c r="C10" s="3575"/>
      <c r="D10" s="3595"/>
      <c r="E10" s="130" t="s">
        <v>1276</v>
      </c>
      <c r="F10" s="1756"/>
      <c r="G10" s="1756"/>
      <c r="H10" s="1756"/>
      <c r="I10" s="1372"/>
    </row>
    <row r="11" spans="1:12" ht="12.75">
      <c r="A11" s="3572"/>
      <c r="B11" s="3559"/>
      <c r="C11" s="3577"/>
      <c r="D11" s="3595"/>
      <c r="E11" s="130" t="s">
        <v>1277</v>
      </c>
      <c r="F11" s="1756"/>
      <c r="G11" s="1756"/>
      <c r="H11" s="1756"/>
      <c r="I11" s="1372"/>
    </row>
    <row r="12" spans="1:12" ht="12.75">
      <c r="A12" s="3572" t="s">
        <v>1278</v>
      </c>
      <c r="B12" s="3559">
        <v>15</v>
      </c>
      <c r="C12" s="3575"/>
      <c r="D12" s="3595"/>
      <c r="E12" s="130" t="s">
        <v>1279</v>
      </c>
      <c r="F12" s="1756"/>
      <c r="G12" s="1756"/>
      <c r="H12" s="1756"/>
      <c r="I12" s="1372"/>
    </row>
    <row r="13" spans="1:12" ht="12.75">
      <c r="A13" s="3572"/>
      <c r="B13" s="3559"/>
      <c r="C13" s="3577"/>
      <c r="D13" s="3595"/>
      <c r="E13" s="130" t="s">
        <v>1280</v>
      </c>
      <c r="F13" s="1756"/>
      <c r="G13" s="1756"/>
      <c r="H13" s="1756"/>
      <c r="I13" s="1372"/>
    </row>
    <row r="14" spans="1:12" ht="12.75">
      <c r="A14" s="3572" t="s">
        <v>1281</v>
      </c>
      <c r="B14" s="3559">
        <v>30</v>
      </c>
      <c r="C14" s="3575">
        <v>45</v>
      </c>
      <c r="D14" s="3595">
        <v>55</v>
      </c>
      <c r="E14" s="130" t="s">
        <v>1282</v>
      </c>
      <c r="F14" s="1756"/>
      <c r="G14" s="1756"/>
      <c r="H14" s="1756"/>
      <c r="I14" s="1372"/>
    </row>
    <row r="15" spans="1:12" ht="12.75">
      <c r="A15" s="3572"/>
      <c r="B15" s="3559"/>
      <c r="C15" s="3576"/>
      <c r="D15" s="3595"/>
      <c r="E15" s="130" t="s">
        <v>1283</v>
      </c>
      <c r="F15" s="1756"/>
      <c r="G15" s="1756"/>
      <c r="H15" s="1756"/>
      <c r="I15" s="1372"/>
    </row>
    <row r="16" spans="1:12" ht="12.75">
      <c r="A16" s="3572"/>
      <c r="B16" s="3559"/>
      <c r="C16" s="3577"/>
      <c r="D16" s="3595"/>
      <c r="E16" s="130" t="s">
        <v>1284</v>
      </c>
      <c r="F16" s="1756"/>
      <c r="G16" s="1756"/>
      <c r="H16" s="1756"/>
      <c r="I16" s="1372"/>
    </row>
    <row r="17" spans="1:36" ht="15">
      <c r="A17" s="1757" t="s">
        <v>1285</v>
      </c>
      <c r="B17" s="56"/>
      <c r="C17" s="131">
        <f>SUM(C5:C16)</f>
        <v>45</v>
      </c>
      <c r="D17" s="131">
        <f>SUM(D5:D16)</f>
        <v>55</v>
      </c>
      <c r="E17" s="128"/>
      <c r="F17" s="128"/>
      <c r="G17" s="128"/>
      <c r="H17" s="128"/>
      <c r="I17" s="128"/>
      <c r="K17" s="301"/>
      <c r="L17" s="301" t="s">
        <v>1286</v>
      </c>
      <c r="M17" s="301" t="s">
        <v>1287</v>
      </c>
    </row>
    <row r="18" spans="1:36" ht="31.9" customHeight="1" thickBot="1">
      <c r="A18" s="1758" t="s">
        <v>1288</v>
      </c>
      <c r="B18" s="1759"/>
      <c r="C18" s="132">
        <f>ROUND(C17/SUM(C17:D17),2)</f>
        <v>0.45</v>
      </c>
      <c r="D18" s="132">
        <f>1-C18</f>
        <v>0.55000000000000004</v>
      </c>
      <c r="E18" s="3582" t="s">
        <v>2131</v>
      </c>
      <c r="F18" s="3583"/>
      <c r="G18" s="3583"/>
      <c r="H18" s="3583"/>
      <c r="I18" s="3583"/>
      <c r="K18" s="301" t="s">
        <v>1289</v>
      </c>
      <c r="L18" s="301">
        <f>IF(C1="",'数据-汇总表'!E3,SUMIF(项目类型,C1,'数据-汇总表'!E17:E26)+SUMIF(项目类型,C1,'数据-汇总表'!I17:I26))</f>
        <v>101448.13</v>
      </c>
      <c r="M18" s="301">
        <f>IF(C1="",'数据-汇总表'!E3,SUMIF(项目类型,C1,'数据-汇总表'!E17:E26))</f>
        <v>101448.13</v>
      </c>
    </row>
    <row r="19" spans="1:36" ht="15">
      <c r="A19" s="1760" t="s">
        <v>1290</v>
      </c>
      <c r="B19" s="1761" t="s">
        <v>1291</v>
      </c>
      <c r="C19" s="133">
        <f ca="1">SUMIF(INDIRECT("'"&amp;C4&amp;"'"&amp;"!A:A"),结果表!B19,INDIRECT("'"&amp;C4&amp;"'"&amp;"!B:B"))</f>
        <v>276859</v>
      </c>
      <c r="D19" s="134">
        <f ca="1">SUMIF(INDIRECT("'"&amp;D4&amp;"'"&amp;"!A:A"),结果表!B19,INDIRECT("'"&amp;D4&amp;"'"&amp;"!B:B"))</f>
        <v>140455</v>
      </c>
      <c r="E19" s="1760" t="s">
        <v>1292</v>
      </c>
      <c r="F19" s="1761" t="s">
        <v>1291</v>
      </c>
      <c r="G19" s="135">
        <f ca="1">ROUND(C19*$C$18+D19*$D$18,0)</f>
        <v>201837</v>
      </c>
      <c r="H19" s="1762" t="s">
        <v>1293</v>
      </c>
      <c r="I19" s="128"/>
      <c r="K19" s="301" t="s">
        <v>1294</v>
      </c>
      <c r="L19" s="301">
        <f>IF(C1="",'数据-汇总表'!D3,SUMIF(项目类型,C1,'数据-汇总表'!D17:D26)+SUMIF(项目类型,C1,'数据-汇总表'!H17:H27))</f>
        <v>497445.96</v>
      </c>
      <c r="M19" s="301">
        <f>IF(C1="",'数据-汇总表'!D3,SUMIF(项目类型,C1,'数据-汇总表'!D17:D26))</f>
        <v>497445.96</v>
      </c>
    </row>
    <row r="20" spans="1:36" ht="15">
      <c r="A20" s="1763"/>
      <c r="B20" s="1025" t="s">
        <v>1295</v>
      </c>
      <c r="C20" s="136">
        <f ca="1">SUMIF(INDIRECT("'"&amp;C4&amp;"'"&amp;"!A:A"),结果表!B20,INDIRECT("'"&amp;C4&amp;"'"&amp;"!B:B"))</f>
        <v>27291</v>
      </c>
      <c r="D20" s="137">
        <f ca="1">SUMIF(INDIRECT("'"&amp;D4&amp;"'"&amp;"!A:A"),结果表!B20,INDIRECT("'"&amp;D4&amp;"'"&amp;"!B:B"))</f>
        <v>13845</v>
      </c>
      <c r="E20" s="1763"/>
      <c r="F20" s="1025" t="s">
        <v>1295</v>
      </c>
      <c r="G20" s="138">
        <f ca="1">ROUND(C20*$C$18+D20*$D$18,0)</f>
        <v>19896</v>
      </c>
      <c r="H20" s="807" t="s">
        <v>1296</v>
      </c>
      <c r="I20" s="128"/>
    </row>
    <row r="21" spans="1:36" ht="15" customHeight="1" thickBot="1">
      <c r="A21" s="827"/>
      <c r="B21" s="1764" t="s">
        <v>1297</v>
      </c>
      <c r="C21" s="718">
        <f ca="1">ROUND(C19*10000/L19,0)</f>
        <v>5566</v>
      </c>
      <c r="D21" s="719">
        <f ca="1">ROUND(D19*10000/L19,0)</f>
        <v>2824</v>
      </c>
      <c r="E21" s="827"/>
      <c r="F21" s="1764" t="s">
        <v>1297</v>
      </c>
      <c r="G21" s="139">
        <f ca="1">ROUND(G19*10000/L19,0)</f>
        <v>4057</v>
      </c>
      <c r="H21" s="1765" t="s">
        <v>1296</v>
      </c>
      <c r="I21" s="128"/>
    </row>
    <row r="22" spans="1:36" ht="15" thickBot="1">
      <c r="A22" s="1687" t="s">
        <v>1298</v>
      </c>
      <c r="B22" s="1766"/>
      <c r="C22" s="1767"/>
      <c r="D22" s="720">
        <f ca="1">IF(C19&lt;D19,D19/C19-1,C19/D19-1)</f>
        <v>0.97115802214232327</v>
      </c>
      <c r="E22" s="128"/>
      <c r="F22" s="128"/>
      <c r="G22" s="128"/>
      <c r="H22" s="128"/>
      <c r="I22" s="128"/>
    </row>
    <row r="23" spans="1:36" ht="13.5" thickBot="1">
      <c r="A23" s="1746"/>
      <c r="B23" s="1746"/>
      <c r="C23" s="1746"/>
      <c r="D23" s="1746"/>
      <c r="E23" s="128"/>
      <c r="F23" s="128"/>
      <c r="G23" s="128"/>
      <c r="H23" s="128"/>
      <c r="I23" s="128"/>
    </row>
    <row r="24" spans="1:36" ht="14.25">
      <c r="A24" s="3566" t="s">
        <v>1299</v>
      </c>
      <c r="B24" s="1761" t="s">
        <v>1291</v>
      </c>
      <c r="C24" s="135">
        <f>IF(B30=0,0,D30)</f>
        <v>0</v>
      </c>
      <c r="D24" s="1768"/>
      <c r="E24" s="128"/>
      <c r="F24" s="128"/>
      <c r="G24" s="128"/>
      <c r="H24" s="128"/>
      <c r="I24" s="128"/>
    </row>
    <row r="25" spans="1:36" ht="14.25">
      <c r="A25" s="3567"/>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1304</v>
      </c>
      <c r="B30" s="141"/>
      <c r="C30" s="141"/>
      <c r="D30" s="141"/>
      <c r="E30" s="2302" t="s">
        <v>2132</v>
      </c>
      <c r="F30" s="128"/>
      <c r="G30" s="128"/>
      <c r="H30" s="128"/>
      <c r="I30" s="128"/>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3">
        <f ca="1">IF(D32="总价",G19-C24,G20-C25)</f>
        <v>201837</v>
      </c>
      <c r="D32" s="1774" t="s">
        <v>3448</v>
      </c>
      <c r="E32" s="128"/>
      <c r="F32" s="128"/>
      <c r="G32" s="128"/>
      <c r="H32" s="128"/>
      <c r="I32" s="128"/>
    </row>
    <row r="33" spans="1:15" ht="15">
      <c r="A33" s="785" t="s">
        <v>1306</v>
      </c>
      <c r="B33" s="1775"/>
      <c r="C33" s="1776" t="s">
        <v>3449</v>
      </c>
      <c r="D33" s="1777" t="s">
        <v>3447</v>
      </c>
      <c r="E33" s="1778" t="s">
        <v>1307</v>
      </c>
      <c r="F33" s="1779" t="str">
        <f>IF(D32="楼面单价","取值（单价）","取值（总价）")</f>
        <v>取值（总价）</v>
      </c>
      <c r="G33" s="128"/>
      <c r="H33" s="128"/>
      <c r="I33" s="128"/>
    </row>
    <row r="34" spans="1:15" ht="15">
      <c r="A34" s="1780"/>
      <c r="B34" s="1781" t="s">
        <v>1308</v>
      </c>
      <c r="C34" s="147">
        <f ca="1">IF(C33="自定义",F34,C32-C35)</f>
        <v>173176</v>
      </c>
      <c r="D34" s="860">
        <f ca="1">IF(C33="自定义",ROUND(C34/C32,3),IF(C33="收益比率",SUMIF(INDIRECT("'"&amp;D33&amp;"'"&amp;"!b:b"),"土地收益比率",INDIRECT("'"&amp;D33&amp;"'"&amp;"!c:c")),SUMIF(INDIRECT("'"&amp;D33&amp;"'"&amp;"!b:b"),"土地成本比率",INDIRECT("'"&amp;D33&amp;"'"&amp;"!c:c"))))</f>
        <v>0.85799999999999998</v>
      </c>
      <c r="E34" s="1782" t="s">
        <v>1309</v>
      </c>
      <c r="F34" s="1329"/>
      <c r="G34" s="128"/>
      <c r="H34" s="128"/>
      <c r="I34" s="128"/>
    </row>
    <row r="35" spans="1:15" ht="15.75" thickBot="1">
      <c r="A35" s="1783"/>
      <c r="B35" s="1784" t="s">
        <v>1310</v>
      </c>
      <c r="C35" s="1169">
        <f ca="1">IF(C33="自定义",F35,ROUND(C32*D35,0))</f>
        <v>28661</v>
      </c>
      <c r="D35" s="1170">
        <f ca="1">IF(C33="自定义",ROUND(C35/C32,3),IF(C33="收益比率",SUMIF(INDIRECT("'"&amp;D33&amp;"'"&amp;"!b:b"),"建筑物收益比率",INDIRECT("'"&amp;D33&amp;"'"&amp;"!c:c")),SUMIF(INDIRECT("'"&amp;D33&amp;"'"&amp;"!b:b"),"建筑物成本比率",INDIRECT("'"&amp;D33&amp;"'"&amp;"!c:c"))))</f>
        <v>0.14199999999999999</v>
      </c>
      <c r="E35" s="1785" t="s">
        <v>1311</v>
      </c>
      <c r="F35" s="153"/>
      <c r="G35" s="128"/>
      <c r="H35" s="128"/>
      <c r="I35" s="128"/>
    </row>
    <row r="36" spans="1:15" ht="15.75" thickBot="1">
      <c r="A36" s="3586" t="s">
        <v>1312</v>
      </c>
      <c r="B36" s="1786" t="s">
        <v>1313</v>
      </c>
      <c r="C36" s="144"/>
      <c r="D36" s="1787"/>
      <c r="E36" s="1788"/>
      <c r="F36" s="1789"/>
      <c r="G36" s="128"/>
      <c r="H36" s="128"/>
      <c r="I36" s="128"/>
    </row>
    <row r="37" spans="1:15" ht="15.75" thickBot="1">
      <c r="A37" s="3587"/>
      <c r="B37" s="1673" t="s">
        <v>1314</v>
      </c>
      <c r="C37" s="146"/>
      <c r="D37" s="1138"/>
      <c r="E37" s="1138"/>
      <c r="F37" s="1789"/>
      <c r="G37" s="128"/>
      <c r="H37" s="128"/>
      <c r="I37" s="128"/>
    </row>
    <row r="38" spans="1:15" ht="15.75" thickBot="1">
      <c r="A38" s="3588"/>
      <c r="B38" s="1790" t="s">
        <v>1315</v>
      </c>
      <c r="C38" s="673"/>
      <c r="D38" s="1791" t="s">
        <v>1316</v>
      </c>
      <c r="E38" s="1138"/>
      <c r="F38" s="1789"/>
      <c r="G38" s="128"/>
      <c r="H38" s="128"/>
      <c r="I38" s="128"/>
    </row>
    <row r="39" spans="1:15" ht="15">
      <c r="A39" s="1763" t="s">
        <v>1317</v>
      </c>
      <c r="B39" s="1792" t="s">
        <v>1318</v>
      </c>
      <c r="C39" s="1793" t="s">
        <v>1319</v>
      </c>
      <c r="D39" s="1793" t="s">
        <v>1320</v>
      </c>
      <c r="E39" s="1794" t="s">
        <v>1321</v>
      </c>
      <c r="F39" s="1789"/>
      <c r="G39" s="128"/>
      <c r="H39" s="128"/>
      <c r="I39" s="128"/>
    </row>
    <row r="40" spans="1:15" ht="14.25">
      <c r="A40" s="1795" t="s">
        <v>1322</v>
      </c>
      <c r="B40" s="148"/>
      <c r="C40" s="149"/>
      <c r="D40" s="149"/>
      <c r="E40" s="150"/>
      <c r="F40" s="1789"/>
      <c r="G40" s="128"/>
      <c r="H40" s="128"/>
      <c r="I40" s="128"/>
    </row>
    <row r="41" spans="1:15" ht="14.25">
      <c r="A41" s="1795" t="s">
        <v>1323</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3" t="s">
        <v>1326</v>
      </c>
      <c r="B45" s="3564"/>
      <c r="C45" s="3565"/>
      <c r="D45" s="154">
        <f ca="1">ROUND(H101*F45,0)</f>
        <v>201837</v>
      </c>
      <c r="E45" s="155" t="s">
        <v>1327</v>
      </c>
      <c r="F45" s="156">
        <v>1</v>
      </c>
      <c r="G45" s="157" t="s">
        <v>1328</v>
      </c>
      <c r="H45" s="128"/>
      <c r="I45" s="128"/>
      <c r="J45" s="3641" t="s">
        <v>1329</v>
      </c>
      <c r="K45" s="3641"/>
      <c r="L45" s="3641"/>
      <c r="M45" s="3641"/>
      <c r="N45" s="3641"/>
      <c r="O45" s="3641"/>
    </row>
    <row r="46" spans="1:15" ht="14.25" customHeight="1">
      <c r="A46" s="3560" t="s">
        <v>1330</v>
      </c>
      <c r="B46" s="3561"/>
      <c r="C46" s="3561"/>
      <c r="D46" s="3561"/>
      <c r="E46" s="3561"/>
      <c r="F46" s="3561"/>
      <c r="G46" s="3562"/>
      <c r="H46" s="1805"/>
      <c r="I46" s="158"/>
      <c r="J46" s="2522">
        <v>1</v>
      </c>
      <c r="K46" s="3622" t="s">
        <v>1331</v>
      </c>
      <c r="L46" s="3622"/>
      <c r="M46" s="3642"/>
      <c r="N46" s="3642"/>
      <c r="O46" s="3642"/>
    </row>
    <row r="47" spans="1:15" ht="12" customHeight="1">
      <c r="A47" s="159" t="s">
        <v>1332</v>
      </c>
      <c r="B47" s="160"/>
      <c r="C47" s="161"/>
      <c r="D47" s="1086" t="s">
        <v>1333</v>
      </c>
      <c r="E47" s="301" t="s">
        <v>1334</v>
      </c>
      <c r="F47" s="162" t="s">
        <v>1335</v>
      </c>
      <c r="G47" s="2545" t="s">
        <v>1336</v>
      </c>
      <c r="H47" s="2546"/>
      <c r="I47" s="158"/>
      <c r="J47" s="2522">
        <v>2</v>
      </c>
      <c r="K47" s="3622" t="s">
        <v>1337</v>
      </c>
      <c r="L47" s="3622"/>
      <c r="M47" s="3643">
        <f>'数据-取费表'!B2</f>
        <v>45230</v>
      </c>
      <c r="N47" s="3643"/>
      <c r="O47" s="3643"/>
    </row>
    <row r="48" spans="1:15" ht="25.5">
      <c r="A48" s="3591" t="s">
        <v>1338</v>
      </c>
      <c r="B48" s="3574"/>
      <c r="C48" s="357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22" t="s">
        <v>1340</v>
      </c>
      <c r="L48" s="3622"/>
      <c r="M48" s="3644">
        <f ca="1">H101</f>
        <v>201837</v>
      </c>
      <c r="N48" s="3644"/>
      <c r="O48" s="3644"/>
    </row>
    <row r="49" spans="1:35" ht="25.5" customHeight="1">
      <c r="A49" s="2332" t="s">
        <v>1341</v>
      </c>
      <c r="B49" s="3558" t="s">
        <v>1342</v>
      </c>
      <c r="C49" s="3558"/>
      <c r="D49" s="1589">
        <v>0</v>
      </c>
      <c r="E49" s="323" t="s">
        <v>1343</v>
      </c>
      <c r="F49" s="2423" t="s">
        <v>28</v>
      </c>
      <c r="G49" s="3628"/>
      <c r="H49" s="2309" t="s">
        <v>2134</v>
      </c>
      <c r="I49" s="2310"/>
      <c r="J49" s="2522">
        <v>4</v>
      </c>
      <c r="K49" s="3622" t="str">
        <f>IF(项目基本情况!E8="房地产抵押价值","房地产抵押价值","抵押担保权已注销时的房地产抵押价值")</f>
        <v>房地产抵押价值</v>
      </c>
      <c r="L49" s="3622"/>
      <c r="M49" s="3644">
        <f ca="1">IF(项目基本情况!E8="房地产抵押价值",H107,H109)</f>
        <v>201837</v>
      </c>
      <c r="N49" s="3644"/>
      <c r="O49" s="3644"/>
    </row>
    <row r="50" spans="1:35" ht="25.5" customHeight="1">
      <c r="A50" s="2550"/>
      <c r="B50" s="3558" t="s">
        <v>1344</v>
      </c>
      <c r="C50" s="3558"/>
      <c r="D50" s="2551"/>
      <c r="E50" s="331"/>
      <c r="F50" s="2423"/>
      <c r="G50" s="3629"/>
      <c r="H50" s="2311" t="s">
        <v>2135</v>
      </c>
      <c r="I50" s="2310"/>
      <c r="J50" s="3641" t="s">
        <v>1345</v>
      </c>
      <c r="K50" s="3641"/>
      <c r="L50" s="3641"/>
      <c r="M50" s="3641"/>
      <c r="N50" s="3641"/>
      <c r="O50" s="3641"/>
    </row>
    <row r="51" spans="1:35" ht="20.45" customHeight="1">
      <c r="A51" s="2552"/>
      <c r="B51" s="3558" t="s">
        <v>1346</v>
      </c>
      <c r="C51" s="3558"/>
      <c r="D51" s="1086"/>
      <c r="E51" s="326"/>
      <c r="F51" s="2423"/>
      <c r="G51" s="3630"/>
      <c r="H51" s="2311" t="s">
        <v>2136</v>
      </c>
      <c r="I51" s="2310"/>
      <c r="J51" s="2523" t="s">
        <v>1347</v>
      </c>
      <c r="K51" s="3622" t="s">
        <v>1348</v>
      </c>
      <c r="L51" s="3622"/>
      <c r="M51" s="2523" t="s">
        <v>1349</v>
      </c>
      <c r="N51" s="2523" t="s">
        <v>1350</v>
      </c>
      <c r="O51" s="2523" t="s">
        <v>1351</v>
      </c>
    </row>
    <row r="52" spans="1:35" ht="24" customHeight="1">
      <c r="A52" s="2334" t="s">
        <v>1352</v>
      </c>
      <c r="B52" s="3558" t="s">
        <v>1353</v>
      </c>
      <c r="C52" s="3558"/>
      <c r="D52" s="1086">
        <f ca="1">ROUND(D45*'数据-取费表'!B41/(1+'数据-取费表'!C42),0)</f>
        <v>10572</v>
      </c>
      <c r="E52" s="2333" t="s">
        <v>1354</v>
      </c>
      <c r="F52" s="2553">
        <f>'数据-取费表'!B41</f>
        <v>5.5000000000000007E-2</v>
      </c>
      <c r="G52" s="2554"/>
      <c r="H52" s="2543"/>
      <c r="I52" s="1806"/>
      <c r="J52" s="2522">
        <v>1</v>
      </c>
      <c r="K52" s="3623" t="s">
        <v>1355</v>
      </c>
      <c r="L52" s="3623"/>
      <c r="M52" s="2524" t="b">
        <f>D48</f>
        <v>0</v>
      </c>
      <c r="N52" s="2522" t="str">
        <f>E48</f>
        <v>销售额×税（费）率</v>
      </c>
      <c r="O52" s="2525">
        <f>F48</f>
        <v>5.5000000000000007E-2</v>
      </c>
    </row>
    <row r="53" spans="1:35" ht="12" customHeight="1">
      <c r="A53" s="2334" t="s">
        <v>1356</v>
      </c>
      <c r="B53" s="3584" t="s">
        <v>2291</v>
      </c>
      <c r="C53" s="3585"/>
      <c r="D53" s="1086">
        <f ca="1">ROUND(D45*'数据-取费表'!B41/(1+'数据-取费表'!C42),0)</f>
        <v>10572</v>
      </c>
      <c r="E53" s="2333" t="s">
        <v>1354</v>
      </c>
      <c r="F53" s="2553">
        <f>'数据-取费表'!B41</f>
        <v>5.5000000000000007E-2</v>
      </c>
      <c r="G53" s="2554"/>
      <c r="H53" s="2543"/>
      <c r="I53" s="1806"/>
      <c r="J53" s="2522">
        <v>2</v>
      </c>
      <c r="K53" s="3623" t="s">
        <v>1357</v>
      </c>
      <c r="L53" s="3623"/>
      <c r="M53" s="2524">
        <f t="shared" ref="M53:O54" ca="1" si="0">D55</f>
        <v>101</v>
      </c>
      <c r="N53" s="2522" t="str">
        <f t="shared" si="0"/>
        <v>销售额×税（费）率</v>
      </c>
      <c r="O53" s="2525" t="str">
        <f t="shared" si="0"/>
        <v>免征</v>
      </c>
    </row>
    <row r="54" spans="1:35" ht="12" customHeight="1">
      <c r="A54" s="2334" t="s">
        <v>1358</v>
      </c>
      <c r="B54" s="3584" t="s">
        <v>2292</v>
      </c>
      <c r="C54" s="3585"/>
      <c r="D54" s="1086">
        <f ca="1">C68</f>
        <v>10572</v>
      </c>
      <c r="E54" s="326" t="s">
        <v>1359</v>
      </c>
      <c r="F54" s="2553">
        <f>'数据-取费表'!B41</f>
        <v>5.5000000000000007E-2</v>
      </c>
      <c r="G54" s="2554"/>
      <c r="H54" s="2555"/>
      <c r="I54" s="1806"/>
      <c r="J54" s="2522">
        <v>3</v>
      </c>
      <c r="K54" s="3623" t="s">
        <v>1360</v>
      </c>
      <c r="L54" s="3623"/>
      <c r="M54" s="2524">
        <f t="shared" ca="1" si="0"/>
        <v>114423</v>
      </c>
      <c r="N54" s="2522" t="str">
        <f t="shared" si="0"/>
        <v>增值额×税（费）率</v>
      </c>
      <c r="O54" s="2526" t="str">
        <f t="shared" si="0"/>
        <v>免征</v>
      </c>
    </row>
    <row r="55" spans="1:35" ht="24" customHeight="1">
      <c r="A55" s="3573" t="s">
        <v>1361</v>
      </c>
      <c r="B55" s="3574"/>
      <c r="C55" s="3574"/>
      <c r="D55" s="2323">
        <f ca="1">IF(H55="个人住宅",0,ROUND(D45*I55,0))</f>
        <v>101</v>
      </c>
      <c r="E55" s="2333" t="s">
        <v>1362</v>
      </c>
      <c r="F55" s="2553" t="str">
        <f>IF(H55="正常",I55,"免征")</f>
        <v>免征</v>
      </c>
      <c r="G55" s="2554"/>
      <c r="H55" s="2549"/>
      <c r="I55" s="164">
        <f>'数据-取费表'!B49</f>
        <v>5.0000000000000001E-4</v>
      </c>
      <c r="J55" s="2522">
        <f>IF(H59="非个人房产","",4)</f>
        <v>4</v>
      </c>
      <c r="K55" s="3623" t="str">
        <f>IF(H59="非个人房产","——","个人所得税")</f>
        <v>个人所得税</v>
      </c>
      <c r="L55" s="3623"/>
      <c r="M55" s="2527">
        <f ca="1">D59</f>
        <v>1922</v>
      </c>
      <c r="N55" s="2039" t="str">
        <f>E59</f>
        <v>差额计税</v>
      </c>
      <c r="O55" s="2528">
        <f>F59</f>
        <v>0.01</v>
      </c>
    </row>
    <row r="56" spans="1:35" ht="24.75">
      <c r="A56" s="3573" t="s">
        <v>1363</v>
      </c>
      <c r="B56" s="3574"/>
      <c r="C56" s="3574"/>
      <c r="D56" s="2323">
        <f ca="1">IF(H56="个人住宅",D57,D58)</f>
        <v>114423</v>
      </c>
      <c r="E56" s="2333" t="s">
        <v>1364</v>
      </c>
      <c r="F56" s="2553" t="str">
        <f>IF(H56="正常",F58,"免征")</f>
        <v>免征</v>
      </c>
      <c r="G56" s="2556" t="s">
        <v>1365</v>
      </c>
      <c r="H56" s="2557"/>
      <c r="I56" s="1807"/>
      <c r="J56" s="2522" t="str">
        <f>IF(项目基本情况!K6="上海银行",IF(J55="",4,J55+1),"")</f>
        <v/>
      </c>
      <c r="K56" s="3646" t="str">
        <f>IF(项目基本情况!K6="上海银行","其他处置费用","")</f>
        <v/>
      </c>
      <c r="L56" s="3647"/>
      <c r="M56" s="2524" t="str">
        <f>IF(项目基本情况!K6="上海银行",M69,"")</f>
        <v/>
      </c>
      <c r="N56" s="3646" t="str">
        <f>IF(项目基本情况!K6="上海银行","包含处置中涉及的律师、诉讼、拍卖、评估等费用","")</f>
        <v/>
      </c>
      <c r="O56" s="3649"/>
    </row>
    <row r="57" spans="1:35" ht="12.75">
      <c r="A57" s="2334" t="s">
        <v>1341</v>
      </c>
      <c r="B57" s="3584" t="s">
        <v>1366</v>
      </c>
      <c r="C57" s="3585"/>
      <c r="D57" s="1589">
        <v>0</v>
      </c>
      <c r="E57" s="323" t="s">
        <v>1343</v>
      </c>
      <c r="F57" s="301"/>
      <c r="G57" s="2554"/>
      <c r="H57" s="2558"/>
      <c r="I57" s="1807"/>
      <c r="J57" s="3623">
        <f>IF(AND(J55="",J56=""),4,IF(项目基本情况!K6="上海银行",结果表!J56+1,结果表!J55+1))</f>
        <v>5</v>
      </c>
      <c r="K57" s="3623" t="s">
        <v>1367</v>
      </c>
      <c r="L57" s="2529" t="s">
        <v>1368</v>
      </c>
      <c r="M57" s="2530"/>
      <c r="N57" s="2531">
        <f ca="1">SUMIF(M52:M56,"&lt;9e307")</f>
        <v>116446</v>
      </c>
      <c r="O57" s="2532"/>
      <c r="P57" s="2689">
        <f ca="1">N57/M49</f>
        <v>0.5769308897773946</v>
      </c>
    </row>
    <row r="58" spans="1:35" ht="24.75">
      <c r="A58" s="2334" t="s">
        <v>1352</v>
      </c>
      <c r="B58" s="3584" t="s">
        <v>1369</v>
      </c>
      <c r="C58" s="3558"/>
      <c r="D58" s="2323">
        <f ca="1">IF(H58="转让取得",C81,C97)</f>
        <v>114423</v>
      </c>
      <c r="E58" s="2333" t="s">
        <v>1364</v>
      </c>
      <c r="F58" s="301" t="s">
        <v>28</v>
      </c>
      <c r="G58" s="2554"/>
      <c r="H58" s="2557"/>
      <c r="I58" s="1807"/>
      <c r="J58" s="3623"/>
      <c r="K58" s="3623"/>
      <c r="L58" s="2529" t="s">
        <v>1370</v>
      </c>
      <c r="M58" s="2533"/>
      <c r="N58" s="2534" t="str">
        <f ca="1">NUMBERSTRING(INT(N57*10000),2)&amp;"元整"</f>
        <v>壹拾壹亿陆仟肆佰肆拾陆万元整</v>
      </c>
      <c r="O58" s="2535"/>
    </row>
    <row r="59" spans="1:35" ht="24.75" thickBot="1">
      <c r="A59" s="3626" t="s">
        <v>1371</v>
      </c>
      <c r="B59" s="3627"/>
      <c r="C59" s="3627"/>
      <c r="D59" s="2559">
        <f ca="1">IF(H59="非个人房产","——",IF(H59="个人住宅（满五唯一有凭证）",0,IF(H59="个人其他（无凭证）",ROUND(D45*F59,0),ROUND(C67*F59,0))))</f>
        <v>1922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24">
        <f>J57+1</f>
        <v>6</v>
      </c>
      <c r="K59" s="3623" t="s">
        <v>1372</v>
      </c>
      <c r="L59" s="2522" t="s">
        <v>1368</v>
      </c>
      <c r="M59" s="2536"/>
      <c r="N59" s="2537">
        <f ca="1">M49-N57</f>
        <v>85391</v>
      </c>
      <c r="O59" s="2538"/>
    </row>
    <row r="60" spans="1:35" ht="12" customHeight="1">
      <c r="A60" s="1808"/>
      <c r="B60" s="1746"/>
      <c r="C60" s="1746"/>
      <c r="D60" s="1746"/>
      <c r="E60" s="1577"/>
      <c r="F60" s="1807"/>
      <c r="G60" s="1807"/>
      <c r="H60" s="1809"/>
      <c r="I60" s="128"/>
      <c r="J60" s="3625"/>
      <c r="K60" s="3623"/>
      <c r="L60" s="2529" t="s">
        <v>1370</v>
      </c>
      <c r="M60" s="2533"/>
      <c r="N60" s="2534" t="str">
        <f ca="1">NUMBERSTRING(INT(N59*10000),2)&amp;"元整"</f>
        <v>捌亿伍仟叁佰玖拾壹万元整</v>
      </c>
      <c r="O60" s="2535"/>
    </row>
    <row r="61" spans="1:35" ht="13.5" thickBot="1">
      <c r="A61" s="3571" t="s">
        <v>1373</v>
      </c>
      <c r="B61" s="3571"/>
      <c r="C61" s="3571"/>
      <c r="D61" s="3571"/>
      <c r="E61" s="3571"/>
      <c r="F61" s="1807"/>
      <c r="G61" s="1807"/>
      <c r="H61" s="1809"/>
      <c r="I61" s="128"/>
      <c r="J61" s="2522">
        <f>J59+1</f>
        <v>7</v>
      </c>
      <c r="K61" s="3623" t="s">
        <v>1374</v>
      </c>
      <c r="L61" s="3623"/>
      <c r="M61" s="2539"/>
      <c r="N61" s="2540">
        <f ca="1">ROUND(N59*10000/'数据-汇总表'!E3,0)</f>
        <v>8417</v>
      </c>
      <c r="O61" s="2541"/>
    </row>
    <row r="62" spans="1:35" ht="12.75">
      <c r="A62" s="3589" t="s">
        <v>1375</v>
      </c>
      <c r="B62" s="3590"/>
      <c r="C62" s="2020"/>
      <c r="D62" s="2020" t="s">
        <v>1376</v>
      </c>
      <c r="E62" s="165" t="s">
        <v>1377</v>
      </c>
      <c r="F62" s="1807"/>
      <c r="G62" s="1807"/>
      <c r="H62" s="1809"/>
      <c r="I62" s="128"/>
    </row>
    <row r="63" spans="1:35" ht="12.75">
      <c r="A63" s="172" t="s">
        <v>330</v>
      </c>
      <c r="B63" s="166" t="s">
        <v>1378</v>
      </c>
      <c r="C63" s="2563">
        <f ca="1">ROUND((C64+C65)/(1+'数据-取费表'!C42),0)</f>
        <v>192226</v>
      </c>
      <c r="D63" s="166"/>
      <c r="E63" s="167"/>
      <c r="F63" s="1807"/>
      <c r="G63" s="1807"/>
      <c r="H63" s="1809"/>
      <c r="I63" s="128"/>
      <c r="J63" s="3648" t="s">
        <v>1379</v>
      </c>
      <c r="K63" s="1331" t="s">
        <v>1380</v>
      </c>
      <c r="L63" s="1331">
        <f ca="1">IF(M49&gt;10000,M49*0.5%,IF(AND(M49&gt;1000,M49&lt;=10000),M49*1%,IF(AND(M49&gt;100,M49&lt;=1000),M49*3%,IF(AND(M49&gt;10,M49&lt;=100),M49*5%,M49*8%))))</f>
        <v>1009.1850000000001</v>
      </c>
      <c r="M63" s="301">
        <f ca="1">ROUND(L63,1)</f>
        <v>1009.2</v>
      </c>
      <c r="N63" s="2542"/>
      <c r="Z63" s="1751"/>
      <c r="AI63" s="1752"/>
    </row>
    <row r="64" spans="1:35" ht="14.25" customHeight="1">
      <c r="A64" s="168" t="s">
        <v>325</v>
      </c>
      <c r="B64" s="169" t="s">
        <v>1381</v>
      </c>
      <c r="C64" s="2564">
        <f ca="1">D45</f>
        <v>201837</v>
      </c>
      <c r="D64" s="169" t="s">
        <v>26</v>
      </c>
      <c r="E64" s="171"/>
      <c r="F64" s="1807"/>
      <c r="G64" s="1807"/>
      <c r="H64" s="1809"/>
      <c r="I64" s="128"/>
      <c r="J64" s="3648"/>
      <c r="K64" s="1331" t="s">
        <v>1382</v>
      </c>
      <c r="L64" s="1331">
        <f ca="1">IF(M49&gt;2000,M49*0.5%,IF(AND(M49&gt;1000,M49&lt;=2000),M49*0.6%,IF(AND(M49&gt;500,M49&lt;=1000),M49*0.7%,IF(AND(M49&gt;200,M49&lt;=500),M49*0.8%,IF(AND(M49&gt;100,M49&lt;=200),M49*0.9%,IF(AND(M49&gt;50,M49&lt;=100),M49*1%,IF(AND(M49&gt;20,M49&lt;=50),M49*1.5%,IF(AND(M49&gt;10,M49&lt;=20),M49*2%,IF(AND(M49&gt;1,M49&lt;=10),M49*2.5%)))))))))</f>
        <v>1009.1850000000001</v>
      </c>
      <c r="M64" s="301">
        <f t="shared" ref="M64:M65" ca="1" si="1">ROUND(L64,1)</f>
        <v>1009.2</v>
      </c>
      <c r="N64" s="2543" t="s">
        <v>1383</v>
      </c>
      <c r="Z64" s="1751"/>
      <c r="AI64" s="1752"/>
    </row>
    <row r="65" spans="1:35" ht="14.25" customHeight="1">
      <c r="A65" s="168" t="s">
        <v>326</v>
      </c>
      <c r="B65" s="169" t="s">
        <v>1384</v>
      </c>
      <c r="C65" s="2565"/>
      <c r="D65" s="169"/>
      <c r="E65" s="171"/>
      <c r="F65" s="1807"/>
      <c r="G65" s="1807"/>
      <c r="H65" s="1809"/>
      <c r="I65" s="128"/>
      <c r="J65" s="3648"/>
      <c r="K65" s="1331" t="s">
        <v>1385</v>
      </c>
      <c r="L65" s="1331">
        <f ca="1">IF(M49&gt;1000,M49*0.1%,IF(AND(M49&gt;500,M49&lt;=1000),M49*0.5%,IF(AND(M49&gt;50,M49&lt;=500),M49*1%,IF(AND(M49&gt;1,M49&lt;=50),M49*1.5%))))</f>
        <v>201.83700000000002</v>
      </c>
      <c r="M65" s="301">
        <f t="shared" ca="1" si="1"/>
        <v>201.8</v>
      </c>
      <c r="N65" s="2543" t="s">
        <v>1383</v>
      </c>
      <c r="Z65" s="1751"/>
      <c r="AI65" s="1752"/>
    </row>
    <row r="66" spans="1:35" ht="14.25" customHeight="1">
      <c r="A66" s="172" t="s">
        <v>327</v>
      </c>
      <c r="B66" s="173" t="s">
        <v>1386</v>
      </c>
      <c r="C66" s="2566"/>
      <c r="D66" s="173" t="s">
        <v>26</v>
      </c>
      <c r="E66" s="1337" t="s">
        <v>671</v>
      </c>
      <c r="F66" s="1807"/>
      <c r="G66" s="1807"/>
      <c r="H66" s="1809"/>
      <c r="I66" s="128"/>
      <c r="J66" s="3648"/>
      <c r="K66" s="1331" t="s">
        <v>1387</v>
      </c>
      <c r="L66" s="1331">
        <f ca="1">M49*0.5%</f>
        <v>1009.1850000000001</v>
      </c>
      <c r="M66" s="301">
        <f ca="1">IF(L66&gt;0.5,0.5,ROUND(L66,0))</f>
        <v>0.5</v>
      </c>
      <c r="N66" s="2543" t="s">
        <v>1388</v>
      </c>
      <c r="Z66" s="1751"/>
      <c r="AI66" s="1752"/>
    </row>
    <row r="67" spans="1:35" ht="14.25" customHeight="1">
      <c r="A67" s="172" t="s">
        <v>328</v>
      </c>
      <c r="B67" s="173" t="s">
        <v>1389</v>
      </c>
      <c r="C67" s="2567">
        <f ca="1">C63-C66</f>
        <v>192226</v>
      </c>
      <c r="D67" s="169" t="s">
        <v>26</v>
      </c>
      <c r="E67" s="171"/>
      <c r="F67" s="1807"/>
      <c r="G67" s="1807"/>
      <c r="H67" s="1809"/>
      <c r="I67" s="128"/>
      <c r="J67" s="3648"/>
      <c r="K67" s="1331" t="s">
        <v>1390</v>
      </c>
      <c r="L67" s="1331">
        <f ca="1">IF(M49&gt;=10000,(8.25+(M49-10000)*0.01%),IF(AND(M49&gt;=8000,M49&lt;10000),(7.85+(M49-8000)*0.02%),IF(AND(M49&gt;=5000,M49&lt;8000),(6.65+(M49-5000)*0.04%),IF(AND(M49&gt;=2000,M49&lt;5000),(4.25+(PM49-2000)*0.08%),IF(AND(M49&gt;=1000,M49&lt;2000),(2.75+(M49-1000)*0.15%),IF(AND(M49&gt;=100,M49&lt;1000),(0.5+(M49-100)*0.25%),IF(AND(M49&gt;0,M49&lt;100),M49*0.5%)))))))</f>
        <v>27.433700000000002</v>
      </c>
      <c r="M67" s="301">
        <f ca="1">ROUND(L67*0.9,1)</f>
        <v>24.7</v>
      </c>
      <c r="N67" s="2542"/>
      <c r="Z67" s="1751"/>
      <c r="AI67" s="1752"/>
    </row>
    <row r="68" spans="1:35" ht="14.25" customHeight="1" thickBot="1">
      <c r="A68" s="175" t="s">
        <v>329</v>
      </c>
      <c r="B68" s="176" t="s">
        <v>1391</v>
      </c>
      <c r="C68" s="2568">
        <f ca="1">IF(C67&lt;=0,0,ROUND(C67*D68,0))</f>
        <v>10572</v>
      </c>
      <c r="D68" s="2569">
        <f>'数据-取费表'!B41</f>
        <v>5.5000000000000007E-2</v>
      </c>
      <c r="E68" s="177"/>
      <c r="F68" s="1807"/>
      <c r="G68" s="1807"/>
      <c r="H68" s="1809"/>
      <c r="I68" s="128"/>
      <c r="J68" s="3648"/>
      <c r="K68" s="1331" t="s">
        <v>1392</v>
      </c>
      <c r="L68" s="1331">
        <f ca="1">IF(M49&gt;10000,M49*0.5%,IF(AND(M49&gt;5000,M49&lt;=10000),M49*1%,IF(AND(M49&gt;1000,M49&lt;=5000),M49*2%,IF(AND(M49&gt;200,M49&lt;=1000),M49*3%,M49*5%))))</f>
        <v>1009.1850000000001</v>
      </c>
      <c r="M68" s="301">
        <f ca="1">ROUND(L68,1)</f>
        <v>1009.2</v>
      </c>
      <c r="N68" s="2542"/>
      <c r="Z68" s="1751"/>
      <c r="AI68" s="1752"/>
    </row>
    <row r="69" spans="1:35" s="1771" customFormat="1" ht="16.5" customHeight="1">
      <c r="A69" s="1810"/>
      <c r="B69" s="1811"/>
      <c r="C69" s="1812"/>
      <c r="D69" s="1813"/>
      <c r="E69" s="1814"/>
      <c r="F69" s="1577"/>
      <c r="G69" s="1577"/>
      <c r="H69" s="1576"/>
      <c r="I69" s="1746"/>
      <c r="J69" s="3648"/>
      <c r="K69" s="1331" t="s">
        <v>1393</v>
      </c>
      <c r="L69" s="1331"/>
      <c r="M69" s="301">
        <f ca="1">ROUND(SUM(M63:M68),0)</f>
        <v>3255</v>
      </c>
      <c r="N69" s="2544">
        <f ca="1">M69/M49</f>
        <v>1.6126874656282049E-2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1395</v>
      </c>
      <c r="C72" s="2567">
        <f ca="1">ROUND(D45/(1+'数据-取费表'!C42),0)</f>
        <v>192226</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1396</v>
      </c>
      <c r="C73" s="2567">
        <f ca="1">C74+C78</f>
        <v>961</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961</v>
      </c>
      <c r="D78" s="2576">
        <f>'数据-取费表'!B43</f>
        <v>5.000000000000001E-3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1407</v>
      </c>
      <c r="C79" s="2567">
        <f ca="1">C72-C73</f>
        <v>191265</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199.02705515088451</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1409</v>
      </c>
      <c r="C81" s="2578">
        <f ca="1">ROUND(IF(C79&lt;=0,0,IF(C80&gt;=200%,C79*60%-C73*35%,IF(C80&gt;=100%,C79*50%-C73*15%,IF(C80&gt;=50%,C79*40%-C73*5%,IF(C80&lt;50%,C79*30%,0))))),0)</f>
        <v>114423</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1395</v>
      </c>
      <c r="C85" s="2567">
        <f ca="1">ROUND(D45/(1+'数据-取费表'!C42),0)</f>
        <v>192226</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1396</v>
      </c>
      <c r="C86" s="2567">
        <f ca="1">IF(H88="仅含出让金",C87+C90+C91+C92+C93+C94,C87+C91+C92+C93+C94)</f>
        <v>961</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1412</v>
      </c>
      <c r="C88" s="2581"/>
      <c r="D88" s="2576"/>
      <c r="E88" s="192" t="s">
        <v>1413</v>
      </c>
      <c r="F88" s="2326"/>
      <c r="G88" s="193"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1416</v>
      </c>
      <c r="C90" s="2581"/>
      <c r="D90" s="2576"/>
      <c r="E90" s="192" t="str">
        <f>IF(H88="-","土地取得成本中已包含该笔费用"," ")</f>
        <v xml:space="preserve"> </v>
      </c>
      <c r="F90" s="2326"/>
      <c r="G90" s="3650" t="s">
        <v>2129</v>
      </c>
      <c r="H90" s="3651"/>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568" t="s">
        <v>1422</v>
      </c>
      <c r="F92" s="3569"/>
      <c r="G92" s="3569"/>
      <c r="H92" s="3578"/>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961</v>
      </c>
      <c r="D93" s="2576">
        <f>'数据-取费表'!B43</f>
        <v>5.000000000000001E-3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1407</v>
      </c>
      <c r="C95" s="2567">
        <f ca="1">ROUND(C85-C86,0)</f>
        <v>191265</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199.02705515088451</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1409</v>
      </c>
      <c r="C97" s="2578">
        <f ca="1">ROUND(IF(C95&lt;=0,0,IF(C96&gt;=200%,C95*60%-C86*35%,IF(C96&gt;=100%,C95*50%-C86*15%,IF(C96&gt;=50%,C95*40%-C86*5%,IF(C96&lt;50%,C95*30%,0))))),0)</f>
        <v>114423</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2" t="s">
        <v>1428</v>
      </c>
      <c r="B100" s="3553"/>
      <c r="C100" s="3553"/>
      <c r="D100" s="3570"/>
      <c r="E100" s="3553" t="s">
        <v>1429</v>
      </c>
      <c r="F100" s="3553"/>
      <c r="G100" s="3553"/>
      <c r="H100" s="3570"/>
      <c r="I100" s="128"/>
    </row>
    <row r="101" spans="1:35" ht="18.75" customHeight="1">
      <c r="A101" s="3631" t="s">
        <v>1430</v>
      </c>
      <c r="B101" s="3632"/>
      <c r="C101" s="2584" t="str">
        <f>C4</f>
        <v>成本法</v>
      </c>
      <c r="D101" s="2585" t="str">
        <f>D4</f>
        <v>收益法</v>
      </c>
      <c r="E101" s="3645" t="s">
        <v>1431</v>
      </c>
      <c r="F101" s="3602"/>
      <c r="G101" s="1826" t="s">
        <v>1432</v>
      </c>
      <c r="H101" s="2594">
        <f ca="1">H118</f>
        <v>201837</v>
      </c>
      <c r="I101" s="128"/>
    </row>
    <row r="102" spans="1:35" ht="18.75" customHeight="1">
      <c r="A102" s="3604" t="s">
        <v>1433</v>
      </c>
      <c r="B102" s="2583" t="s">
        <v>1432</v>
      </c>
      <c r="C102" s="2584">
        <f ca="1">IF(D32="楼面单价",ROUND(C19,0),C19)</f>
        <v>276859</v>
      </c>
      <c r="D102" s="2585">
        <f ca="1">IF(D32="楼面单价",ROUND(D19,0),D19)</f>
        <v>140455</v>
      </c>
      <c r="E102" s="3645"/>
      <c r="F102" s="3602"/>
      <c r="G102" s="1826" t="s">
        <v>1434</v>
      </c>
      <c r="H102" s="2554">
        <f ca="1">I118</f>
        <v>19896</v>
      </c>
      <c r="I102" s="128"/>
    </row>
    <row r="103" spans="1:35" ht="42.75" customHeight="1">
      <c r="A103" s="3604"/>
      <c r="B103" s="2583" t="s">
        <v>1434</v>
      </c>
      <c r="C103" s="2586">
        <f ca="1">C20</f>
        <v>27291</v>
      </c>
      <c r="D103" s="2587">
        <f ca="1">D20</f>
        <v>13845</v>
      </c>
      <c r="E103" s="3639" t="s">
        <v>1435</v>
      </c>
      <c r="F103" s="3640"/>
      <c r="G103" s="1827" t="s">
        <v>1436</v>
      </c>
      <c r="H103" s="2594">
        <f>IF(D36="正常操作",H104+H105+H106,H105+H106)</f>
        <v>0</v>
      </c>
      <c r="I103" s="128"/>
    </row>
    <row r="104" spans="1:35" ht="18.75" customHeight="1">
      <c r="A104" s="3604" t="s">
        <v>1437</v>
      </c>
      <c r="B104" s="2588" t="s">
        <v>1432</v>
      </c>
      <c r="C104" s="2589">
        <f ca="1">H118</f>
        <v>201837</v>
      </c>
      <c r="D104" s="2590"/>
      <c r="E104" s="1673" t="s">
        <v>1438</v>
      </c>
      <c r="F104" s="1665"/>
      <c r="G104" s="1827" t="s">
        <v>1436</v>
      </c>
      <c r="H104" s="2595">
        <f>IF(D36="同一抵押权人同一抵押物续贷",C36&amp;"（续贷，未扣减，详见特别提示）",C36)</f>
        <v>0</v>
      </c>
      <c r="I104" s="128"/>
    </row>
    <row r="105" spans="1:35" ht="18.75" customHeight="1" thickBot="1">
      <c r="A105" s="3605"/>
      <c r="B105" s="2591" t="s">
        <v>1434</v>
      </c>
      <c r="C105" s="2592">
        <f ca="1">I118</f>
        <v>19896</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601" t="str">
        <f>IF(项目基本情况!E8="已注销","——","3.房地产抵押价值")</f>
        <v>3.房地产抵押价值</v>
      </c>
      <c r="F107" s="3602"/>
      <c r="G107" s="1826" t="s">
        <v>1432</v>
      </c>
      <c r="H107" s="2594">
        <f ca="1">IF(E107="——","——",H101-H103)</f>
        <v>201837</v>
      </c>
      <c r="I107" s="128"/>
    </row>
    <row r="108" spans="1:35" ht="18.75" customHeight="1">
      <c r="A108" s="128"/>
      <c r="B108" s="128"/>
      <c r="C108" s="128"/>
      <c r="D108" s="128"/>
      <c r="E108" s="3601"/>
      <c r="F108" s="3602"/>
      <c r="G108" s="1826" t="s">
        <v>1434</v>
      </c>
      <c r="H108" s="2554">
        <f ca="1">IF(H107=H101,H102,ROUND(H107*10000/'数据-汇总表'!E3,0))</f>
        <v>19896</v>
      </c>
      <c r="I108" s="128"/>
    </row>
    <row r="109" spans="1:35" ht="18.75" customHeight="1">
      <c r="A109" s="128"/>
      <c r="B109" s="128"/>
      <c r="C109" s="128"/>
      <c r="D109" s="128"/>
      <c r="E109" s="3601" t="str">
        <f>IF(项目基本情况!E8="已注销及未注销","4.抵押担保权已注销时的房地产抵押价值",IF(项目基本情况!E8="已注销","3.抵押担保权已注销时的房地产抵押价值","——"))</f>
        <v>——</v>
      </c>
      <c r="F109" s="3602"/>
      <c r="G109" s="1826" t="s">
        <v>1432</v>
      </c>
      <c r="H109" s="2597" t="str">
        <f>IF(E109="——","——",H101-H105-H106)</f>
        <v>——</v>
      </c>
      <c r="I109" s="128"/>
    </row>
    <row r="110" spans="1:35" ht="18.75" customHeight="1">
      <c r="A110" s="128"/>
      <c r="B110" s="128"/>
      <c r="C110" s="128"/>
      <c r="D110" s="128"/>
      <c r="E110" s="3601"/>
      <c r="F110" s="3602"/>
      <c r="G110" s="1826" t="s">
        <v>1434</v>
      </c>
      <c r="H110" s="2554" t="str">
        <f>IF(H109="——","——",ROUND(H109*10000/'数据-汇总表'!E3,0))</f>
        <v>——</v>
      </c>
      <c r="I110" s="128"/>
    </row>
    <row r="111" spans="1:35" ht="18.75" customHeight="1">
      <c r="A111" s="128"/>
      <c r="B111" s="128"/>
      <c r="C111" s="128"/>
      <c r="D111" s="128"/>
      <c r="E111" s="3633" t="str">
        <f>IF(项目基本情况!E9="抵押净值",IF(OR(项目基本情况!E8="已注销",项目基本情况!E8="房地产抵押价值"),"4.抵押净值","5.抵押净值"),"——")</f>
        <v>——</v>
      </c>
      <c r="F111" s="3603"/>
      <c r="G111" s="1826" t="s">
        <v>1432</v>
      </c>
      <c r="H111" s="2594" t="str">
        <f>IF(E111="——","——",N59)</f>
        <v>——</v>
      </c>
      <c r="I111" s="128"/>
    </row>
    <row r="112" spans="1:35" ht="18.75" customHeight="1" thickBot="1">
      <c r="A112" s="128"/>
      <c r="B112" s="128"/>
      <c r="C112" s="128"/>
      <c r="D112" s="128"/>
      <c r="E112" s="3634"/>
      <c r="F112" s="3635"/>
      <c r="G112" s="1829" t="s">
        <v>1434</v>
      </c>
      <c r="H112" s="2598" t="str">
        <f>IF(E111="——","——",N61)</f>
        <v>——</v>
      </c>
      <c r="I112" s="128"/>
    </row>
    <row r="113" spans="1:27" ht="18.75" customHeight="1">
      <c r="A113" s="128"/>
      <c r="B113" s="128"/>
      <c r="C113" s="128"/>
      <c r="D113" s="128"/>
      <c r="E113" s="3606" t="s">
        <v>1440</v>
      </c>
      <c r="F113" s="3606"/>
      <c r="G113" s="3606"/>
      <c r="H113" s="3606"/>
      <c r="I113" s="128"/>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101448.13</v>
      </c>
      <c r="C118" s="2328">
        <f>M19</f>
        <v>497445.96</v>
      </c>
      <c r="D118" s="2328">
        <f ca="1">ROUND(IF(D32="总价",C34,E118*B118/10000),0)</f>
        <v>173176</v>
      </c>
      <c r="E118" s="2328">
        <f ca="1">ROUND(IF(C33="自定义",IF(D32="楼面单价",C34,D118*10000/B118),I118-G118),0)</f>
        <v>17071</v>
      </c>
      <c r="F118" s="2328">
        <f ca="1">ROUND(IF(D32="总价",C35,G118*B118/10000),0)</f>
        <v>28661</v>
      </c>
      <c r="G118" s="2328">
        <f ca="1">ROUND(IF(D32="楼面单价",C35,F118*10000/B118),0)</f>
        <v>2825</v>
      </c>
      <c r="H118" s="2328">
        <f ca="1">ROUND(IF(D32="总价",C32,I118*B118/10000),0)</f>
        <v>201837</v>
      </c>
      <c r="I118" s="2328">
        <f ca="1">ROUND(IF(D32="楼面单价",C32,H118*10000/B118),0)</f>
        <v>19896</v>
      </c>
    </row>
    <row r="119" spans="1:27" ht="18.75" customHeight="1">
      <c r="A119" s="3572" t="s">
        <v>1452</v>
      </c>
      <c r="B119" s="3572"/>
      <c r="C119" s="3572"/>
      <c r="D119" s="3612" t="str">
        <f ca="1">NUMBERSTRING(INT(D118*10000),2)&amp;"元整"</f>
        <v>壹拾柒亿叁仟壹佰柒拾陆万元整</v>
      </c>
      <c r="E119" s="3614"/>
      <c r="F119" s="3612" t="str">
        <f ca="1">NUMBERSTRING(INT(F118*10000),2)&amp;"元整"</f>
        <v>贰亿捌仟陆佰陆拾壹万元整</v>
      </c>
      <c r="G119" s="3614"/>
      <c r="H119" s="3612" t="str">
        <f ca="1">NUMBERSTRING(INT(H118*10000),2)&amp;"元整"</f>
        <v>贰拾亿壹仟捌佰叁拾柒万元整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4"/>
    </row>
    <row r="122" spans="1:27" ht="18.75" customHeight="1">
      <c r="A122" s="3603" t="str">
        <f>IF(项目基本情况!B9="房地产市场价值","",MID(E107,3,LEN(E107)-2))</f>
        <v>房地产抵押价值</v>
      </c>
      <c r="B122" s="3603"/>
      <c r="C122" s="3603"/>
      <c r="D122" s="3636">
        <f ca="1">H107</f>
        <v>201837</v>
      </c>
      <c r="E122" s="3637"/>
      <c r="F122" s="3637"/>
      <c r="G122" s="3637"/>
      <c r="H122" s="3637"/>
      <c r="I122" s="3638"/>
      <c r="AA122" s="724"/>
    </row>
    <row r="123" spans="1:27" ht="18.75" customHeight="1">
      <c r="A123" s="3572" t="s">
        <v>1452</v>
      </c>
      <c r="B123" s="3572"/>
      <c r="C123" s="3572"/>
      <c r="D123" s="3612" t="str">
        <f ca="1">NUMBERSTRING(INT(D122*10000),2)&amp;"元整"</f>
        <v>贰拾亿壹仟捌佰叁拾柒万元整</v>
      </c>
      <c r="E123" s="3613"/>
      <c r="F123" s="3613"/>
      <c r="G123" s="3613"/>
      <c r="H123" s="3613"/>
      <c r="I123" s="3614"/>
      <c r="AA123" s="724"/>
    </row>
    <row r="124" spans="1:27" ht="18.75" customHeight="1">
      <c r="A124" s="3603" t="str">
        <f>IF(项目基本情况!B9="房地产市场价值","",MID(E109,3,LEN(E109)-2))</f>
        <v/>
      </c>
      <c r="B124" s="3603"/>
      <c r="C124" s="3603"/>
      <c r="D124" s="3636" t="str">
        <f>H109</f>
        <v>——</v>
      </c>
      <c r="E124" s="3637"/>
      <c r="F124" s="3637"/>
      <c r="G124" s="3637"/>
      <c r="H124" s="3637"/>
      <c r="I124" s="3638"/>
      <c r="AA124" s="724"/>
    </row>
    <row r="125" spans="1:27" ht="18.75" customHeight="1">
      <c r="A125" s="3572" t="s">
        <v>1452</v>
      </c>
      <c r="B125" s="3572"/>
      <c r="C125" s="3572"/>
      <c r="D125" s="3612" t="e">
        <f>NUMBERSTRING(INT(D124*10000),2)&amp;"元整"</f>
        <v>#VALUE!</v>
      </c>
      <c r="E125" s="3613"/>
      <c r="F125" s="3613"/>
      <c r="G125" s="3613"/>
      <c r="H125" s="3613"/>
      <c r="I125" s="3614"/>
      <c r="AA125" s="724"/>
    </row>
    <row r="126" spans="1:27" ht="18.75" customHeight="1">
      <c r="A126" s="3603" t="str">
        <f>IF(项目基本情况!B9="房地产市场价值","",MID(E111,3,LEN(E111)-2))</f>
        <v/>
      </c>
      <c r="B126" s="3603"/>
      <c r="C126" s="3603"/>
      <c r="D126" s="3636" t="str">
        <f>H111</f>
        <v>——</v>
      </c>
      <c r="E126" s="3637"/>
      <c r="F126" s="3637"/>
      <c r="G126" s="3637"/>
      <c r="H126" s="3637"/>
      <c r="I126" s="3638"/>
      <c r="AA126" s="724"/>
    </row>
    <row r="127" spans="1:27" ht="18.75" customHeight="1">
      <c r="A127" s="3572" t="s">
        <v>1452</v>
      </c>
      <c r="B127" s="3572"/>
      <c r="C127" s="3572"/>
      <c r="D127" s="3612" t="e">
        <f>NUMBERSTRING(INT(D126*10000),2)&amp;"元整"</f>
        <v>#VALUE!</v>
      </c>
      <c r="E127" s="3613"/>
      <c r="F127" s="3613"/>
      <c r="G127" s="3613"/>
      <c r="H127" s="3613"/>
      <c r="I127" s="3614"/>
      <c r="AA127" s="724"/>
    </row>
    <row r="128" spans="1:27" ht="21.75" customHeight="1">
      <c r="A128" s="3619" t="s">
        <v>1453</v>
      </c>
      <c r="B128" s="3619"/>
      <c r="C128" s="3619"/>
      <c r="D128" s="3619"/>
      <c r="E128" s="3619"/>
      <c r="F128" s="3619"/>
      <c r="G128" s="3619"/>
      <c r="H128" s="3619"/>
      <c r="I128" s="3619"/>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6" t="str">
        <f>项目基本情况!B1</f>
        <v>北京市房地产抵押价值预评估</v>
      </c>
      <c r="C37" s="3466"/>
      <c r="D37" s="3466"/>
      <c r="E37" s="3466"/>
      <c r="F37" s="3466"/>
      <c r="G37" s="3466"/>
      <c r="H37" s="3466"/>
      <c r="I37" s="346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崔锴（注册号：1120100036)、（注册号：0)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9"/>
      <c r="C1" s="197"/>
      <c r="D1" s="197"/>
      <c r="E1" s="197"/>
      <c r="F1" s="197"/>
      <c r="G1" s="1125">
        <f>MATCH(B1,'数据-取费表'!A6:A16,0)+5</f>
        <v>7</v>
      </c>
    </row>
    <row r="2" spans="1:9" s="199" customFormat="1" ht="18" customHeight="1">
      <c r="A2" s="200" t="s">
        <v>1462</v>
      </c>
      <c r="B2" s="201">
        <f ca="1">IF(D2="——",C52,C52-E2)</f>
        <v>276859</v>
      </c>
      <c r="C2" s="198" t="s">
        <v>1463</v>
      </c>
      <c r="D2" s="1852" t="s">
        <v>43</v>
      </c>
      <c r="E2" s="1168" t="e">
        <f ca="1">SUMIF(INDIRECT("'"&amp;G2&amp;"'"&amp;"!A:A"),"承租人权益价值",INDIRECT("'"&amp;G2&amp;"'"&amp;"!c:c"))</f>
        <v>#REF!</v>
      </c>
      <c r="F2" s="1853" t="s">
        <v>1463</v>
      </c>
      <c r="G2" s="1854"/>
    </row>
    <row r="3" spans="1:9" s="199" customFormat="1" ht="18" customHeight="1" thickBot="1">
      <c r="A3" s="202" t="s">
        <v>1464</v>
      </c>
      <c r="B3" s="203">
        <f ca="1">ROUND(B2*10000/(IF(B1="",'数据-汇总表'!E3,INDIRECT("'数据-取费表'!k"&amp;$G$1))),0)</f>
        <v>27291</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176495</v>
      </c>
      <c r="D5" s="210" t="s">
        <v>1469</v>
      </c>
      <c r="E5" s="211" t="s">
        <v>1470</v>
      </c>
      <c r="F5" s="211" t="s">
        <v>1471</v>
      </c>
      <c r="G5" s="212"/>
    </row>
    <row r="6" spans="1:9" s="213" customFormat="1" ht="13.5" customHeight="1">
      <c r="A6" s="777" t="s">
        <v>1472</v>
      </c>
      <c r="B6" s="214" t="s">
        <v>1473</v>
      </c>
      <c r="C6" s="215">
        <f>基准地价修正!E33</f>
        <v>171271</v>
      </c>
      <c r="D6" s="216"/>
      <c r="E6" s="217"/>
      <c r="F6" s="217"/>
      <c r="G6" s="218"/>
    </row>
    <row r="7" spans="1:9" s="213" customFormat="1" ht="13.5" customHeight="1">
      <c r="A7" s="777" t="s">
        <v>1474</v>
      </c>
      <c r="B7" s="214" t="s">
        <v>1475</v>
      </c>
      <c r="C7" s="219">
        <f>ROUND(C6*F7,0)</f>
        <v>5224</v>
      </c>
      <c r="D7" s="219"/>
      <c r="E7" s="217"/>
      <c r="F7" s="220">
        <f>IF(项目基本情况!B8="出让",0,'数据-取费表'!B48+'数据-取费表'!B49)</f>
        <v>3.0499999999999999E-2</v>
      </c>
      <c r="G7" s="218"/>
    </row>
    <row r="8" spans="1:9" s="222" customFormat="1">
      <c r="A8" s="777" t="s">
        <v>1476</v>
      </c>
      <c r="B8" s="214" t="s">
        <v>1477</v>
      </c>
      <c r="C8" s="219">
        <f>IF(G8="已包含在土地购买价格中","0",IF(B1="",'数据-取费表'!B29,IF(G9="全部缴纳",C9+C10,H9)))</f>
        <v>0</v>
      </c>
      <c r="D8" s="221"/>
      <c r="E8" s="219"/>
      <c r="F8" s="220"/>
      <c r="G8" s="1855" t="s">
        <v>3443</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0</v>
      </c>
      <c r="F9" s="220"/>
      <c r="G9" s="1856"/>
      <c r="H9" s="1136"/>
      <c r="I9" s="1857" t="s">
        <v>1479</v>
      </c>
    </row>
    <row r="10" spans="1:9" s="213" customFormat="1" ht="13.5" customHeight="1">
      <c r="A10" s="778" t="s">
        <v>356</v>
      </c>
      <c r="B10" s="223" t="s">
        <v>1480</v>
      </c>
      <c r="C10" s="224">
        <f ca="1">ROUND(D10*E10/10000,0)</f>
        <v>0</v>
      </c>
      <c r="D10" s="844">
        <f ca="1">IF(B1="",'数据-汇总表'!E6,IF(INDIRECT("'数据-取费表'!c"&amp;$G$1)="住宅",INDIRECT("'数据-取费表'!s"&amp;$G$1),INDIRECT("'数据-取费表'!k"&amp;$G$1)+INDIRECT("'数据-取费表'!s"&amp;$G$1)))</f>
        <v>101448.13</v>
      </c>
      <c r="E10" s="224">
        <f>'数据-取费表'!B28</f>
        <v>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101448.13</v>
      </c>
      <c r="E19" s="210">
        <f>'数据-取费表'!B31</f>
        <v>200</v>
      </c>
      <c r="F19" s="230"/>
      <c r="G19" s="1855" t="s">
        <v>3444</v>
      </c>
    </row>
    <row r="20" spans="1:7" s="213" customFormat="1" ht="13.5" customHeight="1">
      <c r="A20" s="254" t="s">
        <v>1493</v>
      </c>
      <c r="B20" s="209" t="s">
        <v>1494</v>
      </c>
      <c r="C20" s="231">
        <f>ROUND((C5+C19)*F20,0)</f>
        <v>3530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12510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12388</v>
      </c>
      <c r="D23" s="237"/>
      <c r="E23" s="237"/>
      <c r="F23" s="238"/>
      <c r="G23" s="239" t="s">
        <v>1504</v>
      </c>
    </row>
    <row r="24" spans="1:7" s="213" customFormat="1" ht="13.5" customHeight="1">
      <c r="A24" s="779" t="s">
        <v>1505</v>
      </c>
      <c r="B24" s="214" t="s">
        <v>1506</v>
      </c>
      <c r="C24" s="1104">
        <f ca="1">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122</v>
      </c>
      <c r="D25" s="237"/>
      <c r="E25" s="240"/>
      <c r="F25" s="238"/>
      <c r="G25" s="241" t="s">
        <v>1510</v>
      </c>
    </row>
    <row r="26" spans="1:7" s="213" customFormat="1">
      <c r="A26" s="779"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27004</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27004</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237622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32972</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29611</v>
      </c>
      <c r="D34" s="216"/>
      <c r="E34" s="219"/>
      <c r="F34" s="256">
        <f ca="1">IF('数据-取费表'!B24=0,1,IF(B1="",'数据-取费表'!N16,INDIRECT("'数据-取费表'!n"&amp;$G$1)))</f>
        <v>1</v>
      </c>
      <c r="G34" s="218" t="s">
        <v>1526</v>
      </c>
    </row>
    <row r="35" spans="1:7" ht="13.5" customHeight="1">
      <c r="A35" s="779" t="s">
        <v>351</v>
      </c>
      <c r="B35" s="214" t="s">
        <v>1527</v>
      </c>
      <c r="C35" s="219">
        <f ca="1">ROUND(C34*F35,0)</f>
        <v>888</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2029</v>
      </c>
      <c r="D37" s="216">
        <f ca="1">D19</f>
        <v>101448.13</v>
      </c>
      <c r="E37" s="248">
        <f>'数据-取费表'!B35</f>
        <v>200</v>
      </c>
      <c r="F37" s="258"/>
      <c r="G37" s="260" t="s">
        <v>1532</v>
      </c>
    </row>
    <row r="38" spans="1:7" ht="13.5" customHeight="1">
      <c r="A38" s="779" t="s">
        <v>354</v>
      </c>
      <c r="B38" s="214" t="s">
        <v>1533</v>
      </c>
      <c r="C38" s="219">
        <f ca="1">ROUND(C34*F38,0)</f>
        <v>444</v>
      </c>
      <c r="D38" s="219"/>
      <c r="E38" s="219"/>
      <c r="F38" s="258">
        <f>'数据-取费表'!B36</f>
        <v>1.4999999999999999E-2</v>
      </c>
      <c r="G38" s="218" t="s">
        <v>1528</v>
      </c>
    </row>
    <row r="39" spans="1:7" s="213" customFormat="1" ht="13.5" customHeight="1">
      <c r="A39" s="254" t="s">
        <v>1534</v>
      </c>
      <c r="B39" s="209" t="s">
        <v>1535</v>
      </c>
      <c r="C39" s="231">
        <f ca="1">ROUND(C33*F20,0)</f>
        <v>659</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1161</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1138</v>
      </c>
      <c r="D42" s="237"/>
      <c r="E42" s="237"/>
      <c r="F42" s="238"/>
      <c r="G42" s="3652" t="s">
        <v>1544</v>
      </c>
    </row>
    <row r="43" spans="1:7" ht="13.5" customHeight="1">
      <c r="A43" s="779" t="s">
        <v>347</v>
      </c>
      <c r="B43" s="214" t="s">
        <v>1545</v>
      </c>
      <c r="C43" s="237">
        <f ca="1">ROUND(IF('数据-取费表'!B22&lt;=1,C39*F22*'数据-取费表'!B21/2,C39*(POWER((1+F22),'数据-取费表'!B21/2)-1)),0)</f>
        <v>23</v>
      </c>
      <c r="D43" s="237"/>
      <c r="E43" s="237"/>
      <c r="F43" s="238"/>
      <c r="G43" s="3653"/>
    </row>
    <row r="44" spans="1:7" ht="13.5" customHeight="1">
      <c r="A44" s="779" t="s">
        <v>348</v>
      </c>
      <c r="B44" s="214" t="s">
        <v>1546</v>
      </c>
      <c r="C44" s="237">
        <f ca="1">ROUND(IF('数据-取费表'!B22&lt;=1,C40*F22*'数据-取费表'!B21/2,C40*(POWER((1+F22),'数据-取费表'!B21/2)-1)),4)</f>
        <v>6.9999999999999999E-4</v>
      </c>
      <c r="D44" s="237"/>
      <c r="E44" s="237"/>
      <c r="F44" s="238"/>
      <c r="G44" s="3654"/>
    </row>
    <row r="45" spans="1:7" s="213" customFormat="1" ht="13.5" customHeight="1">
      <c r="A45" s="254" t="s">
        <v>1547</v>
      </c>
      <c r="B45" s="243" t="s">
        <v>1513</v>
      </c>
      <c r="C45" s="244">
        <f ca="1">C46</f>
        <v>5045</v>
      </c>
      <c r="D45" s="234">
        <f ca="1">C47</f>
        <v>3.0000000000000001E-3</v>
      </c>
      <c r="E45" s="235" t="s">
        <v>1539</v>
      </c>
      <c r="F45" s="245">
        <f ca="1">F27</f>
        <v>0.15</v>
      </c>
      <c r="G45" s="246" t="s">
        <v>1548</v>
      </c>
    </row>
    <row r="46" spans="1:7" s="213" customFormat="1" ht="13.5" customHeight="1">
      <c r="A46" s="779" t="s">
        <v>346</v>
      </c>
      <c r="B46" s="247" t="s">
        <v>1549</v>
      </c>
      <c r="C46" s="248">
        <f ca="1">ROUND((C33+C39)*F27,0)</f>
        <v>5045</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6">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43118</v>
      </c>
      <c r="D49" s="231"/>
      <c r="E49" s="231"/>
      <c r="F49" s="263"/>
      <c r="G49" s="233" t="s">
        <v>1554</v>
      </c>
    </row>
    <row r="50" spans="1:7" s="257" customFormat="1" ht="24">
      <c r="A50" s="254" t="s">
        <v>1555</v>
      </c>
      <c r="B50" s="209" t="s">
        <v>1556</v>
      </c>
      <c r="C50" s="231"/>
      <c r="D50" s="231"/>
      <c r="E50" s="231"/>
      <c r="F50" s="263">
        <f>IF('数据-取费表'!B24=0,'数据-取费表'!N16,1)</f>
        <v>0.91</v>
      </c>
      <c r="G50" s="246" t="s">
        <v>1557</v>
      </c>
    </row>
    <row r="51" spans="1:7" ht="16.5" customHeight="1">
      <c r="A51" s="254" t="s">
        <v>1558</v>
      </c>
      <c r="B51" s="209" t="s">
        <v>1559</v>
      </c>
      <c r="C51" s="231">
        <f ca="1">ROUND(C49*F50,0)</f>
        <v>39237</v>
      </c>
      <c r="D51" s="231"/>
      <c r="E51" s="231"/>
      <c r="F51" s="263"/>
      <c r="G51" s="233" t="s">
        <v>1560</v>
      </c>
    </row>
    <row r="52" spans="1:7" s="207" customFormat="1" ht="16.5" thickBot="1">
      <c r="A52" s="264" t="s">
        <v>1561</v>
      </c>
      <c r="B52" s="265"/>
      <c r="C52" s="266">
        <f ca="1">C31+C51</f>
        <v>276859</v>
      </c>
      <c r="D52" s="265"/>
      <c r="E52" s="265"/>
      <c r="F52" s="265"/>
      <c r="G52" s="267"/>
    </row>
    <row r="55" spans="1:7" ht="15">
      <c r="B55" s="269" t="s">
        <v>1562</v>
      </c>
      <c r="C55" s="270"/>
    </row>
    <row r="56" spans="1:7">
      <c r="B56" s="272" t="s">
        <v>802</v>
      </c>
      <c r="C56" s="274">
        <f ca="1">1-C57</f>
        <v>0.85799999999999998</v>
      </c>
    </row>
    <row r="57" spans="1:7">
      <c r="B57" s="272" t="s">
        <v>803</v>
      </c>
      <c r="C57" s="273">
        <f ca="1">ROUND(C51/C52,3)</f>
        <v>0.14199999999999999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8" sqref="E28"/>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9"/>
      <c r="C1" s="1858" t="s">
        <v>1563</v>
      </c>
      <c r="D1" s="197"/>
      <c r="E1" s="197"/>
      <c r="F1" s="197"/>
      <c r="G1" s="1125">
        <f>MATCH(B1,'数据-取费表'!A6:A16,0)+5</f>
        <v>7</v>
      </c>
      <c r="H1" s="1060" t="str">
        <f>IF(ISERROR(FIND("住宅",B1)),"非住宅","住宅")</f>
        <v>非住宅</v>
      </c>
    </row>
    <row r="2" spans="1:8" s="199" customFormat="1" ht="18" customHeight="1">
      <c r="A2" s="200" t="s">
        <v>1462</v>
      </c>
      <c r="B2" s="3423">
        <f ca="1">ROUND(IF(D2="——",C52/10000,C52/10000-E2),4)</f>
        <v>41969.674899999998</v>
      </c>
      <c r="C2" s="198" t="s">
        <v>1463</v>
      </c>
      <c r="D2" s="1852" t="s">
        <v>43</v>
      </c>
      <c r="E2" s="1168" t="e">
        <f ca="1">SUMIF(INDIRECT("'"&amp;G2&amp;"'"&amp;"!A:A"),"承租人权益价值",INDIRECT("'"&amp;G2&amp;"'"&amp;"!c:c"))</f>
        <v>#REF!</v>
      </c>
      <c r="F2" s="1853" t="s">
        <v>1463</v>
      </c>
      <c r="G2" s="1854"/>
    </row>
    <row r="3" spans="1:8" s="199" customFormat="1" ht="18" customHeight="1" thickBot="1">
      <c r="A3" s="202" t="s">
        <v>1464</v>
      </c>
      <c r="B3" s="203">
        <f ca="1">ROUND(B2*10000/(IF(B1="",'数据-汇总表'!E3,INDIRECT("'数据-取费表'!k"&amp;$G$1))),0)</f>
        <v>4137</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0</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0</v>
      </c>
      <c r="D8" s="221"/>
      <c r="E8" s="219"/>
      <c r="F8" s="220"/>
      <c r="G8" s="1855"/>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1480</v>
      </c>
      <c r="C10" s="224">
        <f ca="1">ROUND(D10*E10,0)</f>
        <v>0</v>
      </c>
      <c r="D10" s="844">
        <f ca="1">IF(B1="",'数据-汇总表'!E6,IF(INDIRECT("'数据-取费表'!c"&amp;$G$1)="住宅",INDIRECT("'数据-取费表'!s"&amp;$G$1),INDIRECT("'数据-取费表'!k"&amp;$G$1)+INDIRECT("'数据-取费表'!s"&amp;$G$1)))</f>
        <v>101448.13</v>
      </c>
      <c r="E10" s="224">
        <f>'数据-取费表'!B28</f>
        <v>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20289626</v>
      </c>
      <c r="D19" s="848">
        <f ca="1">D9+D10</f>
        <v>101448.13</v>
      </c>
      <c r="E19" s="210">
        <f>'数据-取费表'!B31</f>
        <v>200</v>
      </c>
      <c r="F19" s="230"/>
      <c r="G19" s="1855"/>
    </row>
    <row r="20" spans="1:7" s="213" customFormat="1" ht="13.5" customHeight="1">
      <c r="A20" s="254" t="s">
        <v>1574</v>
      </c>
      <c r="B20" s="209" t="s">
        <v>1575</v>
      </c>
      <c r="C20" s="231">
        <f ca="1">ROUND((C5+C19)*F20,0)</f>
        <v>405793</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1438134</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0</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1424134</v>
      </c>
      <c r="D24" s="237"/>
      <c r="E24" s="237"/>
      <c r="F24" s="238"/>
      <c r="G24" s="239" t="s">
        <v>1586</v>
      </c>
    </row>
    <row r="25" spans="1:7" s="213" customFormat="1" ht="24">
      <c r="A25" s="779" t="s">
        <v>1476</v>
      </c>
      <c r="B25" s="214" t="s">
        <v>1587</v>
      </c>
      <c r="C25" s="1127">
        <f ca="1">ROUND(IF('数据-取费表'!B22&lt;=1,C20*F22*'数据-取费表'!B22/2,C20*(POWER((1+F22),'数据-取费表'!B22/2)-1)),0)</f>
        <v>14000</v>
      </c>
      <c r="D25" s="237"/>
      <c r="E25" s="240"/>
      <c r="F25" s="238"/>
      <c r="G25" s="241" t="s">
        <v>1588</v>
      </c>
    </row>
    <row r="26" spans="1:7" s="213" customFormat="1">
      <c r="A26" s="779"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3104313</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3104313</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27316664</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329727595</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296112889</v>
      </c>
      <c r="D34" s="216"/>
      <c r="E34" s="219"/>
      <c r="F34" s="256"/>
      <c r="G34" s="218"/>
    </row>
    <row r="35" spans="1:7" ht="13.5" customHeight="1">
      <c r="A35" s="779" t="s">
        <v>351</v>
      </c>
      <c r="B35" s="214" t="s">
        <v>1527</v>
      </c>
      <c r="C35" s="219">
        <f ca="1">ROUND(C34*F35,0)</f>
        <v>8883387</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20289626</v>
      </c>
      <c r="D37" s="216">
        <f ca="1">D19</f>
        <v>101448.13</v>
      </c>
      <c r="E37" s="248">
        <f>'数据-取费表'!B35</f>
        <v>200</v>
      </c>
      <c r="F37" s="258"/>
      <c r="G37" s="260"/>
    </row>
    <row r="38" spans="1:7" ht="13.5" customHeight="1">
      <c r="A38" s="779" t="s">
        <v>354</v>
      </c>
      <c r="B38" s="214" t="s">
        <v>1533</v>
      </c>
      <c r="C38" s="219">
        <f ca="1">ROUND(C34*F38,0)</f>
        <v>4441693</v>
      </c>
      <c r="D38" s="219"/>
      <c r="E38" s="219"/>
      <c r="F38" s="258">
        <f>'数据-取费表'!B36</f>
        <v>1.4999999999999999E-2</v>
      </c>
      <c r="G38" s="218" t="s">
        <v>1528</v>
      </c>
    </row>
    <row r="39" spans="1:7" s="213" customFormat="1" ht="13.5" customHeight="1">
      <c r="A39" s="254" t="s">
        <v>1534</v>
      </c>
      <c r="B39" s="209" t="s">
        <v>1535</v>
      </c>
      <c r="C39" s="231">
        <f ca="1">ROUND(C33*F20,0)</f>
        <v>6594552</v>
      </c>
      <c r="D39" s="231"/>
      <c r="E39" s="231"/>
      <c r="F39" s="232">
        <f>F20</f>
        <v>0.02</v>
      </c>
      <c r="G39" s="233" t="s">
        <v>1536</v>
      </c>
    </row>
    <row r="40" spans="1:7" s="213" customFormat="1" ht="13.5" customHeight="1">
      <c r="A40" s="254" t="s">
        <v>1537</v>
      </c>
      <c r="B40" s="209" t="s">
        <v>1538</v>
      </c>
      <c r="C40" s="1326">
        <f>F21</f>
        <v>0.02</v>
      </c>
      <c r="D40" s="235" t="s">
        <v>1539</v>
      </c>
      <c r="E40" s="231"/>
      <c r="F40" s="232">
        <f>F21</f>
        <v>0.02</v>
      </c>
      <c r="G40" s="233" t="s">
        <v>1540</v>
      </c>
    </row>
    <row r="41" spans="1:7" s="213" customFormat="1" ht="13.5" customHeight="1">
      <c r="A41" s="254" t="s">
        <v>1541</v>
      </c>
      <c r="B41" s="209" t="s">
        <v>1542</v>
      </c>
      <c r="C41" s="231">
        <f ca="1">ROUND(SUM(C42:C43),0)</f>
        <v>11603114</v>
      </c>
      <c r="D41" s="234">
        <f ca="1">C44</f>
        <v>6.9999999999999999E-4</v>
      </c>
      <c r="E41" s="235" t="s">
        <v>1539</v>
      </c>
      <c r="F41" s="236">
        <f ca="1">F22</f>
        <v>3.4500000000000003E-2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11375602</v>
      </c>
      <c r="D42" s="237"/>
      <c r="E42" s="237"/>
      <c r="F42" s="238"/>
      <c r="G42" s="3652" t="s">
        <v>1591</v>
      </c>
    </row>
    <row r="43" spans="1:7" ht="13.5" customHeight="1">
      <c r="A43" s="779" t="s">
        <v>347</v>
      </c>
      <c r="B43" s="214" t="s">
        <v>1545</v>
      </c>
      <c r="C43" s="237">
        <f ca="1">ROUND(IF('数据-取费表'!B22&lt;=1,C39*F22*'数据-取费表'!B20/2,C39*(POWER((1+F22),'数据-取费表'!B20/2)-1)),0)</f>
        <v>227512</v>
      </c>
      <c r="D43" s="237"/>
      <c r="E43" s="237"/>
      <c r="F43" s="238"/>
      <c r="G43" s="3653"/>
    </row>
    <row r="44" spans="1:7" ht="13.5" customHeight="1">
      <c r="A44" s="779" t="s">
        <v>348</v>
      </c>
      <c r="B44" s="214" t="s">
        <v>1546</v>
      </c>
      <c r="C44" s="237">
        <f ca="1">ROUND(IF('数据-取费表'!B22&lt;=1,C40*F22*'数据-取费表'!B20/2,C40*(POWER((1+F22),'数据-取费表'!B20/2)-1)),4)</f>
        <v>6.9999999999999999E-4</v>
      </c>
      <c r="D44" s="237"/>
      <c r="E44" s="237"/>
      <c r="F44" s="238"/>
      <c r="G44" s="3654"/>
    </row>
    <row r="45" spans="1:7" s="213" customFormat="1" ht="13.5" customHeight="1">
      <c r="A45" s="254" t="s">
        <v>1547</v>
      </c>
      <c r="B45" s="243" t="s">
        <v>1513</v>
      </c>
      <c r="C45" s="244">
        <f ca="1">C46</f>
        <v>50448322</v>
      </c>
      <c r="D45" s="234">
        <f ca="1">C47</f>
        <v>3.0000000000000001E-3</v>
      </c>
      <c r="E45" s="235" t="s">
        <v>1539</v>
      </c>
      <c r="F45" s="245">
        <f ca="1">F27</f>
        <v>0.15</v>
      </c>
      <c r="G45" s="246" t="s">
        <v>1548</v>
      </c>
    </row>
    <row r="46" spans="1:7" s="213" customFormat="1" ht="13.5" customHeight="1">
      <c r="A46" s="779" t="s">
        <v>346</v>
      </c>
      <c r="B46" s="247" t="s">
        <v>1549</v>
      </c>
      <c r="C46" s="248">
        <f ca="1">ROUND((C33+C39)*F27,0)</f>
        <v>50448322</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431186907</v>
      </c>
      <c r="D49" s="231"/>
      <c r="E49" s="231"/>
      <c r="F49" s="263"/>
      <c r="G49" s="233" t="s">
        <v>1554</v>
      </c>
    </row>
    <row r="50" spans="1:7" s="257" customFormat="1">
      <c r="A50" s="254" t="s">
        <v>1555</v>
      </c>
      <c r="B50" s="209" t="s">
        <v>1556</v>
      </c>
      <c r="C50" s="231"/>
      <c r="D50" s="231"/>
      <c r="E50" s="231"/>
      <c r="F50" s="263">
        <f>IF('数据-取费表'!B24=0,'数据-取费表'!N16,1)</f>
        <v>0.91</v>
      </c>
      <c r="G50" s="246"/>
    </row>
    <row r="51" spans="1:7" ht="16.5" customHeight="1">
      <c r="A51" s="254" t="s">
        <v>1558</v>
      </c>
      <c r="B51" s="209" t="s">
        <v>1593</v>
      </c>
      <c r="C51" s="231">
        <f ca="1">ROUND(C49*F50,0)</f>
        <v>392380085</v>
      </c>
      <c r="D51" s="231"/>
      <c r="E51" s="231"/>
      <c r="F51" s="263"/>
      <c r="G51" s="233" t="s">
        <v>1560</v>
      </c>
    </row>
    <row r="52" spans="1:7" s="207" customFormat="1" ht="16.5" thickBot="1">
      <c r="A52" s="264" t="s">
        <v>1561</v>
      </c>
      <c r="B52" s="265"/>
      <c r="C52" s="266">
        <f ca="1">C31+C51</f>
        <v>419696749</v>
      </c>
      <c r="D52" s="265"/>
      <c r="E52" s="265"/>
      <c r="F52" s="265"/>
      <c r="G52" s="267"/>
    </row>
    <row r="55" spans="1:7" ht="15">
      <c r="B55" s="269" t="s">
        <v>1562</v>
      </c>
      <c r="C55" s="270"/>
    </row>
    <row r="56" spans="1:7">
      <c r="B56" s="272" t="s">
        <v>802</v>
      </c>
      <c r="C56" s="274">
        <f ca="1">1-C57</f>
        <v>6.4999999999999947E-2</v>
      </c>
    </row>
    <row r="57" spans="1:7">
      <c r="B57" s="272" t="s">
        <v>803</v>
      </c>
      <c r="C57" s="273">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8" sqref="E2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90"/>
      <c r="C1" s="1191"/>
      <c r="D1" s="1189"/>
      <c r="E1" s="2805"/>
      <c r="F1" s="2805"/>
      <c r="G1" s="2670"/>
      <c r="H1" s="2805"/>
      <c r="I1" s="2805"/>
      <c r="J1" s="2805"/>
      <c r="K1" s="2806">
        <f>MATCH(C1,'数据-取费表'!A6:A16,0)+5</f>
        <v>7</v>
      </c>
    </row>
    <row r="2" spans="1:33" ht="18" customHeight="1">
      <c r="A2" s="200" t="s">
        <v>1462</v>
      </c>
      <c r="B2" s="203">
        <f ca="1">C32</f>
        <v>0</v>
      </c>
      <c r="C2" s="275" t="s">
        <v>1595</v>
      </c>
      <c r="D2" s="275"/>
      <c r="E2" s="2805"/>
      <c r="F2" s="2805"/>
      <c r="G2" s="2805"/>
      <c r="H2" s="2805"/>
      <c r="I2" s="2805"/>
      <c r="J2" s="2805"/>
      <c r="K2" s="2805"/>
    </row>
    <row r="3" spans="1:33" ht="18" customHeight="1" thickBot="1">
      <c r="A3" s="202" t="s">
        <v>1464</v>
      </c>
      <c r="B3" s="203">
        <f ca="1">ROUND(B2*10000/IF(C1="",'数据-汇总表'!E3,INDIRECT("'数据-取费表'!K"&amp;$K$1)),0)</f>
        <v>0</v>
      </c>
      <c r="C3" s="275" t="s">
        <v>1596</v>
      </c>
      <c r="D3" s="275"/>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101448.13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101448.13</v>
      </c>
      <c r="E17" s="21">
        <f>'数据-取费表'!B32</f>
        <v>0</v>
      </c>
      <c r="F17" s="805"/>
      <c r="G17" s="130"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101448.13</v>
      </c>
      <c r="E20" s="21">
        <f>'数据-取费表'!B28</f>
        <v>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1641</v>
      </c>
      <c r="B28" s="1864"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I40" sqref="I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3338</v>
      </c>
      <c r="D1" s="1361" t="s">
        <v>43</v>
      </c>
      <c r="E1" s="1362" t="s">
        <v>678</v>
      </c>
      <c r="F1" s="1061">
        <f ca="1">J53</f>
        <v>33.68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140455</v>
      </c>
      <c r="C2" s="1386" t="s">
        <v>805</v>
      </c>
      <c r="D2" s="1386"/>
      <c r="E2" s="1387"/>
      <c r="F2" s="1388"/>
      <c r="G2" s="2705"/>
      <c r="H2" s="2694"/>
      <c r="I2" s="2694"/>
      <c r="J2" s="2694"/>
      <c r="K2" s="2695"/>
      <c r="L2" s="2694"/>
      <c r="M2" s="2694"/>
    </row>
    <row r="3" spans="1:37" ht="18" customHeight="1" thickBot="1">
      <c r="A3" s="1389" t="s">
        <v>806</v>
      </c>
      <c r="B3" s="1390">
        <f ca="1">IF(ISERROR(B2*10000/F43),0,ROUND(B2*10000/F43,0))</f>
        <v>13845</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9477</v>
      </c>
      <c r="D5" s="1363" t="s">
        <v>693</v>
      </c>
      <c r="E5" s="1070"/>
      <c r="F5" s="1071"/>
      <c r="G5" s="1383"/>
      <c r="H5" s="298">
        <v>1</v>
      </c>
      <c r="I5" s="299" t="s">
        <v>692</v>
      </c>
      <c r="J5" s="1069">
        <f ca="1">J6+J10+J12</f>
        <v>0</v>
      </c>
      <c r="K5" s="1363" t="s">
        <v>693</v>
      </c>
      <c r="L5" s="1070"/>
      <c r="M5" s="1071"/>
    </row>
    <row r="6" spans="1:37" ht="18" customHeight="1">
      <c r="A6" s="1068" t="s">
        <v>398</v>
      </c>
      <c r="B6" s="3657" t="s">
        <v>694</v>
      </c>
      <c r="C6" s="1073">
        <f ca="1">ROUND(F6*F8*F7*(1-F9)/10000,0)</f>
        <v>9465</v>
      </c>
      <c r="D6" s="154" t="s">
        <v>2109</v>
      </c>
      <c r="E6" s="301" t="s">
        <v>696</v>
      </c>
      <c r="F6" s="302">
        <f ca="1">INDIRECT("'数据-取费表'!u"&amp;$G$1)</f>
        <v>2.84</v>
      </c>
      <c r="G6" s="1383"/>
      <c r="H6" s="1068" t="s">
        <v>398</v>
      </c>
      <c r="I6" s="3657" t="s">
        <v>694</v>
      </c>
      <c r="J6" s="300">
        <f ca="1">ROUND(M6*M8*M7*(1-M9)/10000,0)</f>
        <v>0</v>
      </c>
      <c r="K6" s="154" t="s">
        <v>2108</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101448.13</v>
      </c>
      <c r="G7" s="1383"/>
      <c r="H7" s="303"/>
      <c r="I7" s="3658"/>
      <c r="J7" s="305"/>
      <c r="K7" s="306"/>
      <c r="L7" s="301" t="s">
        <v>697</v>
      </c>
      <c r="M7" s="302">
        <f ca="1">F7</f>
        <v>101448.13</v>
      </c>
    </row>
    <row r="8" spans="1:37" ht="18" customHeight="1">
      <c r="A8" s="303"/>
      <c r="B8" s="3658"/>
      <c r="C8" s="305"/>
      <c r="D8" s="306"/>
      <c r="E8" s="301" t="s">
        <v>698</v>
      </c>
      <c r="F8" s="302">
        <f ca="1">INDIRECT("'数据-取费表'!ai"&amp;$G$1)</f>
        <v>365</v>
      </c>
      <c r="G8" s="1383"/>
      <c r="H8" s="303"/>
      <c r="I8" s="3658"/>
      <c r="J8" s="305"/>
      <c r="K8" s="306"/>
      <c r="L8" s="301" t="s">
        <v>698</v>
      </c>
      <c r="M8" s="302">
        <f ca="1">INDIRECT("'数据-取费表'!ai"&amp;$G$1)</f>
        <v>365</v>
      </c>
    </row>
    <row r="9" spans="1:37" ht="18" customHeight="1">
      <c r="A9" s="303"/>
      <c r="B9" s="3659"/>
      <c r="C9" s="305"/>
      <c r="D9" s="306"/>
      <c r="E9" s="301" t="s">
        <v>699</v>
      </c>
      <c r="F9" s="311">
        <f ca="1">INDIRECT("'数据-取费表'!w"&amp;$G$1)</f>
        <v>0.1</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12</v>
      </c>
      <c r="D10" s="1365" t="s">
        <v>2117</v>
      </c>
      <c r="E10" s="312" t="s">
        <v>701</v>
      </c>
      <c r="F10" s="1115" t="s">
        <v>3445</v>
      </c>
      <c r="G10" s="1383"/>
      <c r="H10" s="1068" t="s">
        <v>402</v>
      </c>
      <c r="I10" s="1364" t="s">
        <v>700</v>
      </c>
      <c r="J10" s="300">
        <f ca="1">ROUND(IF(M10="押一",J6/12*M11,IF(M10="押二",J6/12*2*M11,IF(M10="押三",J6/12*3*M11,J11*M11))),0)</f>
        <v>0</v>
      </c>
      <c r="K10" s="1365" t="s">
        <v>2116</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39237</v>
      </c>
      <c r="D13" s="1080" t="s">
        <v>705</v>
      </c>
      <c r="E13" s="1080" t="s">
        <v>706</v>
      </c>
      <c r="F13" s="1081">
        <f ca="1">INDIRECT("'数据-取费表'!y"&amp;$G$1)</f>
        <v>0.91</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29611</v>
      </c>
      <c r="D14" s="1344" t="s">
        <v>708</v>
      </c>
      <c r="E14" s="1341"/>
      <c r="F14" s="318"/>
      <c r="G14" s="1383"/>
      <c r="H14" s="981" t="s">
        <v>398</v>
      </c>
      <c r="I14" s="301" t="s">
        <v>709</v>
      </c>
      <c r="J14" s="21">
        <f ca="1">C29</f>
        <v>43118</v>
      </c>
      <c r="K14" s="12"/>
      <c r="L14" s="806"/>
      <c r="M14" s="807"/>
    </row>
    <row r="15" spans="1:37" s="1396" customFormat="1" ht="18" customHeight="1" thickBot="1">
      <c r="A15" s="981" t="s">
        <v>399</v>
      </c>
      <c r="B15" s="301" t="s">
        <v>710</v>
      </c>
      <c r="C15" s="21">
        <f ca="1">ROUND(C14*F15,0)</f>
        <v>888</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506</v>
      </c>
      <c r="K16" s="1086" t="s">
        <v>715</v>
      </c>
      <c r="L16" s="1087"/>
      <c r="M16" s="1071"/>
    </row>
    <row r="17" spans="1:37" s="1396" customFormat="1" ht="18" customHeight="1">
      <c r="A17" s="981" t="s">
        <v>681</v>
      </c>
      <c r="B17" s="301" t="s">
        <v>716</v>
      </c>
      <c r="C17" s="21">
        <f ca="1">ROUND(F17*(F43+INDIRECT("'数据-取费表'!S"&amp;$G$1))/10000,0)</f>
        <v>2029</v>
      </c>
      <c r="D17" s="301" t="s">
        <v>717</v>
      </c>
      <c r="E17" s="301" t="s">
        <v>718</v>
      </c>
      <c r="F17" s="23">
        <f>'数据-取费表'!B35</f>
        <v>200</v>
      </c>
      <c r="G17" s="1395"/>
      <c r="H17" s="981" t="s">
        <v>398</v>
      </c>
      <c r="I17" s="301" t="s">
        <v>719</v>
      </c>
      <c r="J17" s="2315">
        <f ca="1">ROUND(IF(AND(项目基本情况!B11="自然人",项目基本情况!B10="北京市"),J6*M17/(1+'数据-取费表'!C42),J18+J19+J20),2)</f>
        <v>74.62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444</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32972</v>
      </c>
      <c r="D19" s="130" t="s">
        <v>726</v>
      </c>
      <c r="E19" s="1359"/>
      <c r="F19" s="23"/>
      <c r="G19" s="1383"/>
      <c r="H19" s="981" t="s">
        <v>399</v>
      </c>
      <c r="I19" s="301" t="s">
        <v>727</v>
      </c>
      <c r="J19" s="21">
        <f ca="1">IF(K19="按租金收入计税",ROUND(J6*M19/(1+'数据-取费表'!C42),2),ROUND(C29*M19*0.7,2))</f>
        <v>0</v>
      </c>
      <c r="K19" s="1369" t="s">
        <v>3340</v>
      </c>
      <c r="L19" s="301" t="s">
        <v>712</v>
      </c>
      <c r="M19" s="321">
        <f>IF(K19="按租金收入计税",'数据-取费表'!B51,'数据-取费表'!B50)</f>
        <v>0.12</v>
      </c>
    </row>
    <row r="20" spans="1:37" s="1396" customFormat="1" ht="18" customHeight="1">
      <c r="A20" s="981" t="s">
        <v>402</v>
      </c>
      <c r="B20" s="301" t="s">
        <v>728</v>
      </c>
      <c r="C20" s="21">
        <f ca="1">ROUND(C19*F20,0)</f>
        <v>659</v>
      </c>
      <c r="D20" s="322" t="s">
        <v>729</v>
      </c>
      <c r="E20" s="301" t="s">
        <v>712</v>
      </c>
      <c r="F20" s="321">
        <f>'数据-取费表'!B37</f>
        <v>0.02</v>
      </c>
      <c r="G20" s="1395"/>
      <c r="H20" s="981" t="s">
        <v>680</v>
      </c>
      <c r="I20" s="154" t="s">
        <v>730</v>
      </c>
      <c r="J20" s="22">
        <f ca="1">ROUND(M20*M21/10000,2)</f>
        <v>74.62</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497445.96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431.18</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1161</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-506</v>
      </c>
      <c r="K25" s="1094" t="s">
        <v>753</v>
      </c>
      <c r="L25" s="1095"/>
      <c r="M25" s="1096"/>
    </row>
    <row r="26" spans="1:37">
      <c r="A26" s="981" t="s">
        <v>397</v>
      </c>
      <c r="B26" s="301" t="s">
        <v>754</v>
      </c>
      <c r="C26" s="21">
        <f ca="1">ROUND((C19+C20)*F26,0)</f>
        <v>5045</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43118</v>
      </c>
      <c r="D29" s="1091"/>
      <c r="E29" s="1089"/>
      <c r="F29" s="1092"/>
      <c r="G29" s="1395"/>
      <c r="H29" s="333" t="s">
        <v>396</v>
      </c>
      <c r="I29" s="334" t="s">
        <v>768</v>
      </c>
      <c r="J29" s="335">
        <f ca="1">ROUND(J26/(1+F40)^F41,0)</f>
        <v>0</v>
      </c>
      <c r="K29" s="336" t="s">
        <v>769</v>
      </c>
      <c r="L29" s="337"/>
      <c r="M29" s="338">
        <f ca="1">INDIRECT("'数据-取费表'!k"&amp;$G$1)</f>
        <v>101448.13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2237</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1652.12</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IF(项目基本情况!B11="自然人","——",ROUND(C6*F32/(1+'数据-取费表'!C42),2))</f>
        <v>495.79</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1081.71</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74.62</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497445.96</v>
      </c>
      <c r="G35" s="1383"/>
      <c r="H35" s="2696"/>
      <c r="I35" s="1397"/>
      <c r="J35" s="1398"/>
      <c r="K35" s="2700"/>
      <c r="L35" s="2699"/>
      <c r="M35" s="2699"/>
    </row>
    <row r="36" spans="1:18" ht="18" customHeight="1">
      <c r="A36" s="1101" t="s">
        <v>402</v>
      </c>
      <c r="B36" s="301" t="s">
        <v>738</v>
      </c>
      <c r="C36" s="21">
        <f ca="1">ROUND(C29*F36,2)</f>
        <v>431.18</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1">
        <f ca="1">ROUND(C13*F37,2)</f>
        <v>58.86</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94.77</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7240</v>
      </c>
      <c r="D39" s="1094" t="s">
        <v>773</v>
      </c>
      <c r="E39" s="1095"/>
      <c r="F39" s="1096"/>
      <c r="G39" s="1383"/>
      <c r="H39" s="2699"/>
      <c r="I39" s="1397"/>
      <c r="J39" s="1398"/>
      <c r="K39" s="2703"/>
      <c r="L39" s="2699"/>
      <c r="M39" s="2699"/>
    </row>
    <row r="40" spans="1:18" ht="18" customHeight="1">
      <c r="A40" s="298" t="s">
        <v>395</v>
      </c>
      <c r="B40" s="299" t="s">
        <v>774</v>
      </c>
      <c r="C40" s="300">
        <f ca="1">ROUND(C39*(1-((1+F42)/(1+F40))^F41)/(F40-F42),0)</f>
        <v>140455</v>
      </c>
      <c r="D40" s="323" t="s">
        <v>758</v>
      </c>
      <c r="E40" s="301" t="s">
        <v>759</v>
      </c>
      <c r="F40" s="311">
        <f ca="1">INDIRECT("'数据-取费表'!I"&amp;$G$1)</f>
        <v>5.5E-2</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33.68</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13845</v>
      </c>
      <c r="D43" s="336" t="s">
        <v>777</v>
      </c>
      <c r="E43" s="337" t="s">
        <v>778</v>
      </c>
      <c r="F43" s="338">
        <f ca="1">INDIRECT("'数据-取费表'!k"&amp;$G$1)</f>
        <v>101448.13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-149035</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3395</v>
      </c>
      <c r="K47" s="1415" t="s">
        <v>816</v>
      </c>
      <c r="L47" s="1416">
        <f ca="1">INDIRECT("'数据-取费表'!d"&amp;$G$1)</f>
        <v>50</v>
      </c>
      <c r="M47" s="1379" t="str">
        <f>IF(ISNUMBER(FIND("住宅",C1)),"住宅","非住宅")</f>
        <v>非住宅</v>
      </c>
      <c r="O47" s="1417" t="s">
        <v>403</v>
      </c>
      <c r="P47" s="1418" t="s">
        <v>817</v>
      </c>
      <c r="Q47" s="1419">
        <f ca="1">C40+J29</f>
        <v>140455</v>
      </c>
      <c r="R47" s="1419" t="s">
        <v>818</v>
      </c>
    </row>
    <row r="48" spans="1:18" s="1383" customFormat="1" ht="28.5" thickBot="1">
      <c r="A48" s="1109" t="s">
        <v>438</v>
      </c>
      <c r="B48" s="299" t="s">
        <v>692</v>
      </c>
      <c r="C48" s="1358">
        <f ca="1">C49+C53+C55</f>
        <v>0</v>
      </c>
      <c r="D48" s="1111"/>
      <c r="E48" s="1112"/>
      <c r="F48" s="961"/>
      <c r="G48" s="721"/>
      <c r="H48" s="722"/>
      <c r="I48" s="1420" t="s">
        <v>819</v>
      </c>
      <c r="J48" s="1421" t="s">
        <v>3446</v>
      </c>
      <c r="K48" s="1422" t="s">
        <v>820</v>
      </c>
      <c r="L48" s="1423">
        <f ca="1">INDIRECT("'数据-取费表'!f"&amp;$G$1)</f>
        <v>33.68</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43118</v>
      </c>
      <c r="R49" s="1419" t="s">
        <v>818</v>
      </c>
    </row>
    <row r="50" spans="1:18" s="1383" customFormat="1" ht="13.5" thickBot="1">
      <c r="A50" s="975"/>
      <c r="B50" s="978"/>
      <c r="C50" s="1117"/>
      <c r="D50" s="952"/>
      <c r="E50" s="1055" t="s">
        <v>697</v>
      </c>
      <c r="F50" s="1056">
        <f ca="1">F7</f>
        <v>101448.13</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60</v>
      </c>
      <c r="K51" s="1433" t="s">
        <v>830</v>
      </c>
      <c r="L51" s="1434">
        <f ca="1">ROUND(-PV(INDIRECT("'数据-取费表'!h"&amp;$G$1),J51,(C39-C13*C76),0),0)</f>
        <v>85057</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33.68</v>
      </c>
      <c r="R52" s="1419" t="s">
        <v>835</v>
      </c>
    </row>
    <row r="53" spans="1:18" s="1383" customFormat="1" ht="24.75" thickBot="1">
      <c r="A53" s="1151" t="s">
        <v>440</v>
      </c>
      <c r="B53" s="1372" t="s">
        <v>700</v>
      </c>
      <c r="C53" s="315">
        <f ca="1">ROUND(IF(F53="押一",C49/12*F11,IF(F53="押二",C49/12*2*F11,IF(F53="押三",C49/12*3*F11,C54*F11))),0)</f>
        <v>0</v>
      </c>
      <c r="D53" s="1365" t="s">
        <v>2116</v>
      </c>
      <c r="E53" s="312" t="s">
        <v>701</v>
      </c>
      <c r="F53" s="1115"/>
      <c r="I53" s="1438" t="s">
        <v>836</v>
      </c>
      <c r="J53" s="2167">
        <f ca="1">IF(M47="住宅",IF(D1="——",MAX(J51,L48),MAX(J51,L48-'数据-取费表'!B24)),IF(D1="——",MIN(J51,L48),MIN(J51,L48-'数据-取费表'!B24)))</f>
        <v>33.68</v>
      </c>
      <c r="K53" s="3655" t="s">
        <v>837</v>
      </c>
      <c r="L53" s="3656"/>
      <c r="O53" s="1417" t="s">
        <v>409</v>
      </c>
      <c r="P53" s="1418" t="s">
        <v>838</v>
      </c>
      <c r="Q53" s="1419">
        <f ca="1">Q47+Q48</f>
        <v>140455</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1">
        <f ca="1">C13</f>
        <v>39237</v>
      </c>
      <c r="D56" s="1446"/>
      <c r="E56" s="1447"/>
      <c r="F56" s="1439"/>
      <c r="I56" s="1448" t="s">
        <v>842</v>
      </c>
      <c r="J56" s="1449" t="s">
        <v>3419</v>
      </c>
      <c r="K56" s="1420" t="s">
        <v>843</v>
      </c>
      <c r="L56" s="1423" t="str">
        <f ca="1">IF(L48&lt;J51,"——",L48-J53)</f>
        <v>——</v>
      </c>
      <c r="O56" s="1417" t="s">
        <v>403</v>
      </c>
      <c r="P56" s="1418" t="s">
        <v>817</v>
      </c>
      <c r="Q56" s="1419">
        <f ca="1">C40+J29</f>
        <v>140455</v>
      </c>
      <c r="R56" s="1419" t="s">
        <v>818</v>
      </c>
    </row>
    <row r="57" spans="1:18" s="1383" customFormat="1" ht="24.75" thickBot="1">
      <c r="A57" s="1450"/>
      <c r="B57" s="949" t="s">
        <v>767</v>
      </c>
      <c r="C57" s="237">
        <f ca="1">C29</f>
        <v>43118</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4" t="s">
        <v>393</v>
      </c>
      <c r="B58" s="957" t="s">
        <v>714</v>
      </c>
      <c r="C58" s="315">
        <f ca="1">ROUND(C59+C64+C65+C66,0)</f>
        <v>565</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75</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74.62</v>
      </c>
      <c r="D62" s="964" t="s">
        <v>786</v>
      </c>
      <c r="E62" s="949" t="s">
        <v>787</v>
      </c>
      <c r="F62" s="324">
        <f t="shared" si="0"/>
        <v>1.5</v>
      </c>
      <c r="I62" s="1461" t="s">
        <v>858</v>
      </c>
      <c r="J62" s="1462" t="s">
        <v>859</v>
      </c>
      <c r="K62" s="1462" t="s">
        <v>860</v>
      </c>
      <c r="L62" s="1462" t="s">
        <v>861</v>
      </c>
      <c r="M62" s="1463" t="s">
        <v>862</v>
      </c>
      <c r="O62" s="1417" t="s">
        <v>409</v>
      </c>
      <c r="P62" s="1418" t="s">
        <v>863</v>
      </c>
      <c r="Q62" s="1419">
        <f ca="1">Q56+Q57</f>
        <v>140455</v>
      </c>
      <c r="R62" s="1419" t="s">
        <v>410</v>
      </c>
    </row>
    <row r="63" spans="1:18" s="1383" customFormat="1" ht="13.5" thickBot="1">
      <c r="A63" s="325"/>
      <c r="B63" s="955"/>
      <c r="C63" s="26"/>
      <c r="D63" s="965"/>
      <c r="E63" s="949" t="s">
        <v>788</v>
      </c>
      <c r="F63" s="302">
        <f t="shared" ca="1" si="0"/>
        <v>497445.96</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431.18</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58.86</v>
      </c>
      <c r="D65" s="963" t="s">
        <v>743</v>
      </c>
      <c r="E65" s="949" t="s">
        <v>744</v>
      </c>
      <c r="F65" s="329">
        <f t="shared" ca="1" si="0"/>
        <v>1.5E-3</v>
      </c>
      <c r="I65" s="1461" t="s">
        <v>867</v>
      </c>
      <c r="J65" s="1462">
        <v>40</v>
      </c>
      <c r="K65" s="1462">
        <v>30</v>
      </c>
      <c r="L65" s="1462">
        <v>50</v>
      </c>
      <c r="M65" s="1464">
        <v>0.02</v>
      </c>
      <c r="O65" s="1417" t="s">
        <v>403</v>
      </c>
      <c r="P65" s="1418" t="s">
        <v>868</v>
      </c>
      <c r="Q65" s="1419">
        <f ca="1">C40+J29</f>
        <v>140455</v>
      </c>
      <c r="R65" s="1419" t="s">
        <v>818</v>
      </c>
    </row>
    <row r="66" spans="1:18" s="1383" customFormat="1" ht="16.5"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-565</v>
      </c>
      <c r="D67" s="962" t="s">
        <v>753</v>
      </c>
      <c r="E67" s="967"/>
      <c r="F67" s="968"/>
      <c r="O67" s="1427" t="s">
        <v>405</v>
      </c>
      <c r="P67" s="1418" t="s">
        <v>850</v>
      </c>
      <c r="Q67" s="1465">
        <f ca="1">L51</f>
        <v>85057</v>
      </c>
      <c r="R67" s="1419" t="s">
        <v>870</v>
      </c>
    </row>
    <row r="68" spans="1:18" s="1383" customFormat="1" ht="16.5" thickBot="1">
      <c r="A68" s="946" t="s">
        <v>395</v>
      </c>
      <c r="B68" s="947" t="s">
        <v>774</v>
      </c>
      <c r="C68" s="300">
        <f ca="1">ROUND(C67*(1-((1+F70)/(1+F68))^F69)/(F68-F70),0)</f>
        <v>-8580</v>
      </c>
      <c r="D68" s="964" t="s">
        <v>758</v>
      </c>
      <c r="E68" s="949" t="s">
        <v>759</v>
      </c>
      <c r="F68" s="311">
        <f ca="1">F40</f>
        <v>5.5E-2</v>
      </c>
      <c r="O68" s="1427" t="s">
        <v>406</v>
      </c>
      <c r="P68" s="1466" t="s">
        <v>871</v>
      </c>
      <c r="Q68" s="1419">
        <f ca="1">ROUND(Q69-Q70*Q71,0)</f>
        <v>4493</v>
      </c>
      <c r="R68" s="1419" t="s">
        <v>414</v>
      </c>
    </row>
    <row r="69" spans="1:18" s="1383" customFormat="1" ht="13.5" thickBot="1">
      <c r="A69" s="950"/>
      <c r="B69" s="951"/>
      <c r="C69" s="305"/>
      <c r="D69" s="969" t="s">
        <v>762</v>
      </c>
      <c r="E69" s="949" t="s">
        <v>763</v>
      </c>
      <c r="F69" s="332">
        <f ca="1">F41</f>
        <v>33.68</v>
      </c>
      <c r="O69" s="1427" t="s">
        <v>411</v>
      </c>
      <c r="P69" s="1466" t="s">
        <v>872</v>
      </c>
      <c r="Q69" s="1419">
        <f ca="1">C39</f>
        <v>7240</v>
      </c>
      <c r="R69" s="1419" t="s">
        <v>818</v>
      </c>
    </row>
    <row r="70" spans="1:18" s="1383" customFormat="1" ht="13.5" thickBot="1">
      <c r="A70" s="953"/>
      <c r="B70" s="954"/>
      <c r="C70" s="309"/>
      <c r="D70" s="965"/>
      <c r="E70" s="949" t="s">
        <v>766</v>
      </c>
      <c r="F70" s="1053"/>
      <c r="O70" s="1427" t="s">
        <v>412</v>
      </c>
      <c r="P70" s="1466" t="s">
        <v>873</v>
      </c>
      <c r="Q70" s="1419">
        <f ca="1">C13</f>
        <v>39237</v>
      </c>
      <c r="R70" s="1419" t="s">
        <v>818</v>
      </c>
    </row>
    <row r="71" spans="1:18" s="1383" customFormat="1" ht="13.5" thickBot="1">
      <c r="A71" s="970" t="s">
        <v>396</v>
      </c>
      <c r="B71" s="971" t="s">
        <v>776</v>
      </c>
      <c r="C71" s="335">
        <f ca="1">ROUND(C68*10000/F71,0)</f>
        <v>-846</v>
      </c>
      <c r="D71" s="972" t="s">
        <v>777</v>
      </c>
      <c r="E71" s="973" t="s">
        <v>778</v>
      </c>
      <c r="F71" s="338">
        <f ca="1">F43</f>
        <v>101448.13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2747</v>
      </c>
      <c r="D75" s="1383"/>
      <c r="E75" s="1383"/>
      <c r="F75" s="1383"/>
      <c r="K75" s="1401"/>
      <c r="L75" s="1383"/>
      <c r="O75" s="1417" t="s">
        <v>409</v>
      </c>
      <c r="P75" s="1418" t="s">
        <v>838</v>
      </c>
      <c r="Q75" s="1419">
        <f ca="1">Q65+Q66</f>
        <v>140455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0.621</v>
      </c>
    </row>
    <row r="80" spans="1:18">
      <c r="B80" s="339" t="s">
        <v>800</v>
      </c>
      <c r="C80" s="273">
        <f ca="1">ROUND(C75/C39,3)</f>
        <v>0.379</v>
      </c>
    </row>
    <row r="81" spans="2:3">
      <c r="B81" s="269" t="s">
        <v>801</v>
      </c>
      <c r="C81" s="237"/>
    </row>
    <row r="82" spans="2:3">
      <c r="B82" s="272" t="s">
        <v>802</v>
      </c>
      <c r="C82" s="274">
        <f ca="1">1-C83</f>
        <v>0.72099999999999997</v>
      </c>
    </row>
    <row r="83" spans="2:3">
      <c r="B83" s="272" t="s">
        <v>803</v>
      </c>
      <c r="C83" s="273">
        <f ca="1">ROUND(C13/C40,3)</f>
        <v>0.27900000000000003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8" sqref="E28"/>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57" t="s">
        <v>694</v>
      </c>
      <c r="C6" s="1073">
        <f ca="1">ROUND(F6*F8*F7*(1-F9),0)</f>
        <v>0</v>
      </c>
      <c r="D6" s="154" t="s">
        <v>2106</v>
      </c>
      <c r="E6" s="301" t="s">
        <v>696</v>
      </c>
      <c r="F6" s="302">
        <f ca="1">INDIRECT("'数据-取费表'!u"&amp;$G$1)</f>
        <v>0</v>
      </c>
      <c r="G6" s="1383"/>
      <c r="H6" s="1068" t="s">
        <v>398</v>
      </c>
      <c r="I6" s="3657" t="s">
        <v>694</v>
      </c>
      <c r="J6" s="300">
        <f ca="1">ROUND(M6*M8*M7*(1-M9),0)</f>
        <v>0</v>
      </c>
      <c r="K6" s="1375" t="s">
        <v>2107</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0</v>
      </c>
      <c r="G7" s="1383"/>
      <c r="H7" s="303"/>
      <c r="I7" s="3658"/>
      <c r="J7" s="305"/>
      <c r="K7" s="306"/>
      <c r="L7" s="301" t="s">
        <v>697</v>
      </c>
      <c r="M7" s="302">
        <f ca="1">F7</f>
        <v>0</v>
      </c>
    </row>
    <row r="8" spans="1:37" ht="18" customHeight="1">
      <c r="A8" s="303"/>
      <c r="B8" s="3658"/>
      <c r="C8" s="305"/>
      <c r="D8" s="306"/>
      <c r="E8" s="301" t="s">
        <v>698</v>
      </c>
      <c r="F8" s="302">
        <f ca="1">INDIRECT("'数据-取费表'!ai"&amp;$G$1)</f>
        <v>0</v>
      </c>
      <c r="G8" s="1383"/>
      <c r="H8" s="303"/>
      <c r="I8" s="3658"/>
      <c r="J8" s="305"/>
      <c r="K8" s="306"/>
      <c r="L8" s="301" t="s">
        <v>698</v>
      </c>
      <c r="M8" s="302">
        <f ca="1">INDIRECT("'数据-取费表'!ai"&amp;$G$1)</f>
        <v>0</v>
      </c>
    </row>
    <row r="9" spans="1:37" ht="18" customHeight="1">
      <c r="A9" s="303"/>
      <c r="B9" s="3659"/>
      <c r="C9" s="305"/>
      <c r="D9" s="306"/>
      <c r="E9" s="301" t="s">
        <v>699</v>
      </c>
      <c r="F9" s="311">
        <f ca="1">INDIRECT("'数据-取费表'!w"&amp;$G$1)</f>
        <v>0</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76" t="s">
        <v>2118</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3340</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3340</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t="e">
        <f ca="1">ROUND((C68-C40)/10000,4)</f>
        <v>#DIV/0!</v>
      </c>
      <c r="D45" s="3431"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2119</v>
      </c>
      <c r="E53" s="312"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3340</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8" sqref="E2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3363</v>
      </c>
      <c r="E2" s="3443"/>
      <c r="F2" s="2845"/>
      <c r="G2" s="2846"/>
      <c r="H2" s="2847"/>
      <c r="I2" s="2848"/>
      <c r="J2" s="3666" t="s">
        <v>2321</v>
      </c>
      <c r="K2" s="3667"/>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8" t="s">
        <v>2331</v>
      </c>
      <c r="K3" s="3669"/>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8" t="s">
        <v>2333</v>
      </c>
      <c r="K4" s="3669"/>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74" t="s">
        <v>2337</v>
      </c>
      <c r="B6" s="3675"/>
      <c r="C6" s="3676"/>
      <c r="D6" s="2869"/>
      <c r="E6" s="2870"/>
      <c r="F6" s="2871"/>
      <c r="G6" s="2872"/>
      <c r="H6" s="2847"/>
      <c r="I6" s="2848"/>
      <c r="J6" s="3660">
        <v>1</v>
      </c>
      <c r="K6" s="3661"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0"/>
      <c r="K7" s="3662"/>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7" t="s">
        <v>2351</v>
      </c>
      <c r="C8" s="3678"/>
      <c r="D8" s="2888" t="s">
        <v>2352</v>
      </c>
      <c r="E8" s="2889" t="s">
        <v>2353</v>
      </c>
      <c r="F8" s="2890" t="s">
        <v>2354</v>
      </c>
      <c r="G8" s="2891"/>
      <c r="H8" s="2847"/>
      <c r="I8" s="2848"/>
      <c r="J8" s="3660"/>
      <c r="K8" s="3662"/>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7" t="s">
        <v>2357</v>
      </c>
      <c r="C9" s="3678"/>
      <c r="D9" s="2888">
        <f>ROUND(D6*E9,0)</f>
        <v>0</v>
      </c>
      <c r="E9" s="2892"/>
      <c r="F9" s="2893" t="s">
        <v>2358</v>
      </c>
      <c r="G9" s="2872"/>
      <c r="H9" s="2847"/>
      <c r="I9" s="2848"/>
      <c r="J9" s="3660"/>
      <c r="K9" s="3662"/>
      <c r="L9" s="2882" t="s">
        <v>2359</v>
      </c>
      <c r="M9" s="2883"/>
      <c r="N9" s="2859"/>
      <c r="O9" s="2884"/>
      <c r="P9" s="2884"/>
      <c r="Q9" s="2885">
        <v>365</v>
      </c>
      <c r="R9" s="2886">
        <f t="shared" si="0"/>
        <v>0</v>
      </c>
      <c r="S9" s="2840"/>
      <c r="T9" s="2840"/>
      <c r="U9" s="2840"/>
      <c r="V9" s="2848"/>
    </row>
    <row r="10" spans="1:22" s="2852" customFormat="1" ht="13.15" customHeight="1">
      <c r="A10" s="2887">
        <v>2</v>
      </c>
      <c r="B10" s="3677" t="s">
        <v>2360</v>
      </c>
      <c r="C10" s="3678"/>
      <c r="D10" s="2888">
        <f>ROUND(D6*E10,0)</f>
        <v>0</v>
      </c>
      <c r="E10" s="2892"/>
      <c r="F10" s="2893" t="s">
        <v>2361</v>
      </c>
      <c r="G10" s="2872"/>
      <c r="H10" s="2847"/>
      <c r="I10" s="2848"/>
      <c r="J10" s="3660"/>
      <c r="K10" s="3662"/>
      <c r="L10" s="2882" t="s">
        <v>2362</v>
      </c>
      <c r="M10" s="2883"/>
      <c r="N10" s="2859"/>
      <c r="O10" s="2884"/>
      <c r="P10" s="2884"/>
      <c r="Q10" s="2885">
        <v>365</v>
      </c>
      <c r="R10" s="2886">
        <f t="shared" si="0"/>
        <v>0</v>
      </c>
      <c r="S10" s="2840"/>
      <c r="T10" s="2840"/>
      <c r="U10" s="2840"/>
      <c r="V10" s="2848"/>
    </row>
    <row r="11" spans="1:22" s="2852" customFormat="1" ht="13.15" customHeight="1">
      <c r="A11" s="2887">
        <v>3</v>
      </c>
      <c r="B11" s="3677" t="s">
        <v>2363</v>
      </c>
      <c r="C11" s="3678"/>
      <c r="D11" s="2888">
        <f>D12+D14+D15+D16</f>
        <v>0</v>
      </c>
      <c r="E11" s="2894" t="e">
        <f>D11/D6</f>
        <v>#DIV/0!</v>
      </c>
      <c r="F11" s="2890"/>
      <c r="G11" s="2891"/>
      <c r="H11" s="2847"/>
      <c r="I11" s="2848"/>
      <c r="J11" s="3660"/>
      <c r="K11" s="3662"/>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0" t="s">
        <v>2366</v>
      </c>
      <c r="C12" s="3671"/>
      <c r="D12" s="2896">
        <f>ROUND(D13*1.2%*(1-30%),0)</f>
        <v>0</v>
      </c>
      <c r="E12" s="2897">
        <v>1.2E-2</v>
      </c>
      <c r="F12" s="2890" t="s">
        <v>2367</v>
      </c>
      <c r="G12" s="2891"/>
      <c r="H12" s="2847"/>
      <c r="I12" s="2848"/>
      <c r="J12" s="3660"/>
      <c r="K12" s="3662"/>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0"/>
      <c r="K13" s="3662"/>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0" t="s">
        <v>2372</v>
      </c>
      <c r="C14" s="3671"/>
      <c r="D14" s="2896">
        <f>ROUND(E14*B5/10000,0)</f>
        <v>0</v>
      </c>
      <c r="E14" s="2885"/>
      <c r="F14" s="2890" t="s">
        <v>2373</v>
      </c>
      <c r="G14" s="2891"/>
      <c r="H14" s="2847"/>
      <c r="I14" s="2848"/>
      <c r="J14" s="3660"/>
      <c r="K14" s="3663"/>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0" t="s">
        <v>2376</v>
      </c>
      <c r="C15" s="3671"/>
      <c r="D15" s="2896">
        <f>ROUND(D6*E15,0)</f>
        <v>0</v>
      </c>
      <c r="E15" s="2897">
        <v>5.5E-2</v>
      </c>
      <c r="F15" s="2890" t="s">
        <v>2377</v>
      </c>
      <c r="G15" s="2872"/>
      <c r="H15" s="2847"/>
      <c r="I15" s="2848"/>
      <c r="J15" s="3660">
        <v>2</v>
      </c>
      <c r="K15" s="3661"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0" t="s">
        <v>2385</v>
      </c>
      <c r="C16" s="3671"/>
      <c r="D16" s="2907">
        <f>D6*E16</f>
        <v>0</v>
      </c>
      <c r="E16" s="2908"/>
      <c r="F16" s="2893" t="s">
        <v>2386</v>
      </c>
      <c r="G16" s="2872"/>
      <c r="H16" s="2847"/>
      <c r="I16" s="2848"/>
      <c r="J16" s="3660"/>
      <c r="K16" s="3662"/>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2" t="s">
        <v>2388</v>
      </c>
      <c r="C17" s="3673"/>
      <c r="D17" s="2910">
        <f>ROUND(D6*E17,0)</f>
        <v>0</v>
      </c>
      <c r="E17" s="2911"/>
      <c r="F17" s="2912" t="s">
        <v>2389</v>
      </c>
      <c r="G17" s="2872"/>
      <c r="H17" s="2847"/>
      <c r="I17" s="2848"/>
      <c r="J17" s="3660"/>
      <c r="K17" s="3662"/>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0"/>
      <c r="K18" s="3662"/>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0"/>
      <c r="K19" s="3663"/>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0">
        <v>3</v>
      </c>
      <c r="K20" s="3661"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0"/>
      <c r="K21" s="3662"/>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0"/>
      <c r="K22" s="3662"/>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0"/>
      <c r="K23" s="3662"/>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0"/>
      <c r="K24" s="3663"/>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6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66" t="s">
        <v>2321</v>
      </c>
      <c r="K32" s="3667"/>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8" t="s">
        <v>2331</v>
      </c>
      <c r="K33" s="3669"/>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8" t="s">
        <v>2333</v>
      </c>
      <c r="K34" s="366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0">
        <v>1</v>
      </c>
      <c r="K36" s="3661"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0"/>
      <c r="K37" s="3662"/>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0"/>
      <c r="K38" s="3662"/>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0"/>
      <c r="K39" s="3662"/>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0"/>
      <c r="K40" s="3663"/>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8" sqref="E2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140455</v>
      </c>
      <c r="C2" s="1871" t="s">
        <v>1651</v>
      </c>
      <c r="D2" s="1872" t="s">
        <v>1652</v>
      </c>
      <c r="E2" s="2606">
        <f>SUM(E6:E13)</f>
        <v>101448.13</v>
      </c>
      <c r="F2" s="2706"/>
      <c r="G2" s="1488"/>
      <c r="H2" s="1488"/>
      <c r="I2" s="1488"/>
      <c r="J2" s="1488"/>
      <c r="K2" s="1488"/>
      <c r="L2" s="1488"/>
      <c r="M2" s="1488"/>
      <c r="N2" s="1488"/>
      <c r="O2" s="1488"/>
      <c r="P2" s="1488"/>
      <c r="Q2" s="1488"/>
      <c r="R2" s="1488"/>
      <c r="S2" s="1488"/>
    </row>
    <row r="3" spans="1:22" ht="15.75">
      <c r="A3" s="1869" t="s">
        <v>686</v>
      </c>
      <c r="B3" s="2600">
        <f ca="1">ROUND(B2*10000/E2,0)</f>
        <v>13845</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9" t="s">
        <v>1654</v>
      </c>
      <c r="C5" s="368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140455</v>
      </c>
      <c r="C6" s="1871" t="s">
        <v>1651</v>
      </c>
      <c r="D6" s="2708"/>
      <c r="E6" s="2605">
        <f>IF(OR(A6=0,F6="否"),0,'数据-取费表'!K6+'数据-取费表'!S6)</f>
        <v>101448.13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8" sqref="E28"/>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1665</v>
      </c>
      <c r="D3" s="352">
        <f>IF(D1="",'数据-汇总表'!E3,SUMIF('数据-汇总表'!$C19:$C33,D1,'数据-汇总表'!$E19:$E33))</f>
        <v>101448.13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1666</v>
      </c>
      <c r="B4" s="355"/>
      <c r="C4" s="3699" t="s">
        <v>1667</v>
      </c>
      <c r="D4" s="3700"/>
      <c r="E4" s="3701" t="s">
        <v>1668</v>
      </c>
      <c r="F4" s="3702"/>
      <c r="G4" s="3699" t="s">
        <v>1669</v>
      </c>
      <c r="H4" s="3700"/>
      <c r="I4" s="3699" t="s">
        <v>1670</v>
      </c>
      <c r="J4" s="3700"/>
      <c r="K4" s="1888" t="s">
        <v>1671</v>
      </c>
      <c r="L4" s="2714"/>
      <c r="M4" s="2715"/>
      <c r="N4" s="2715"/>
      <c r="O4" s="2715"/>
      <c r="P4" s="3703" t="s">
        <v>1672</v>
      </c>
      <c r="Q4" s="3704"/>
      <c r="R4" s="3709" t="s">
        <v>1668</v>
      </c>
      <c r="S4" s="3710"/>
      <c r="T4" s="3709" t="s">
        <v>1669</v>
      </c>
      <c r="U4" s="3710"/>
      <c r="V4" s="3715" t="s">
        <v>1670</v>
      </c>
      <c r="W4" s="3715"/>
      <c r="X4" s="1354"/>
      <c r="Y4" s="3709" t="s">
        <v>1672</v>
      </c>
      <c r="Z4" s="3710"/>
      <c r="AA4" s="3696" t="s">
        <v>1668</v>
      </c>
      <c r="AB4" s="3696" t="s">
        <v>1669</v>
      </c>
      <c r="AC4" s="3696" t="s">
        <v>1670</v>
      </c>
    </row>
    <row r="5" spans="1:29" ht="15">
      <c r="A5" s="357"/>
      <c r="B5" s="358"/>
      <c r="C5" s="3718" t="s">
        <v>1673</v>
      </c>
      <c r="D5" s="3719"/>
      <c r="E5" s="3725" t="s">
        <v>1674</v>
      </c>
      <c r="F5" s="3726"/>
      <c r="G5" s="3718" t="s">
        <v>1675</v>
      </c>
      <c r="H5" s="3719"/>
      <c r="I5" s="3718" t="s">
        <v>1676</v>
      </c>
      <c r="J5" s="3719"/>
      <c r="K5" s="1889"/>
      <c r="L5" s="2714"/>
      <c r="M5" s="2715"/>
      <c r="N5" s="2715"/>
      <c r="O5" s="2715"/>
      <c r="P5" s="3705"/>
      <c r="Q5" s="3706"/>
      <c r="R5" s="3711"/>
      <c r="S5" s="3712"/>
      <c r="T5" s="3711"/>
      <c r="U5" s="3712"/>
      <c r="V5" s="3715"/>
      <c r="W5" s="3715"/>
      <c r="X5" s="1354"/>
      <c r="Y5" s="3711"/>
      <c r="Z5" s="3712"/>
      <c r="AA5" s="3697"/>
      <c r="AB5" s="3697"/>
      <c r="AC5" s="3697"/>
    </row>
    <row r="6" spans="1:29" ht="15.75" thickBot="1">
      <c r="A6" s="359"/>
      <c r="B6" s="360"/>
      <c r="C6" s="3716" t="s">
        <v>1677</v>
      </c>
      <c r="D6" s="3717"/>
      <c r="E6" s="3723" t="s">
        <v>1677</v>
      </c>
      <c r="F6" s="3724"/>
      <c r="G6" s="3716" t="s">
        <v>1677</v>
      </c>
      <c r="H6" s="3717"/>
      <c r="I6" s="3716" t="s">
        <v>1677</v>
      </c>
      <c r="J6" s="3717"/>
      <c r="K6" s="1889" t="s">
        <v>1678</v>
      </c>
      <c r="L6" s="2714"/>
      <c r="M6" s="2715"/>
      <c r="N6" s="2715"/>
      <c r="O6" s="2715"/>
      <c r="P6" s="3707"/>
      <c r="Q6" s="3708"/>
      <c r="R6" s="3711"/>
      <c r="S6" s="3712"/>
      <c r="T6" s="3713"/>
      <c r="U6" s="3714"/>
      <c r="V6" s="3715"/>
      <c r="W6" s="3715"/>
      <c r="X6" s="1354"/>
      <c r="Y6" s="3713"/>
      <c r="Z6" s="3714"/>
      <c r="AA6" s="3698"/>
      <c r="AB6" s="3698"/>
      <c r="AC6" s="3698"/>
    </row>
    <row r="7" spans="1:29" s="107" customFormat="1" ht="15.75" thickBot="1">
      <c r="A7" s="361" t="s">
        <v>1679</v>
      </c>
      <c r="B7" s="362"/>
      <c r="C7" s="363">
        <f>'数据-取费表'!B2</f>
        <v>45230</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20" t="s">
        <v>1680</v>
      </c>
      <c r="Q7" s="3722"/>
      <c r="R7" s="700" t="s">
        <v>20</v>
      </c>
      <c r="S7" s="701">
        <f t="shared" ref="S7:S15" si="0">F7</f>
        <v>0</v>
      </c>
      <c r="T7" s="700" t="s">
        <v>20</v>
      </c>
      <c r="U7" s="701">
        <f t="shared" ref="U7:U15" si="1">H7</f>
        <v>0</v>
      </c>
      <c r="V7" s="700" t="s">
        <v>20</v>
      </c>
      <c r="W7" s="701">
        <f t="shared" ref="W7:W15" si="2">J7</f>
        <v>0</v>
      </c>
      <c r="X7" s="702"/>
      <c r="Y7" s="3720" t="s">
        <v>1680</v>
      </c>
      <c r="Z7" s="3721"/>
      <c r="AA7" s="703" t="e">
        <f>D7/F7</f>
        <v>#DIV/0!</v>
      </c>
      <c r="AB7" s="703" t="e">
        <f>D7/H7</f>
        <v>#DIV/0!</v>
      </c>
      <c r="AC7" s="703" t="e">
        <f>D7/J7</f>
        <v>#DIV/0!</v>
      </c>
    </row>
    <row r="8" spans="1:29" s="107" customFormat="1" ht="15.75" thickBot="1">
      <c r="A8" s="361" t="s">
        <v>1681</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20" t="s">
        <v>1683</v>
      </c>
      <c r="Q8" s="3721"/>
      <c r="R8" s="700" t="s">
        <v>20</v>
      </c>
      <c r="S8" s="701">
        <f t="shared" si="0"/>
        <v>100</v>
      </c>
      <c r="T8" s="700" t="s">
        <v>20</v>
      </c>
      <c r="U8" s="701">
        <f t="shared" si="1"/>
        <v>100</v>
      </c>
      <c r="V8" s="700" t="s">
        <v>20</v>
      </c>
      <c r="W8" s="701">
        <f t="shared" si="2"/>
        <v>100</v>
      </c>
      <c r="X8" s="702"/>
      <c r="Y8" s="3720" t="s">
        <v>1683</v>
      </c>
      <c r="Z8" s="3721"/>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5"/>
      <c r="Q11" s="1342" t="str">
        <f t="shared" si="6"/>
        <v>容积率</v>
      </c>
      <c r="R11" s="700" t="s">
        <v>18</v>
      </c>
      <c r="S11" s="701" t="e">
        <f t="shared" si="0"/>
        <v>#N/A</v>
      </c>
      <c r="T11" s="700" t="s">
        <v>18</v>
      </c>
      <c r="U11" s="701" t="e">
        <f t="shared" si="1"/>
        <v>#N/A</v>
      </c>
      <c r="V11" s="700" t="s">
        <v>18</v>
      </c>
      <c r="W11" s="701" t="e">
        <f t="shared" si="2"/>
        <v>#N/A</v>
      </c>
      <c r="X11" s="702"/>
      <c r="Y11" s="3559"/>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5"/>
      <c r="Q12" s="1342">
        <f t="shared" si="6"/>
        <v>111</v>
      </c>
      <c r="R12" s="700" t="s">
        <v>18</v>
      </c>
      <c r="S12" s="701">
        <f t="shared" si="0"/>
        <v>100</v>
      </c>
      <c r="T12" s="700" t="s">
        <v>18</v>
      </c>
      <c r="U12" s="701">
        <f t="shared" si="1"/>
        <v>100</v>
      </c>
      <c r="V12" s="700" t="s">
        <v>18</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5"/>
      <c r="Q13" s="1342">
        <f t="shared" si="6"/>
        <v>111</v>
      </c>
      <c r="R13" s="700" t="s">
        <v>18</v>
      </c>
      <c r="S13" s="701">
        <f t="shared" si="0"/>
        <v>100</v>
      </c>
      <c r="T13" s="700" t="s">
        <v>18</v>
      </c>
      <c r="U13" s="701">
        <f t="shared" si="1"/>
        <v>100</v>
      </c>
      <c r="V13" s="700" t="s">
        <v>18</v>
      </c>
      <c r="W13" s="701">
        <f t="shared" si="2"/>
        <v>100</v>
      </c>
      <c r="X13" s="702"/>
      <c r="Y13" s="3559"/>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5"/>
      <c r="Q14" s="1342">
        <f t="shared" si="6"/>
        <v>111</v>
      </c>
      <c r="R14" s="700" t="s">
        <v>18</v>
      </c>
      <c r="S14" s="701">
        <f t="shared" si="0"/>
        <v>100</v>
      </c>
      <c r="T14" s="700" t="s">
        <v>18</v>
      </c>
      <c r="U14" s="701">
        <f t="shared" si="1"/>
        <v>100</v>
      </c>
      <c r="V14" s="700" t="s">
        <v>18</v>
      </c>
      <c r="W14" s="701">
        <f t="shared" si="2"/>
        <v>100</v>
      </c>
      <c r="X14" s="702"/>
      <c r="Y14" s="3559"/>
      <c r="Z14" s="52">
        <f t="shared" si="7"/>
        <v>111</v>
      </c>
      <c r="AA14" s="703">
        <f t="shared" si="3"/>
        <v>1</v>
      </c>
      <c r="AB14" s="703">
        <f t="shared" si="4"/>
        <v>1</v>
      </c>
      <c r="AC14" s="703">
        <f t="shared" si="5"/>
        <v>1</v>
      </c>
    </row>
    <row r="15" spans="1:29" ht="85.5">
      <c r="A15" s="390" t="s">
        <v>1690</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693" t="s">
        <v>1691</v>
      </c>
      <c r="Q15" s="1351" t="str">
        <f t="shared" si="6"/>
        <v>居住社区成熟度</v>
      </c>
      <c r="R15" s="704" t="s">
        <v>18</v>
      </c>
      <c r="S15" s="705">
        <f t="shared" si="0"/>
        <v>100</v>
      </c>
      <c r="T15" s="704" t="s">
        <v>18</v>
      </c>
      <c r="U15" s="705">
        <f t="shared" si="1"/>
        <v>100</v>
      </c>
      <c r="V15" s="704" t="s">
        <v>18</v>
      </c>
      <c r="W15" s="705">
        <f t="shared" si="2"/>
        <v>100</v>
      </c>
      <c r="X15" s="1354"/>
      <c r="Y15" s="3686" t="s">
        <v>1691</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694"/>
      <c r="Q16" s="1351"/>
      <c r="R16" s="704"/>
      <c r="S16" s="705"/>
      <c r="T16" s="704"/>
      <c r="U16" s="705"/>
      <c r="V16" s="704"/>
      <c r="W16" s="705"/>
      <c r="X16" s="1354"/>
      <c r="Y16" s="3687"/>
      <c r="Z16" s="1355"/>
      <c r="AA16" s="1352">
        <v>1</v>
      </c>
      <c r="AB16" s="1352">
        <v>1</v>
      </c>
      <c r="AC16" s="1352">
        <v>1</v>
      </c>
    </row>
    <row r="17" spans="1:29" ht="71.25">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694"/>
      <c r="Q17" s="1351" t="str">
        <f>B17</f>
        <v>交通便捷度</v>
      </c>
      <c r="R17" s="704" t="s">
        <v>18</v>
      </c>
      <c r="S17" s="705">
        <f>F17</f>
        <v>100</v>
      </c>
      <c r="T17" s="704" t="s">
        <v>18</v>
      </c>
      <c r="U17" s="705">
        <f>H17</f>
        <v>100</v>
      </c>
      <c r="V17" s="704" t="s">
        <v>18</v>
      </c>
      <c r="W17" s="705">
        <f>J17</f>
        <v>100</v>
      </c>
      <c r="X17" s="1354"/>
      <c r="Y17" s="3687"/>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694"/>
      <c r="Q18" s="1351"/>
      <c r="R18" s="704"/>
      <c r="S18" s="705"/>
      <c r="T18" s="704"/>
      <c r="U18" s="705"/>
      <c r="V18" s="704"/>
      <c r="W18" s="705"/>
      <c r="X18" s="1354"/>
      <c r="Y18" s="3687"/>
      <c r="Z18" s="1355"/>
      <c r="AA18" s="1352">
        <v>1</v>
      </c>
      <c r="AB18" s="1352">
        <v>1</v>
      </c>
      <c r="AC18" s="1352">
        <v>1</v>
      </c>
    </row>
    <row r="19" spans="1:29" ht="42.75">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694"/>
      <c r="Q19" s="1351" t="str">
        <f>B19</f>
        <v>公共配套设施</v>
      </c>
      <c r="R19" s="704" t="s">
        <v>18</v>
      </c>
      <c r="S19" s="705">
        <f>F19</f>
        <v>100</v>
      </c>
      <c r="T19" s="704" t="s">
        <v>18</v>
      </c>
      <c r="U19" s="705">
        <f>H19</f>
        <v>100</v>
      </c>
      <c r="V19" s="704" t="s">
        <v>18</v>
      </c>
      <c r="W19" s="705">
        <f>J19</f>
        <v>100</v>
      </c>
      <c r="X19" s="1354"/>
      <c r="Y19" s="3687"/>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694"/>
      <c r="Q20" s="1351"/>
      <c r="R20" s="704"/>
      <c r="S20" s="705"/>
      <c r="T20" s="704"/>
      <c r="U20" s="705"/>
      <c r="V20" s="704"/>
      <c r="W20" s="705"/>
      <c r="X20" s="1354"/>
      <c r="Y20" s="3687"/>
      <c r="Z20" s="1355"/>
      <c r="AA20" s="1352">
        <v>1</v>
      </c>
      <c r="AB20" s="1352">
        <v>1</v>
      </c>
      <c r="AC20" s="1352">
        <v>1</v>
      </c>
    </row>
    <row r="21" spans="1:29" ht="28.5">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694"/>
      <c r="Q22" s="1351"/>
      <c r="R22" s="704"/>
      <c r="S22" s="705"/>
      <c r="T22" s="704"/>
      <c r="U22" s="705"/>
      <c r="V22" s="704"/>
      <c r="W22" s="705"/>
      <c r="X22" s="1354"/>
      <c r="Y22" s="3687"/>
      <c r="Z22" s="1355"/>
      <c r="AA22" s="1352">
        <v>1</v>
      </c>
      <c r="AB22" s="1352">
        <v>1</v>
      </c>
      <c r="AC22" s="1352">
        <v>1</v>
      </c>
    </row>
    <row r="23" spans="1:29" ht="42.75">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694"/>
      <c r="Q23" s="1351" t="str">
        <f>B23</f>
        <v>自然及人文环境</v>
      </c>
      <c r="R23" s="704" t="s">
        <v>18</v>
      </c>
      <c r="S23" s="705">
        <f>F23</f>
        <v>100</v>
      </c>
      <c r="T23" s="704" t="s">
        <v>18</v>
      </c>
      <c r="U23" s="705">
        <f>H23</f>
        <v>100</v>
      </c>
      <c r="V23" s="704" t="s">
        <v>18</v>
      </c>
      <c r="W23" s="705">
        <f>J23</f>
        <v>100</v>
      </c>
      <c r="X23" s="1354"/>
      <c r="Y23" s="3687"/>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694"/>
      <c r="Q24" s="1351"/>
      <c r="R24" s="704"/>
      <c r="S24" s="705"/>
      <c r="T24" s="704"/>
      <c r="U24" s="705"/>
      <c r="V24" s="704"/>
      <c r="W24" s="705"/>
      <c r="X24" s="1354"/>
      <c r="Y24" s="3687"/>
      <c r="Z24" s="1355"/>
      <c r="AA24" s="1352">
        <v>1</v>
      </c>
      <c r="AB24" s="1352">
        <v>1</v>
      </c>
      <c r="AC24" s="1352">
        <v>1</v>
      </c>
    </row>
    <row r="25" spans="1:29" ht="15">
      <c r="A25" s="378"/>
      <c r="B25" s="374" t="s">
        <v>1692</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69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7"/>
      <c r="Z25" s="1355" t="str">
        <f>Q25</f>
        <v>楼层-1</v>
      </c>
      <c r="AA25" s="1352">
        <f t="shared" ref="AA25:AA46" si="15">D25/F25</f>
        <v>1</v>
      </c>
      <c r="AB25" s="1352">
        <f t="shared" ref="AB25:AB46" si="16">D25/H25</f>
        <v>1</v>
      </c>
      <c r="AC25" s="1352">
        <f t="shared" ref="AC25:AC46" si="17">D25/J25</f>
        <v>1</v>
      </c>
    </row>
    <row r="26" spans="1:29" ht="15">
      <c r="A26" s="378"/>
      <c r="B26" s="374" t="s">
        <v>1693</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694"/>
      <c r="Q26" s="1351" t="str">
        <f t="shared" si="11"/>
        <v>朝向</v>
      </c>
      <c r="R26" s="704" t="s">
        <v>18</v>
      </c>
      <c r="S26" s="705">
        <f t="shared" si="12"/>
        <v>100</v>
      </c>
      <c r="T26" s="704" t="s">
        <v>18</v>
      </c>
      <c r="U26" s="705">
        <f t="shared" si="13"/>
        <v>100</v>
      </c>
      <c r="V26" s="704" t="s">
        <v>18</v>
      </c>
      <c r="W26" s="705">
        <f t="shared" si="14"/>
        <v>100</v>
      </c>
      <c r="X26" s="1354"/>
      <c r="Y26" s="3687"/>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694"/>
      <c r="Q27" s="1342">
        <f t="shared" si="11"/>
        <v>111</v>
      </c>
      <c r="R27" s="700" t="s">
        <v>18</v>
      </c>
      <c r="S27" s="701">
        <f t="shared" si="12"/>
        <v>100</v>
      </c>
      <c r="T27" s="700" t="s">
        <v>18</v>
      </c>
      <c r="U27" s="701">
        <f t="shared" si="13"/>
        <v>100</v>
      </c>
      <c r="V27" s="700" t="s">
        <v>18</v>
      </c>
      <c r="W27" s="701">
        <f t="shared" si="14"/>
        <v>100</v>
      </c>
      <c r="X27" s="702"/>
      <c r="Y27" s="3687"/>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694"/>
      <c r="Q28" s="1351">
        <f t="shared" si="11"/>
        <v>111</v>
      </c>
      <c r="R28" s="704" t="s">
        <v>18</v>
      </c>
      <c r="S28" s="705">
        <f t="shared" si="12"/>
        <v>100</v>
      </c>
      <c r="T28" s="704" t="s">
        <v>18</v>
      </c>
      <c r="U28" s="705">
        <f t="shared" si="13"/>
        <v>100</v>
      </c>
      <c r="V28" s="704" t="s">
        <v>18</v>
      </c>
      <c r="W28" s="705">
        <f t="shared" si="14"/>
        <v>100</v>
      </c>
      <c r="X28" s="1354"/>
      <c r="Y28" s="3687"/>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694"/>
      <c r="Q29" s="1351">
        <f t="shared" si="11"/>
        <v>111</v>
      </c>
      <c r="R29" s="704" t="s">
        <v>18</v>
      </c>
      <c r="S29" s="705">
        <f t="shared" si="12"/>
        <v>100</v>
      </c>
      <c r="T29" s="704" t="s">
        <v>18</v>
      </c>
      <c r="U29" s="705">
        <f t="shared" si="13"/>
        <v>100</v>
      </c>
      <c r="V29" s="704" t="s">
        <v>18</v>
      </c>
      <c r="W29" s="705">
        <f t="shared" si="14"/>
        <v>100</v>
      </c>
      <c r="X29" s="1354"/>
      <c r="Y29" s="3687"/>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694"/>
      <c r="Q30" s="1351">
        <f t="shared" si="11"/>
        <v>111</v>
      </c>
      <c r="R30" s="704" t="s">
        <v>18</v>
      </c>
      <c r="S30" s="705">
        <f t="shared" si="12"/>
        <v>100</v>
      </c>
      <c r="T30" s="704" t="s">
        <v>18</v>
      </c>
      <c r="U30" s="705">
        <f t="shared" si="13"/>
        <v>100</v>
      </c>
      <c r="V30" s="704" t="s">
        <v>18</v>
      </c>
      <c r="W30" s="705">
        <f t="shared" si="14"/>
        <v>100</v>
      </c>
      <c r="X30" s="1354"/>
      <c r="Y30" s="3687"/>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694"/>
      <c r="Q31" s="1351">
        <f t="shared" si="11"/>
        <v>111</v>
      </c>
      <c r="R31" s="704" t="s">
        <v>18</v>
      </c>
      <c r="S31" s="705">
        <f t="shared" si="12"/>
        <v>100</v>
      </c>
      <c r="T31" s="704" t="s">
        <v>18</v>
      </c>
      <c r="U31" s="705">
        <f t="shared" si="13"/>
        <v>100</v>
      </c>
      <c r="V31" s="704" t="s">
        <v>18</v>
      </c>
      <c r="W31" s="705">
        <f t="shared" si="14"/>
        <v>100</v>
      </c>
      <c r="X31" s="1354"/>
      <c r="Y31" s="3687"/>
      <c r="Z31" s="1355">
        <f t="shared" si="18"/>
        <v>111</v>
      </c>
      <c r="AA31" s="1352">
        <f t="shared" si="15"/>
        <v>1</v>
      </c>
      <c r="AB31" s="1352">
        <f t="shared" si="16"/>
        <v>1</v>
      </c>
      <c r="AC31" s="1352">
        <f t="shared" si="17"/>
        <v>1</v>
      </c>
    </row>
    <row r="32" spans="1:29" ht="15">
      <c r="A32" s="390" t="s">
        <v>1694</v>
      </c>
      <c r="B32" s="63" t="s">
        <v>1695</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688" t="s">
        <v>1696</v>
      </c>
      <c r="Q32" s="1351" t="str">
        <f t="shared" si="11"/>
        <v>建筑类型</v>
      </c>
      <c r="R32" s="704" t="s">
        <v>18</v>
      </c>
      <c r="S32" s="705">
        <f t="shared" si="12"/>
        <v>100</v>
      </c>
      <c r="T32" s="704" t="s">
        <v>18</v>
      </c>
      <c r="U32" s="705">
        <f t="shared" si="13"/>
        <v>100</v>
      </c>
      <c r="V32" s="704" t="s">
        <v>18</v>
      </c>
      <c r="W32" s="705">
        <f t="shared" si="14"/>
        <v>100</v>
      </c>
      <c r="X32" s="1354"/>
      <c r="Y32" s="3691" t="s">
        <v>1696</v>
      </c>
      <c r="Z32" s="1355" t="str">
        <f t="shared" si="18"/>
        <v>建筑类型</v>
      </c>
      <c r="AA32" s="1352">
        <f t="shared" si="15"/>
        <v>1</v>
      </c>
      <c r="AB32" s="1352">
        <f t="shared" si="16"/>
        <v>1</v>
      </c>
      <c r="AC32" s="1352">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689"/>
      <c r="Q33" s="706" t="str">
        <f t="shared" si="11"/>
        <v>项目建筑规模</v>
      </c>
      <c r="R33" s="707" t="s">
        <v>18</v>
      </c>
      <c r="S33" s="708" t="e">
        <f t="shared" si="12"/>
        <v>#N/A</v>
      </c>
      <c r="T33" s="707" t="s">
        <v>18</v>
      </c>
      <c r="U33" s="708" t="e">
        <f t="shared" si="13"/>
        <v>#N/A</v>
      </c>
      <c r="V33" s="707" t="s">
        <v>18</v>
      </c>
      <c r="W33" s="708" t="e">
        <f t="shared" si="14"/>
        <v>#N/A</v>
      </c>
      <c r="X33" s="709"/>
      <c r="Y33" s="3691"/>
      <c r="Z33" s="710" t="str">
        <f t="shared" si="18"/>
        <v>项目建筑规模</v>
      </c>
      <c r="AA33" s="1352" t="e">
        <f t="shared" si="15"/>
        <v>#N/A</v>
      </c>
      <c r="AB33" s="1352" t="e">
        <f t="shared" si="16"/>
        <v>#N/A</v>
      </c>
      <c r="AC33" s="1352" t="e">
        <f t="shared" si="17"/>
        <v>#N/A</v>
      </c>
    </row>
    <row r="34" spans="1:29" ht="15">
      <c r="A34" s="422"/>
      <c r="B34" s="374" t="s">
        <v>1698</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689"/>
      <c r="Q34" s="1351" t="str">
        <f t="shared" si="11"/>
        <v>建筑结构</v>
      </c>
      <c r="R34" s="704" t="s">
        <v>18</v>
      </c>
      <c r="S34" s="705">
        <f t="shared" si="12"/>
        <v>100</v>
      </c>
      <c r="T34" s="704" t="s">
        <v>18</v>
      </c>
      <c r="U34" s="705">
        <f t="shared" si="13"/>
        <v>100</v>
      </c>
      <c r="V34" s="704" t="s">
        <v>18</v>
      </c>
      <c r="W34" s="705">
        <f t="shared" si="14"/>
        <v>100</v>
      </c>
      <c r="X34" s="1354"/>
      <c r="Y34" s="3691"/>
      <c r="Z34" s="1355" t="str">
        <f t="shared" si="18"/>
        <v>建筑结构</v>
      </c>
      <c r="AA34" s="1352">
        <f t="shared" si="15"/>
        <v>1</v>
      </c>
      <c r="AB34" s="1352">
        <f t="shared" si="16"/>
        <v>1</v>
      </c>
      <c r="AC34" s="1352">
        <f t="shared" si="17"/>
        <v>1</v>
      </c>
    </row>
    <row r="35" spans="1:29" ht="15">
      <c r="A35" s="422"/>
      <c r="B35" s="374" t="s">
        <v>1699</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689"/>
      <c r="Q35" s="1351" t="str">
        <f t="shared" si="11"/>
        <v>建筑品质</v>
      </c>
      <c r="R35" s="704" t="s">
        <v>18</v>
      </c>
      <c r="S35" s="705">
        <f t="shared" si="12"/>
        <v>100</v>
      </c>
      <c r="T35" s="704" t="s">
        <v>18</v>
      </c>
      <c r="U35" s="705">
        <f t="shared" si="13"/>
        <v>100</v>
      </c>
      <c r="V35" s="704" t="s">
        <v>18</v>
      </c>
      <c r="W35" s="705">
        <f t="shared" si="14"/>
        <v>100</v>
      </c>
      <c r="X35" s="1354"/>
      <c r="Y35" s="3691"/>
      <c r="Z35" s="1355" t="str">
        <f t="shared" si="18"/>
        <v>建筑品质</v>
      </c>
      <c r="AA35" s="1352">
        <f t="shared" si="15"/>
        <v>1</v>
      </c>
      <c r="AB35" s="1352">
        <f t="shared" si="16"/>
        <v>1</v>
      </c>
      <c r="AC35" s="1352">
        <f t="shared" si="17"/>
        <v>1</v>
      </c>
    </row>
    <row r="36" spans="1:29" ht="15">
      <c r="A36" s="422"/>
      <c r="B36" s="374" t="s">
        <v>1700</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689"/>
      <c r="Q36" s="1351" t="str">
        <f t="shared" si="11"/>
        <v>公共部分装修</v>
      </c>
      <c r="R36" s="704" t="s">
        <v>18</v>
      </c>
      <c r="S36" s="705">
        <f t="shared" si="12"/>
        <v>100</v>
      </c>
      <c r="T36" s="704" t="s">
        <v>18</v>
      </c>
      <c r="U36" s="705">
        <f t="shared" si="13"/>
        <v>100</v>
      </c>
      <c r="V36" s="704" t="s">
        <v>18</v>
      </c>
      <c r="W36" s="705">
        <f t="shared" si="14"/>
        <v>100</v>
      </c>
      <c r="X36" s="1354"/>
      <c r="Y36" s="3691"/>
      <c r="Z36" s="1355" t="str">
        <f t="shared" si="18"/>
        <v>公共部分装修</v>
      </c>
      <c r="AA36" s="1352">
        <f t="shared" si="15"/>
        <v>1</v>
      </c>
      <c r="AB36" s="1352">
        <f t="shared" si="16"/>
        <v>1</v>
      </c>
      <c r="AC36" s="1352">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689"/>
      <c r="Q37" s="1342" t="str">
        <f t="shared" si="11"/>
        <v>成新度</v>
      </c>
      <c r="R37" s="700" t="s">
        <v>18</v>
      </c>
      <c r="S37" s="701" t="e">
        <f t="shared" si="12"/>
        <v>#N/A</v>
      </c>
      <c r="T37" s="700" t="s">
        <v>18</v>
      </c>
      <c r="U37" s="701" t="e">
        <f t="shared" si="13"/>
        <v>#N/A</v>
      </c>
      <c r="V37" s="700" t="s">
        <v>18</v>
      </c>
      <c r="W37" s="701" t="e">
        <f t="shared" si="14"/>
        <v>#N/A</v>
      </c>
      <c r="X37" s="702"/>
      <c r="Y37" s="3691"/>
      <c r="Z37" s="52" t="str">
        <f t="shared" si="18"/>
        <v>成新度</v>
      </c>
      <c r="AA37" s="703" t="e">
        <f t="shared" si="15"/>
        <v>#N/A</v>
      </c>
      <c r="AB37" s="703" t="e">
        <f t="shared" si="16"/>
        <v>#N/A</v>
      </c>
      <c r="AC37" s="703" t="e">
        <f t="shared" si="17"/>
        <v>#N/A</v>
      </c>
    </row>
    <row r="38" spans="1:29" ht="15">
      <c r="A38" s="422"/>
      <c r="B38" s="374" t="s">
        <v>1702</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689" t="s">
        <v>1696</v>
      </c>
      <c r="Q38" s="1351" t="str">
        <f t="shared" si="11"/>
        <v>物业管理</v>
      </c>
      <c r="R38" s="704" t="s">
        <v>18</v>
      </c>
      <c r="S38" s="705">
        <f t="shared" si="12"/>
        <v>100</v>
      </c>
      <c r="T38" s="704" t="s">
        <v>18</v>
      </c>
      <c r="U38" s="705">
        <f t="shared" si="13"/>
        <v>100</v>
      </c>
      <c r="V38" s="704" t="s">
        <v>18</v>
      </c>
      <c r="W38" s="705">
        <f t="shared" si="14"/>
        <v>100</v>
      </c>
      <c r="X38" s="1354"/>
      <c r="Y38" s="3691" t="s">
        <v>1696</v>
      </c>
      <c r="Z38" s="1355" t="str">
        <f t="shared" si="18"/>
        <v>物业管理</v>
      </c>
      <c r="AA38" s="1352">
        <f t="shared" si="15"/>
        <v>1</v>
      </c>
      <c r="AB38" s="1352">
        <f t="shared" si="16"/>
        <v>1</v>
      </c>
      <c r="AC38" s="1352">
        <f t="shared" si="17"/>
        <v>1</v>
      </c>
    </row>
    <row r="39" spans="1:29" ht="15">
      <c r="A39" s="422"/>
      <c r="B39" s="374" t="s">
        <v>1703</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689"/>
      <c r="Q39" s="1351" t="str">
        <f t="shared" si="11"/>
        <v>市政基础设施</v>
      </c>
      <c r="R39" s="704" t="s">
        <v>18</v>
      </c>
      <c r="S39" s="705">
        <f t="shared" si="12"/>
        <v>100</v>
      </c>
      <c r="T39" s="704" t="s">
        <v>18</v>
      </c>
      <c r="U39" s="705">
        <f t="shared" si="13"/>
        <v>100</v>
      </c>
      <c r="V39" s="704" t="s">
        <v>18</v>
      </c>
      <c r="W39" s="705">
        <f t="shared" si="14"/>
        <v>100</v>
      </c>
      <c r="X39" s="1354"/>
      <c r="Y39" s="3691"/>
      <c r="Z39" s="1355" t="str">
        <f t="shared" si="18"/>
        <v>市政基础设施</v>
      </c>
      <c r="AA39" s="1352">
        <f t="shared" si="15"/>
        <v>1</v>
      </c>
      <c r="AB39" s="1352">
        <f t="shared" si="16"/>
        <v>1</v>
      </c>
      <c r="AC39" s="1352">
        <f t="shared" si="17"/>
        <v>1</v>
      </c>
    </row>
    <row r="40" spans="1:29" ht="15">
      <c r="A40" s="422"/>
      <c r="B40" s="374" t="s">
        <v>1704</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689"/>
      <c r="Q40" s="1351" t="str">
        <f t="shared" si="11"/>
        <v>房型</v>
      </c>
      <c r="R40" s="704" t="s">
        <v>18</v>
      </c>
      <c r="S40" s="705">
        <f t="shared" si="12"/>
        <v>100</v>
      </c>
      <c r="T40" s="704" t="s">
        <v>18</v>
      </c>
      <c r="U40" s="705">
        <f t="shared" si="13"/>
        <v>100</v>
      </c>
      <c r="V40" s="704" t="s">
        <v>18</v>
      </c>
      <c r="W40" s="705">
        <f t="shared" si="14"/>
        <v>100</v>
      </c>
      <c r="X40" s="1354"/>
      <c r="Y40" s="3691"/>
      <c r="Z40" s="1355" t="str">
        <f t="shared" si="18"/>
        <v>房型</v>
      </c>
      <c r="AA40" s="1352">
        <f t="shared" si="15"/>
        <v>1</v>
      </c>
      <c r="AB40" s="1352">
        <f t="shared" si="16"/>
        <v>1</v>
      </c>
      <c r="AC40" s="1352">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689"/>
      <c r="Q41" s="706" t="str">
        <f t="shared" si="11"/>
        <v>单套/主力户型建筑面积</v>
      </c>
      <c r="R41" s="707" t="s">
        <v>18</v>
      </c>
      <c r="S41" s="708">
        <f t="shared" si="12"/>
        <v>100</v>
      </c>
      <c r="T41" s="707" t="s">
        <v>18</v>
      </c>
      <c r="U41" s="708">
        <f t="shared" si="13"/>
        <v>100</v>
      </c>
      <c r="V41" s="707" t="s">
        <v>18</v>
      </c>
      <c r="W41" s="708">
        <f t="shared" si="14"/>
        <v>100</v>
      </c>
      <c r="X41" s="709"/>
      <c r="Y41" s="3691"/>
      <c r="Z41" s="710" t="str">
        <f t="shared" si="18"/>
        <v>单套/主力户型建筑面积</v>
      </c>
      <c r="AA41" s="1352">
        <f t="shared" si="15"/>
        <v>1</v>
      </c>
      <c r="AB41" s="1352">
        <f t="shared" si="16"/>
        <v>1</v>
      </c>
      <c r="AC41" s="1352">
        <f t="shared" si="17"/>
        <v>1</v>
      </c>
    </row>
    <row r="42" spans="1:29" ht="15">
      <c r="A42" s="422"/>
      <c r="B42" s="374" t="s">
        <v>1706</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689"/>
      <c r="Q42" s="1351" t="str">
        <f t="shared" si="11"/>
        <v>内部装修</v>
      </c>
      <c r="R42" s="704" t="s">
        <v>18</v>
      </c>
      <c r="S42" s="705">
        <f t="shared" si="12"/>
        <v>100</v>
      </c>
      <c r="T42" s="704" t="s">
        <v>18</v>
      </c>
      <c r="U42" s="705">
        <f t="shared" si="13"/>
        <v>100</v>
      </c>
      <c r="V42" s="704" t="s">
        <v>18</v>
      </c>
      <c r="W42" s="705">
        <f t="shared" si="14"/>
        <v>100</v>
      </c>
      <c r="X42" s="1354"/>
      <c r="Y42" s="3691"/>
      <c r="Z42" s="1355" t="str">
        <f t="shared" si="18"/>
        <v>内部装修</v>
      </c>
      <c r="AA42" s="1352">
        <f t="shared" si="15"/>
        <v>1</v>
      </c>
      <c r="AB42" s="1352">
        <f t="shared" si="16"/>
        <v>1</v>
      </c>
      <c r="AC42" s="1352">
        <f t="shared" si="17"/>
        <v>1</v>
      </c>
    </row>
    <row r="43" spans="1:29" ht="15">
      <c r="A43" s="422"/>
      <c r="B43" s="374" t="s">
        <v>1707</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689"/>
      <c r="Q43" s="1351" t="str">
        <f t="shared" si="11"/>
        <v>内部装修维护情况</v>
      </c>
      <c r="R43" s="704" t="s">
        <v>18</v>
      </c>
      <c r="S43" s="705">
        <f t="shared" si="12"/>
        <v>100</v>
      </c>
      <c r="T43" s="704" t="s">
        <v>18</v>
      </c>
      <c r="U43" s="705">
        <f t="shared" si="13"/>
        <v>100</v>
      </c>
      <c r="V43" s="704" t="s">
        <v>18</v>
      </c>
      <c r="W43" s="705">
        <f t="shared" si="14"/>
        <v>100</v>
      </c>
      <c r="X43" s="1354"/>
      <c r="Y43" s="3691"/>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689"/>
      <c r="Q44" s="1342">
        <f t="shared" si="11"/>
        <v>111</v>
      </c>
      <c r="R44" s="700" t="s">
        <v>18</v>
      </c>
      <c r="S44" s="701">
        <f t="shared" si="12"/>
        <v>100</v>
      </c>
      <c r="T44" s="700" t="s">
        <v>18</v>
      </c>
      <c r="U44" s="701">
        <f t="shared" si="13"/>
        <v>100</v>
      </c>
      <c r="V44" s="700" t="s">
        <v>18</v>
      </c>
      <c r="W44" s="701">
        <f t="shared" si="14"/>
        <v>100</v>
      </c>
      <c r="X44" s="702"/>
      <c r="Y44" s="3691"/>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689"/>
      <c r="Q45" s="1351">
        <f t="shared" si="11"/>
        <v>111</v>
      </c>
      <c r="R45" s="704" t="s">
        <v>18</v>
      </c>
      <c r="S45" s="705">
        <f t="shared" si="12"/>
        <v>100</v>
      </c>
      <c r="T45" s="704" t="s">
        <v>18</v>
      </c>
      <c r="U45" s="705">
        <f t="shared" si="13"/>
        <v>100</v>
      </c>
      <c r="V45" s="704" t="s">
        <v>18</v>
      </c>
      <c r="W45" s="705">
        <f t="shared" si="14"/>
        <v>100</v>
      </c>
      <c r="X45" s="1354"/>
      <c r="Y45" s="3691"/>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690"/>
      <c r="Q46" s="1351">
        <f t="shared" si="11"/>
        <v>111</v>
      </c>
      <c r="R46" s="704" t="s">
        <v>17</v>
      </c>
      <c r="S46" s="705">
        <f t="shared" si="12"/>
        <v>100</v>
      </c>
      <c r="T46" s="704" t="s">
        <v>17</v>
      </c>
      <c r="U46" s="705">
        <f t="shared" si="13"/>
        <v>100</v>
      </c>
      <c r="V46" s="704" t="s">
        <v>17</v>
      </c>
      <c r="W46" s="705">
        <f t="shared" si="14"/>
        <v>100</v>
      </c>
      <c r="X46" s="1354"/>
      <c r="Y46" s="3692"/>
      <c r="Z46" s="1355">
        <f t="shared" si="18"/>
        <v>111</v>
      </c>
      <c r="AA46" s="1352">
        <f t="shared" si="15"/>
        <v>1</v>
      </c>
      <c r="AB46" s="1352">
        <f t="shared" si="16"/>
        <v>1</v>
      </c>
      <c r="AC46" s="1352">
        <f t="shared" si="17"/>
        <v>1</v>
      </c>
    </row>
    <row r="47" spans="1:29" ht="15">
      <c r="A47" s="429" t="s">
        <v>1708</v>
      </c>
      <c r="B47" s="430"/>
      <c r="C47" s="1153" t="s">
        <v>16</v>
      </c>
      <c r="D47" s="1154"/>
      <c r="E47" s="1155"/>
      <c r="F47" s="1156"/>
      <c r="G47" s="1157"/>
      <c r="H47" s="1158"/>
      <c r="I47" s="1155"/>
      <c r="J47" s="1158"/>
      <c r="K47" s="1913"/>
      <c r="L47" s="2723"/>
      <c r="M47" s="2724"/>
      <c r="N47" s="2715"/>
      <c r="O47" s="2724"/>
      <c r="P47" s="3684" t="str">
        <f>A47</f>
        <v>成交单价（元/平方米）</v>
      </c>
      <c r="Q47" s="3684"/>
      <c r="R47" s="3685">
        <f>E47</f>
        <v>0</v>
      </c>
      <c r="S47" s="3685"/>
      <c r="T47" s="3685">
        <f>G47</f>
        <v>0</v>
      </c>
      <c r="U47" s="3685"/>
      <c r="V47" s="3685">
        <f>I47</f>
        <v>0</v>
      </c>
      <c r="W47" s="3685"/>
      <c r="X47" s="689"/>
      <c r="Y47" s="711"/>
      <c r="Z47" s="689"/>
      <c r="AA47" s="689"/>
      <c r="AB47" s="689"/>
      <c r="AC47" s="689"/>
    </row>
    <row r="48" spans="1:29" ht="15.75" thickBot="1">
      <c r="A48" s="436" t="s">
        <v>1709</v>
      </c>
      <c r="B48" s="437"/>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89"/>
      <c r="Y48" s="689"/>
      <c r="Z48" s="689"/>
      <c r="AA48" s="689"/>
      <c r="AB48" s="689"/>
      <c r="AC48" s="689"/>
    </row>
    <row r="49" spans="1:29" ht="15.75" thickBot="1">
      <c r="A49" s="440" t="s">
        <v>1710</v>
      </c>
      <c r="B49" s="441"/>
      <c r="C49" s="1161" t="e">
        <f>R49</f>
        <v>#DIV/0!</v>
      </c>
      <c r="D49" s="1162"/>
      <c r="E49" s="1162"/>
      <c r="F49" s="1162"/>
      <c r="G49" s="1162"/>
      <c r="H49" s="1162"/>
      <c r="I49" s="1162"/>
      <c r="J49" s="1162"/>
      <c r="K49" s="1914"/>
      <c r="L49" s="2723"/>
      <c r="M49" s="2724"/>
      <c r="N49" s="2724"/>
      <c r="O49" s="272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2"/>
    </row>
    <row r="58" spans="1:29" s="456" customFormat="1" ht="15">
      <c r="A58" s="453" t="s">
        <v>1715</v>
      </c>
      <c r="B58" s="454"/>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7" customFormat="1" ht="15">
      <c r="A59" s="457"/>
      <c r="B59" s="1918"/>
      <c r="C59" s="1182">
        <v>100</v>
      </c>
      <c r="D59" s="459"/>
      <c r="E59" s="460"/>
      <c r="F59" s="460"/>
      <c r="G59" s="460"/>
      <c r="H59" s="460"/>
      <c r="I59" s="460"/>
      <c r="J59" s="460"/>
      <c r="K59" s="460"/>
      <c r="L59" s="460"/>
      <c r="M59" s="461"/>
      <c r="N59" s="460"/>
      <c r="O59" s="461"/>
      <c r="P59" s="1919"/>
    </row>
    <row r="60" spans="1:29" s="107" customFormat="1" ht="15.75" thickBot="1">
      <c r="A60" s="463" t="s">
        <v>1716</v>
      </c>
      <c r="B60" s="464"/>
      <c r="C60" s="465"/>
      <c r="D60" s="466"/>
      <c r="E60" s="466"/>
      <c r="F60" s="466"/>
      <c r="G60" s="466"/>
      <c r="H60" s="466"/>
      <c r="I60" s="466"/>
      <c r="J60" s="466"/>
      <c r="K60" s="466"/>
      <c r="L60" s="466"/>
      <c r="M60" s="467"/>
      <c r="N60" s="466"/>
      <c r="O60" s="467"/>
      <c r="P60" s="1919"/>
      <c r="Q60" s="452"/>
    </row>
    <row r="61" spans="1:29" s="107" customFormat="1" ht="15">
      <c r="A61" s="469" t="s">
        <v>1717</v>
      </c>
      <c r="B61" s="458"/>
      <c r="C61" s="470" t="s">
        <v>1718</v>
      </c>
      <c r="D61" s="471"/>
      <c r="E61" s="471"/>
      <c r="F61" s="471"/>
      <c r="G61" s="471"/>
      <c r="H61" s="471"/>
      <c r="I61" s="471"/>
      <c r="J61" s="471"/>
      <c r="K61" s="471"/>
      <c r="L61" s="472"/>
      <c r="M61" s="473"/>
      <c r="N61" s="931"/>
      <c r="O61" s="931"/>
      <c r="P61" s="1920"/>
      <c r="Q61" s="452"/>
    </row>
    <row r="62" spans="1:29" s="107"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1719</v>
      </c>
      <c r="B63" s="476" t="s">
        <v>1685</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1688</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75" thickTop="1">
      <c r="A86" s="527"/>
      <c r="B86" s="486" t="s">
        <v>1734</v>
      </c>
      <c r="C86" s="502"/>
      <c r="D86" s="502"/>
      <c r="E86" s="502"/>
      <c r="F86" s="502"/>
      <c r="G86" s="502"/>
      <c r="H86" s="502"/>
      <c r="I86" s="502"/>
      <c r="J86" s="502"/>
      <c r="K86" s="502"/>
      <c r="L86" s="528"/>
      <c r="M86" s="529"/>
      <c r="N86" s="931"/>
      <c r="O86" s="931"/>
      <c r="P86" s="1921"/>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75" thickTop="1">
      <c r="A88" s="527"/>
      <c r="B88" s="486" t="s">
        <v>1735</v>
      </c>
      <c r="C88" s="502"/>
      <c r="D88" s="502"/>
      <c r="E88" s="502"/>
      <c r="F88" s="1926"/>
      <c r="G88" s="502"/>
      <c r="H88" s="502"/>
      <c r="I88" s="502"/>
      <c r="J88" s="502"/>
      <c r="K88" s="502"/>
      <c r="L88" s="502"/>
      <c r="M88" s="529"/>
      <c r="N88" s="931"/>
      <c r="O88" s="931"/>
      <c r="P88" s="1921"/>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1694</v>
      </c>
      <c r="B100" s="476" t="s">
        <v>1736</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1738</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1739</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1740</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1741</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1742</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1743</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1744</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6" t="s">
        <v>1749</v>
      </c>
      <c r="D138" s="136" t="s">
        <v>1750</v>
      </c>
      <c r="E138" s="1936" t="s">
        <v>1751</v>
      </c>
      <c r="F138" s="1937" t="s">
        <v>1752</v>
      </c>
      <c r="G138" s="136" t="s">
        <v>1750</v>
      </c>
      <c r="H138" s="137" t="s">
        <v>1751</v>
      </c>
      <c r="I138" s="1938"/>
      <c r="J138" s="136" t="s">
        <v>1753</v>
      </c>
      <c r="K138" s="137"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0">
        <f>ROUNDUP((J139-1)/2,0)</f>
        <v>10</v>
      </c>
      <c r="K140" s="877">
        <v>100</v>
      </c>
    </row>
    <row r="141" spans="1:17" ht="15">
      <c r="B141" s="872">
        <v>4</v>
      </c>
      <c r="C141" s="873">
        <v>102</v>
      </c>
      <c r="D141" s="873"/>
      <c r="E141" s="874"/>
      <c r="F141" s="875">
        <v>101.5</v>
      </c>
      <c r="G141" s="873"/>
      <c r="H141" s="876"/>
      <c r="I141" s="1941" t="s">
        <v>1758</v>
      </c>
      <c r="J141" s="270">
        <v>1</v>
      </c>
      <c r="K141" s="878">
        <f>ROUND(100+(J141-J140)*K139*100,1)</f>
        <v>96.4</v>
      </c>
    </row>
    <row r="142" spans="1:17" ht="15">
      <c r="B142" s="872">
        <v>3</v>
      </c>
      <c r="C142" s="873">
        <v>103</v>
      </c>
      <c r="D142" s="873"/>
      <c r="E142" s="874"/>
      <c r="F142" s="875">
        <v>101</v>
      </c>
      <c r="G142" s="873"/>
      <c r="H142" s="876"/>
      <c r="I142" s="1941" t="s">
        <v>1759</v>
      </c>
      <c r="J142" s="270">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8" sqref="E2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1464</v>
      </c>
      <c r="B3" s="557">
        <f>IF(C2="——",C49,ROUND(B2*10000/D3,0))</f>
        <v>0</v>
      </c>
      <c r="C3" s="353" t="s">
        <v>1768</v>
      </c>
      <c r="D3" s="352">
        <f>IF(D1="",'数据-汇总表'!E3,SUMIF('数据-汇总表'!$C19:$C33,D1,'数据-汇总表'!$E19:$E33))</f>
        <v>101448.13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715" t="s">
        <v>1772</v>
      </c>
      <c r="AC4" s="3696" t="s">
        <v>1773</v>
      </c>
    </row>
    <row r="5" spans="1:29" ht="15">
      <c r="A5" s="357"/>
      <c r="B5" s="358"/>
      <c r="C5" s="3718" t="s">
        <v>1673</v>
      </c>
      <c r="D5" s="3719"/>
      <c r="E5" s="3725" t="s">
        <v>1674</v>
      </c>
      <c r="F5" s="3726"/>
      <c r="G5" s="3718" t="s">
        <v>1675</v>
      </c>
      <c r="H5" s="3719"/>
      <c r="I5" s="3718" t="s">
        <v>1676</v>
      </c>
      <c r="J5" s="3719"/>
      <c r="K5" s="558"/>
      <c r="L5" s="2714"/>
      <c r="M5" s="2715"/>
      <c r="N5" s="2715"/>
      <c r="O5" s="2715"/>
      <c r="P5" s="3705"/>
      <c r="Q5" s="3706"/>
      <c r="R5" s="3711"/>
      <c r="S5" s="3712"/>
      <c r="T5" s="3711"/>
      <c r="U5" s="3712"/>
      <c r="V5" s="3715"/>
      <c r="W5" s="3715"/>
      <c r="X5" s="1354"/>
      <c r="Y5" s="3711"/>
      <c r="Z5" s="3712"/>
      <c r="AA5" s="3697"/>
      <c r="AB5" s="3715"/>
      <c r="AC5" s="3697"/>
    </row>
    <row r="6" spans="1:29" ht="15.75" thickBot="1">
      <c r="A6" s="359"/>
      <c r="B6" s="360"/>
      <c r="C6" s="3716" t="s">
        <v>1677</v>
      </c>
      <c r="D6" s="3717"/>
      <c r="E6" s="3723" t="s">
        <v>1677</v>
      </c>
      <c r="F6" s="3724"/>
      <c r="G6" s="3716" t="s">
        <v>1677</v>
      </c>
      <c r="H6" s="3717"/>
      <c r="I6" s="3716" t="s">
        <v>1677</v>
      </c>
      <c r="J6" s="3717"/>
      <c r="K6" s="558" t="s">
        <v>1678</v>
      </c>
      <c r="L6" s="2714"/>
      <c r="M6" s="2715"/>
      <c r="N6" s="2715"/>
      <c r="O6" s="2715"/>
      <c r="P6" s="3707"/>
      <c r="Q6" s="3708"/>
      <c r="R6" s="3711"/>
      <c r="S6" s="3712"/>
      <c r="T6" s="3713"/>
      <c r="U6" s="3714"/>
      <c r="V6" s="3715"/>
      <c r="W6" s="3715"/>
      <c r="X6" s="1354"/>
      <c r="Y6" s="3713"/>
      <c r="Z6" s="3714"/>
      <c r="AA6" s="3698"/>
      <c r="AB6" s="3715"/>
      <c r="AC6" s="3698"/>
    </row>
    <row r="7" spans="1:29" s="107" customFormat="1" ht="15.75" thickBot="1">
      <c r="A7" s="361" t="s">
        <v>1679</v>
      </c>
      <c r="B7" s="362"/>
      <c r="C7" s="363">
        <f>'数据-取费表'!B2</f>
        <v>45230</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20"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703" t="e">
        <f>D7/J7</f>
        <v>#DIV/0!</v>
      </c>
    </row>
    <row r="8" spans="1:29" s="107"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20" t="s">
        <v>1683</v>
      </c>
      <c r="Q8" s="3721"/>
      <c r="R8" s="700" t="s">
        <v>14</v>
      </c>
      <c r="S8" s="701">
        <f t="shared" si="0"/>
        <v>100</v>
      </c>
      <c r="T8" s="700" t="s">
        <v>14</v>
      </c>
      <c r="U8" s="701">
        <f t="shared" si="1"/>
        <v>100</v>
      </c>
      <c r="V8" s="700" t="s">
        <v>14</v>
      </c>
      <c r="W8" s="701">
        <f t="shared" si="2"/>
        <v>100</v>
      </c>
      <c r="X8" s="702"/>
      <c r="Y8" s="3720" t="s">
        <v>1683</v>
      </c>
      <c r="Z8" s="3721"/>
      <c r="AA8" s="703">
        <f t="shared" ref="AA8:AA46" si="3">D8/F8</f>
        <v>1</v>
      </c>
      <c r="AB8" s="703">
        <f t="shared" ref="AB8:AB46" si="4">D8/H8</f>
        <v>1</v>
      </c>
      <c r="AC8" s="703">
        <f t="shared" ref="AC8:AC46" si="5">D8/J8</f>
        <v>1</v>
      </c>
    </row>
    <row r="9" spans="1:29" s="107"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5"/>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5"/>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71.25">
      <c r="A15" s="390" t="s">
        <v>1690</v>
      </c>
      <c r="B15" s="61" t="s">
        <v>1777</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693" t="s">
        <v>1691</v>
      </c>
      <c r="Q15" s="1351" t="str">
        <f t="shared" si="6"/>
        <v>商业繁华度</v>
      </c>
      <c r="R15" s="704" t="s">
        <v>14</v>
      </c>
      <c r="S15" s="705">
        <f t="shared" si="0"/>
        <v>100</v>
      </c>
      <c r="T15" s="704" t="s">
        <v>14</v>
      </c>
      <c r="U15" s="705">
        <f t="shared" si="1"/>
        <v>100</v>
      </c>
      <c r="V15" s="704" t="s">
        <v>14</v>
      </c>
      <c r="W15" s="705">
        <f t="shared" si="2"/>
        <v>100</v>
      </c>
      <c r="X15" s="1354"/>
      <c r="Y15" s="3686" t="s">
        <v>1691</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694"/>
      <c r="Q16" s="1351"/>
      <c r="R16" s="704"/>
      <c r="S16" s="705"/>
      <c r="T16" s="704"/>
      <c r="U16" s="705"/>
      <c r="V16" s="704"/>
      <c r="W16" s="705"/>
      <c r="X16" s="1354"/>
      <c r="Y16" s="3687"/>
      <c r="Z16" s="1355"/>
      <c r="AA16" s="1352">
        <v>1</v>
      </c>
      <c r="AB16" s="1352">
        <v>1</v>
      </c>
      <c r="AC16" s="1352">
        <v>1</v>
      </c>
    </row>
    <row r="17" spans="1:29" ht="85.5">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694"/>
      <c r="Q17" s="1351" t="str">
        <f>B17</f>
        <v>交通便捷度</v>
      </c>
      <c r="R17" s="704" t="s">
        <v>14</v>
      </c>
      <c r="S17" s="705">
        <f>F17</f>
        <v>100</v>
      </c>
      <c r="T17" s="704" t="s">
        <v>14</v>
      </c>
      <c r="U17" s="705">
        <f>H17</f>
        <v>100</v>
      </c>
      <c r="V17" s="704" t="s">
        <v>14</v>
      </c>
      <c r="W17" s="705">
        <f>J17</f>
        <v>100</v>
      </c>
      <c r="X17" s="1354"/>
      <c r="Y17" s="368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694"/>
      <c r="Q18" s="1351"/>
      <c r="R18" s="704"/>
      <c r="S18" s="705"/>
      <c r="T18" s="704"/>
      <c r="U18" s="705"/>
      <c r="V18" s="704"/>
      <c r="W18" s="705"/>
      <c r="X18" s="1354"/>
      <c r="Y18" s="3687"/>
      <c r="Z18" s="1355"/>
      <c r="AA18" s="1352">
        <v>1</v>
      </c>
      <c r="AB18" s="1352">
        <v>1</v>
      </c>
      <c r="AC18" s="1352">
        <v>1</v>
      </c>
    </row>
    <row r="19" spans="1:29" ht="42.75">
      <c r="A19" s="378"/>
      <c r="B19" s="401" t="s">
        <v>1778</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694"/>
      <c r="Q19" s="1351" t="str">
        <f>B19</f>
        <v>公共配套设施</v>
      </c>
      <c r="R19" s="704" t="s">
        <v>14</v>
      </c>
      <c r="S19" s="705">
        <f>F19</f>
        <v>100</v>
      </c>
      <c r="T19" s="704" t="s">
        <v>14</v>
      </c>
      <c r="U19" s="705">
        <f>H19</f>
        <v>100</v>
      </c>
      <c r="V19" s="704" t="s">
        <v>14</v>
      </c>
      <c r="W19" s="705">
        <f>J19</f>
        <v>100</v>
      </c>
      <c r="X19" s="1354"/>
      <c r="Y19" s="368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694"/>
      <c r="Q20" s="1351"/>
      <c r="R20" s="704"/>
      <c r="S20" s="705"/>
      <c r="T20" s="704"/>
      <c r="U20" s="705"/>
      <c r="V20" s="704"/>
      <c r="W20" s="705"/>
      <c r="X20" s="1354"/>
      <c r="Y20" s="3687"/>
      <c r="Z20" s="1355"/>
      <c r="AA20" s="1352">
        <v>1</v>
      </c>
      <c r="AB20" s="1352">
        <v>1</v>
      </c>
      <c r="AC20" s="1352">
        <v>1</v>
      </c>
    </row>
    <row r="21" spans="1:29" ht="28.5">
      <c r="A21" s="378"/>
      <c r="B21" s="1130" t="s">
        <v>1779</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694"/>
      <c r="Q22" s="1351"/>
      <c r="R22" s="704"/>
      <c r="S22" s="705"/>
      <c r="T22" s="704"/>
      <c r="U22" s="705"/>
      <c r="V22" s="704"/>
      <c r="W22" s="705"/>
      <c r="X22" s="1354"/>
      <c r="Y22" s="3687"/>
      <c r="Z22" s="1355"/>
      <c r="AA22" s="1352">
        <v>1</v>
      </c>
      <c r="AB22" s="1352">
        <v>1</v>
      </c>
      <c r="AC22" s="1352">
        <v>1</v>
      </c>
    </row>
    <row r="23" spans="1:29" ht="57">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694"/>
      <c r="Q23" s="1351" t="str">
        <f>B23</f>
        <v>自然及人文环境</v>
      </c>
      <c r="R23" s="704" t="s">
        <v>14</v>
      </c>
      <c r="S23" s="705">
        <f>F23</f>
        <v>100</v>
      </c>
      <c r="T23" s="704" t="s">
        <v>14</v>
      </c>
      <c r="U23" s="705">
        <f>H23</f>
        <v>100</v>
      </c>
      <c r="V23" s="704" t="s">
        <v>14</v>
      </c>
      <c r="W23" s="705">
        <f>J23</f>
        <v>100</v>
      </c>
      <c r="X23" s="1354"/>
      <c r="Y23" s="3687"/>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694"/>
      <c r="Q24" s="1351"/>
      <c r="R24" s="704"/>
      <c r="S24" s="705"/>
      <c r="T24" s="704"/>
      <c r="U24" s="705"/>
      <c r="V24" s="704"/>
      <c r="W24" s="705"/>
      <c r="X24" s="1354"/>
      <c r="Y24" s="3687"/>
      <c r="Z24" s="1355"/>
      <c r="AA24" s="1352">
        <v>1</v>
      </c>
      <c r="AB24" s="1352">
        <v>1</v>
      </c>
      <c r="AC24" s="1352">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694"/>
      <c r="Q25" s="1351" t="str">
        <f t="shared" ref="Q25:Q46" si="11">B25</f>
        <v>临街状况</v>
      </c>
      <c r="R25" s="704" t="s">
        <v>14</v>
      </c>
      <c r="S25" s="705">
        <f>F25</f>
        <v>100</v>
      </c>
      <c r="T25" s="704" t="s">
        <v>14</v>
      </c>
      <c r="U25" s="705">
        <f>H25</f>
        <v>100</v>
      </c>
      <c r="V25" s="704" t="s">
        <v>14</v>
      </c>
      <c r="W25" s="705">
        <f>J25</f>
        <v>100</v>
      </c>
      <c r="X25" s="1354"/>
      <c r="Y25" s="3687"/>
      <c r="Z25" s="1355" t="str">
        <f>Q25</f>
        <v>临街状况</v>
      </c>
      <c r="AA25" s="1352">
        <f t="shared" si="3"/>
        <v>1</v>
      </c>
      <c r="AB25" s="1352">
        <f t="shared" si="4"/>
        <v>1</v>
      </c>
      <c r="AC25" s="1352">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694"/>
      <c r="Q26" s="1351" t="str">
        <f t="shared" si="11"/>
        <v>平面位置/可视性</v>
      </c>
      <c r="R26" s="704" t="s">
        <v>14</v>
      </c>
      <c r="S26" s="705">
        <f>F26</f>
        <v>100</v>
      </c>
      <c r="T26" s="704" t="s">
        <v>14</v>
      </c>
      <c r="U26" s="705">
        <f>H26</f>
        <v>100</v>
      </c>
      <c r="V26" s="704" t="s">
        <v>14</v>
      </c>
      <c r="W26" s="705">
        <f>J26</f>
        <v>100</v>
      </c>
      <c r="X26" s="1354"/>
      <c r="Y26" s="3687"/>
      <c r="Z26" s="1355" t="str">
        <f>Q26</f>
        <v>平面位置/可视性</v>
      </c>
      <c r="AA26" s="1352">
        <f t="shared" si="3"/>
        <v>1</v>
      </c>
      <c r="AB26" s="1352">
        <f t="shared" si="4"/>
        <v>1</v>
      </c>
      <c r="AC26" s="1352">
        <f t="shared" si="5"/>
        <v>1</v>
      </c>
    </row>
    <row r="27" spans="1:29" s="107" customFormat="1" ht="15">
      <c r="A27" s="381"/>
      <c r="B27" s="401" t="s">
        <v>1782</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694"/>
      <c r="Q27" s="1342" t="str">
        <f t="shared" si="11"/>
        <v>人流量</v>
      </c>
      <c r="R27" s="700" t="s">
        <v>14</v>
      </c>
      <c r="S27" s="701">
        <f>F27</f>
        <v>100</v>
      </c>
      <c r="T27" s="700" t="s">
        <v>14</v>
      </c>
      <c r="U27" s="701">
        <f>H27</f>
        <v>100</v>
      </c>
      <c r="V27" s="700" t="s">
        <v>14</v>
      </c>
      <c r="W27" s="701">
        <f>J27</f>
        <v>100</v>
      </c>
      <c r="X27" s="702"/>
      <c r="Y27" s="3687"/>
      <c r="Z27" s="52" t="str">
        <f>Q27</f>
        <v>人流量</v>
      </c>
      <c r="AA27" s="1352">
        <f>D27/F27</f>
        <v>1</v>
      </c>
      <c r="AB27" s="1352">
        <f>D27/H27</f>
        <v>1</v>
      </c>
      <c r="AC27" s="1352">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694"/>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7"/>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694"/>
      <c r="Q29" s="1351">
        <f t="shared" si="11"/>
        <v>111</v>
      </c>
      <c r="R29" s="704" t="s">
        <v>14</v>
      </c>
      <c r="S29" s="705">
        <f t="shared" si="12"/>
        <v>100</v>
      </c>
      <c r="T29" s="704" t="s">
        <v>14</v>
      </c>
      <c r="U29" s="705">
        <f t="shared" si="13"/>
        <v>100</v>
      </c>
      <c r="V29" s="704" t="s">
        <v>14</v>
      </c>
      <c r="W29" s="705">
        <f t="shared" si="14"/>
        <v>100</v>
      </c>
      <c r="X29" s="1354"/>
      <c r="Y29" s="3687"/>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694"/>
      <c r="Q30" s="1351">
        <f t="shared" si="11"/>
        <v>111</v>
      </c>
      <c r="R30" s="704" t="s">
        <v>14</v>
      </c>
      <c r="S30" s="705">
        <f t="shared" si="12"/>
        <v>100</v>
      </c>
      <c r="T30" s="704" t="s">
        <v>14</v>
      </c>
      <c r="U30" s="705">
        <f t="shared" si="13"/>
        <v>100</v>
      </c>
      <c r="V30" s="704" t="s">
        <v>14</v>
      </c>
      <c r="W30" s="705">
        <f t="shared" si="14"/>
        <v>100</v>
      </c>
      <c r="X30" s="1354"/>
      <c r="Y30" s="3687"/>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694"/>
      <c r="Q31" s="1351">
        <f t="shared" si="11"/>
        <v>111</v>
      </c>
      <c r="R31" s="704" t="s">
        <v>14</v>
      </c>
      <c r="S31" s="705">
        <f t="shared" si="12"/>
        <v>100</v>
      </c>
      <c r="T31" s="704" t="s">
        <v>14</v>
      </c>
      <c r="U31" s="705">
        <f t="shared" si="13"/>
        <v>100</v>
      </c>
      <c r="V31" s="704" t="s">
        <v>14</v>
      </c>
      <c r="W31" s="705">
        <f t="shared" si="14"/>
        <v>100</v>
      </c>
      <c r="X31" s="1354"/>
      <c r="Y31" s="3687"/>
      <c r="Z31" s="1355">
        <f t="shared" si="15"/>
        <v>111</v>
      </c>
      <c r="AA31" s="1352">
        <f t="shared" si="3"/>
        <v>1</v>
      </c>
      <c r="AB31" s="1352">
        <f t="shared" si="4"/>
        <v>1</v>
      </c>
      <c r="AC31" s="1352">
        <f t="shared" si="5"/>
        <v>1</v>
      </c>
    </row>
    <row r="32" spans="1:29" ht="15">
      <c r="A32" s="390" t="s">
        <v>1694</v>
      </c>
      <c r="B32" s="63" t="s">
        <v>1784</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688" t="s">
        <v>1696</v>
      </c>
      <c r="Q32" s="1351" t="str">
        <f t="shared" si="11"/>
        <v>商业类型</v>
      </c>
      <c r="R32" s="704" t="s">
        <v>14</v>
      </c>
      <c r="S32" s="705">
        <f t="shared" si="12"/>
        <v>100</v>
      </c>
      <c r="T32" s="704" t="s">
        <v>14</v>
      </c>
      <c r="U32" s="705">
        <f t="shared" si="13"/>
        <v>100</v>
      </c>
      <c r="V32" s="704" t="s">
        <v>14</v>
      </c>
      <c r="W32" s="705">
        <f t="shared" si="14"/>
        <v>100</v>
      </c>
      <c r="X32" s="1354"/>
      <c r="Y32" s="3691" t="s">
        <v>1696</v>
      </c>
      <c r="Z32" s="1355" t="str">
        <f t="shared" si="15"/>
        <v>商业类型</v>
      </c>
      <c r="AA32" s="1352">
        <f t="shared" si="3"/>
        <v>1</v>
      </c>
      <c r="AB32" s="1352">
        <f t="shared" si="4"/>
        <v>1</v>
      </c>
      <c r="AC32" s="1352">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689"/>
      <c r="Q33" s="706" t="str">
        <f t="shared" si="11"/>
        <v>项目建筑规模</v>
      </c>
      <c r="R33" s="707" t="s">
        <v>14</v>
      </c>
      <c r="S33" s="708" t="e">
        <f t="shared" si="12"/>
        <v>#N/A</v>
      </c>
      <c r="T33" s="707" t="s">
        <v>14</v>
      </c>
      <c r="U33" s="708" t="e">
        <f t="shared" si="13"/>
        <v>#N/A</v>
      </c>
      <c r="V33" s="707" t="s">
        <v>14</v>
      </c>
      <c r="W33" s="708" t="e">
        <f t="shared" si="14"/>
        <v>#N/A</v>
      </c>
      <c r="X33" s="709"/>
      <c r="Y33" s="3691"/>
      <c r="Z33" s="710" t="str">
        <f t="shared" si="15"/>
        <v>项目建筑规模</v>
      </c>
      <c r="AA33" s="1352" t="e">
        <f t="shared" si="3"/>
        <v>#N/A</v>
      </c>
      <c r="AB33" s="1352" t="e">
        <f t="shared" si="4"/>
        <v>#N/A</v>
      </c>
      <c r="AC33" s="1352" t="e">
        <f t="shared" si="5"/>
        <v>#N/A</v>
      </c>
    </row>
    <row r="34" spans="1:29" ht="15">
      <c r="A34" s="422"/>
      <c r="B34" s="374" t="s">
        <v>1698</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689"/>
      <c r="Q34" s="1351" t="str">
        <f t="shared" si="11"/>
        <v>建筑结构</v>
      </c>
      <c r="R34" s="704" t="s">
        <v>14</v>
      </c>
      <c r="S34" s="705">
        <f t="shared" si="12"/>
        <v>100</v>
      </c>
      <c r="T34" s="704" t="s">
        <v>14</v>
      </c>
      <c r="U34" s="705">
        <f t="shared" si="13"/>
        <v>100</v>
      </c>
      <c r="V34" s="704" t="s">
        <v>14</v>
      </c>
      <c r="W34" s="705">
        <f t="shared" si="14"/>
        <v>100</v>
      </c>
      <c r="X34" s="1354"/>
      <c r="Y34" s="3691"/>
      <c r="Z34" s="1355" t="str">
        <f t="shared" si="15"/>
        <v>建筑结构</v>
      </c>
      <c r="AA34" s="1352">
        <f t="shared" si="3"/>
        <v>1</v>
      </c>
      <c r="AB34" s="1352">
        <f t="shared" si="4"/>
        <v>1</v>
      </c>
      <c r="AC34" s="1352">
        <f t="shared" si="5"/>
        <v>1</v>
      </c>
    </row>
    <row r="35" spans="1:29" ht="15">
      <c r="A35" s="422"/>
      <c r="B35" s="374" t="s">
        <v>1785</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689"/>
      <c r="Q35" s="1351" t="str">
        <f t="shared" si="11"/>
        <v>公共部分装修</v>
      </c>
      <c r="R35" s="704" t="s">
        <v>14</v>
      </c>
      <c r="S35" s="705">
        <f t="shared" si="12"/>
        <v>100</v>
      </c>
      <c r="T35" s="704" t="s">
        <v>14</v>
      </c>
      <c r="U35" s="705">
        <f t="shared" si="13"/>
        <v>100</v>
      </c>
      <c r="V35" s="704" t="s">
        <v>14</v>
      </c>
      <c r="W35" s="705">
        <f t="shared" si="14"/>
        <v>100</v>
      </c>
      <c r="X35" s="1354"/>
      <c r="Y35" s="3691"/>
      <c r="Z35" s="1355" t="str">
        <f t="shared" si="15"/>
        <v>公共部分装修</v>
      </c>
      <c r="AA35" s="1352">
        <f t="shared" si="3"/>
        <v>1</v>
      </c>
      <c r="AB35" s="1352">
        <f t="shared" si="4"/>
        <v>1</v>
      </c>
      <c r="AC35" s="1352">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689"/>
      <c r="Q36" s="1351" t="str">
        <f t="shared" si="11"/>
        <v>成新度</v>
      </c>
      <c r="R36" s="704" t="s">
        <v>14</v>
      </c>
      <c r="S36" s="705" t="e">
        <f t="shared" si="12"/>
        <v>#N/A</v>
      </c>
      <c r="T36" s="704" t="s">
        <v>14</v>
      </c>
      <c r="U36" s="705" t="e">
        <f t="shared" si="13"/>
        <v>#N/A</v>
      </c>
      <c r="V36" s="704" t="s">
        <v>14</v>
      </c>
      <c r="W36" s="705" t="e">
        <f t="shared" si="14"/>
        <v>#N/A</v>
      </c>
      <c r="X36" s="1354"/>
      <c r="Y36" s="3691"/>
      <c r="Z36" s="1355" t="str">
        <f t="shared" si="15"/>
        <v>成新度</v>
      </c>
      <c r="AA36" s="1352" t="e">
        <f t="shared" si="3"/>
        <v>#N/A</v>
      </c>
      <c r="AB36" s="1352" t="e">
        <f t="shared" si="4"/>
        <v>#N/A</v>
      </c>
      <c r="AC36" s="1352" t="e">
        <f t="shared" si="5"/>
        <v>#N/A</v>
      </c>
    </row>
    <row r="37" spans="1:29" s="107" customFormat="1" ht="15">
      <c r="A37" s="423"/>
      <c r="B37" s="374" t="s">
        <v>1787</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689"/>
      <c r="Q37" s="1342" t="str">
        <f t="shared" si="11"/>
        <v>市政基础设施</v>
      </c>
      <c r="R37" s="700" t="s">
        <v>14</v>
      </c>
      <c r="S37" s="701">
        <f t="shared" si="12"/>
        <v>100</v>
      </c>
      <c r="T37" s="700" t="s">
        <v>14</v>
      </c>
      <c r="U37" s="701">
        <f t="shared" si="13"/>
        <v>100</v>
      </c>
      <c r="V37" s="700" t="s">
        <v>14</v>
      </c>
      <c r="W37" s="701">
        <f t="shared" si="14"/>
        <v>100</v>
      </c>
      <c r="X37" s="702"/>
      <c r="Y37" s="3691"/>
      <c r="Z37" s="52" t="str">
        <f t="shared" si="15"/>
        <v>市政基础设施</v>
      </c>
      <c r="AA37" s="703">
        <f t="shared" si="3"/>
        <v>1</v>
      </c>
      <c r="AB37" s="703">
        <f t="shared" si="4"/>
        <v>1</v>
      </c>
      <c r="AC37" s="703">
        <f t="shared" si="5"/>
        <v>1</v>
      </c>
    </row>
    <row r="38" spans="1:29" ht="15">
      <c r="A38" s="422"/>
      <c r="B38" s="374" t="s">
        <v>1788</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689" t="s">
        <v>1696</v>
      </c>
      <c r="Q38" s="1351" t="str">
        <f t="shared" si="11"/>
        <v>业态</v>
      </c>
      <c r="R38" s="704" t="s">
        <v>14</v>
      </c>
      <c r="S38" s="705">
        <f t="shared" si="12"/>
        <v>100</v>
      </c>
      <c r="T38" s="704" t="s">
        <v>14</v>
      </c>
      <c r="U38" s="705">
        <f t="shared" si="13"/>
        <v>100</v>
      </c>
      <c r="V38" s="704" t="s">
        <v>14</v>
      </c>
      <c r="W38" s="705">
        <f t="shared" si="14"/>
        <v>100</v>
      </c>
      <c r="X38" s="1354"/>
      <c r="Y38" s="3691" t="s">
        <v>1696</v>
      </c>
      <c r="Z38" s="1355" t="str">
        <f t="shared" si="15"/>
        <v>业态</v>
      </c>
      <c r="AA38" s="1352">
        <f t="shared" si="3"/>
        <v>1</v>
      </c>
      <c r="AB38" s="1352">
        <f t="shared" si="4"/>
        <v>1</v>
      </c>
      <c r="AC38" s="1352">
        <f t="shared" si="5"/>
        <v>1</v>
      </c>
    </row>
    <row r="39" spans="1:29" ht="15">
      <c r="A39" s="422"/>
      <c r="B39" s="374" t="s">
        <v>1789</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689"/>
      <c r="Q39" s="1351" t="str">
        <f t="shared" si="11"/>
        <v>层高</v>
      </c>
      <c r="R39" s="704" t="s">
        <v>14</v>
      </c>
      <c r="S39" s="705">
        <f t="shared" si="12"/>
        <v>100</v>
      </c>
      <c r="T39" s="704" t="s">
        <v>14</v>
      </c>
      <c r="U39" s="705">
        <f t="shared" si="13"/>
        <v>100</v>
      </c>
      <c r="V39" s="704" t="s">
        <v>14</v>
      </c>
      <c r="W39" s="705">
        <f t="shared" si="14"/>
        <v>100</v>
      </c>
      <c r="X39" s="1354"/>
      <c r="Y39" s="3691"/>
      <c r="Z39" s="1355" t="str">
        <f t="shared" si="15"/>
        <v>层高</v>
      </c>
      <c r="AA39" s="1352">
        <f t="shared" si="3"/>
        <v>1</v>
      </c>
      <c r="AB39" s="1352">
        <f t="shared" si="4"/>
        <v>1</v>
      </c>
      <c r="AC39" s="1352">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689"/>
      <c r="Q40" s="1351" t="str">
        <f t="shared" si="11"/>
        <v>单套建筑面积</v>
      </c>
      <c r="R40" s="704" t="s">
        <v>14</v>
      </c>
      <c r="S40" s="705">
        <f t="shared" si="12"/>
        <v>100</v>
      </c>
      <c r="T40" s="704" t="s">
        <v>14</v>
      </c>
      <c r="U40" s="705">
        <f t="shared" si="13"/>
        <v>100</v>
      </c>
      <c r="V40" s="704" t="s">
        <v>14</v>
      </c>
      <c r="W40" s="705">
        <f t="shared" si="14"/>
        <v>100</v>
      </c>
      <c r="X40" s="1354"/>
      <c r="Y40" s="3691"/>
      <c r="Z40" s="1355" t="str">
        <f t="shared" si="15"/>
        <v>单套建筑面积</v>
      </c>
      <c r="AA40" s="1352">
        <f t="shared" si="3"/>
        <v>1</v>
      </c>
      <c r="AB40" s="1352">
        <f t="shared" si="4"/>
        <v>1</v>
      </c>
      <c r="AC40" s="1352">
        <f t="shared" si="5"/>
        <v>1</v>
      </c>
    </row>
    <row r="41" spans="1:29" s="421" customFormat="1" ht="15">
      <c r="A41" s="418"/>
      <c r="B41" s="1353"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689"/>
      <c r="Q41" s="706" t="str">
        <f t="shared" si="11"/>
        <v>进深比</v>
      </c>
      <c r="R41" s="707" t="s">
        <v>14</v>
      </c>
      <c r="S41" s="708">
        <f t="shared" si="12"/>
        <v>100</v>
      </c>
      <c r="T41" s="707" t="s">
        <v>14</v>
      </c>
      <c r="U41" s="708">
        <f t="shared" si="13"/>
        <v>100</v>
      </c>
      <c r="V41" s="707" t="s">
        <v>14</v>
      </c>
      <c r="W41" s="708">
        <f t="shared" si="14"/>
        <v>100</v>
      </c>
      <c r="X41" s="709"/>
      <c r="Y41" s="3691"/>
      <c r="Z41" s="710" t="str">
        <f t="shared" si="15"/>
        <v>进深比</v>
      </c>
      <c r="AA41" s="1352">
        <f t="shared" si="3"/>
        <v>1</v>
      </c>
      <c r="AB41" s="1352">
        <f t="shared" si="4"/>
        <v>1</v>
      </c>
      <c r="AC41" s="1352">
        <f t="shared" si="5"/>
        <v>1</v>
      </c>
    </row>
    <row r="42" spans="1:29" ht="15">
      <c r="A42" s="422"/>
      <c r="B42" s="374" t="s">
        <v>1792</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689"/>
      <c r="Q42" s="1351" t="str">
        <f t="shared" si="11"/>
        <v>内部装修</v>
      </c>
      <c r="R42" s="704" t="s">
        <v>14</v>
      </c>
      <c r="S42" s="705">
        <f t="shared" si="12"/>
        <v>100</v>
      </c>
      <c r="T42" s="704" t="s">
        <v>14</v>
      </c>
      <c r="U42" s="705">
        <f t="shared" si="13"/>
        <v>100</v>
      </c>
      <c r="V42" s="704" t="s">
        <v>14</v>
      </c>
      <c r="W42" s="705">
        <f t="shared" si="14"/>
        <v>100</v>
      </c>
      <c r="X42" s="1354"/>
      <c r="Y42" s="3691"/>
      <c r="Z42" s="1355" t="str">
        <f t="shared" si="15"/>
        <v>内部装修</v>
      </c>
      <c r="AA42" s="1352">
        <f t="shared" si="3"/>
        <v>1</v>
      </c>
      <c r="AB42" s="1352">
        <f t="shared" si="4"/>
        <v>1</v>
      </c>
      <c r="AC42" s="1352">
        <f t="shared" si="5"/>
        <v>1</v>
      </c>
    </row>
    <row r="43" spans="1:29" ht="15">
      <c r="A43" s="422"/>
      <c r="B43" s="374" t="s">
        <v>1707</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689"/>
      <c r="Q43" s="1351" t="str">
        <f t="shared" si="11"/>
        <v>内部装修维护情况</v>
      </c>
      <c r="R43" s="704" t="s">
        <v>14</v>
      </c>
      <c r="S43" s="705">
        <f t="shared" si="12"/>
        <v>100</v>
      </c>
      <c r="T43" s="704" t="s">
        <v>14</v>
      </c>
      <c r="U43" s="705">
        <f t="shared" si="13"/>
        <v>100</v>
      </c>
      <c r="V43" s="704" t="s">
        <v>14</v>
      </c>
      <c r="W43" s="705">
        <f t="shared" si="14"/>
        <v>100</v>
      </c>
      <c r="X43" s="1354"/>
      <c r="Y43" s="3691"/>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689"/>
      <c r="Q44" s="1342">
        <f t="shared" si="11"/>
        <v>111</v>
      </c>
      <c r="R44" s="700" t="s">
        <v>14</v>
      </c>
      <c r="S44" s="701">
        <f t="shared" si="12"/>
        <v>100</v>
      </c>
      <c r="T44" s="700" t="s">
        <v>14</v>
      </c>
      <c r="U44" s="701">
        <f t="shared" si="13"/>
        <v>100</v>
      </c>
      <c r="V44" s="700" t="s">
        <v>14</v>
      </c>
      <c r="W44" s="701">
        <f t="shared" si="14"/>
        <v>100</v>
      </c>
      <c r="X44" s="702"/>
      <c r="Y44" s="3691"/>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689"/>
      <c r="Q45" s="1351">
        <f t="shared" si="11"/>
        <v>111</v>
      </c>
      <c r="R45" s="704" t="s">
        <v>14</v>
      </c>
      <c r="S45" s="705">
        <f t="shared" si="12"/>
        <v>100</v>
      </c>
      <c r="T45" s="704" t="s">
        <v>14</v>
      </c>
      <c r="U45" s="705">
        <f t="shared" si="13"/>
        <v>100</v>
      </c>
      <c r="V45" s="704" t="s">
        <v>14</v>
      </c>
      <c r="W45" s="705">
        <f t="shared" si="14"/>
        <v>100</v>
      </c>
      <c r="X45" s="1354"/>
      <c r="Y45" s="3691"/>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690"/>
      <c r="Q46" s="1351">
        <f t="shared" si="11"/>
        <v>111</v>
      </c>
      <c r="R46" s="704" t="s">
        <v>14</v>
      </c>
      <c r="S46" s="705">
        <f t="shared" si="12"/>
        <v>100</v>
      </c>
      <c r="T46" s="704" t="s">
        <v>14</v>
      </c>
      <c r="U46" s="705">
        <f t="shared" si="13"/>
        <v>100</v>
      </c>
      <c r="V46" s="704" t="s">
        <v>14</v>
      </c>
      <c r="W46" s="705">
        <f t="shared" si="14"/>
        <v>100</v>
      </c>
      <c r="X46" s="1354"/>
      <c r="Y46" s="3692"/>
      <c r="Z46" s="1355">
        <f t="shared" si="15"/>
        <v>111</v>
      </c>
      <c r="AA46" s="1352">
        <f t="shared" si="3"/>
        <v>1</v>
      </c>
      <c r="AB46" s="1352">
        <f t="shared" si="4"/>
        <v>1</v>
      </c>
      <c r="AC46" s="1352">
        <f t="shared" si="5"/>
        <v>1</v>
      </c>
    </row>
    <row r="47" spans="1:29" ht="15">
      <c r="A47" s="429" t="s">
        <v>1708</v>
      </c>
      <c r="B47" s="430"/>
      <c r="C47" s="1153" t="s">
        <v>0</v>
      </c>
      <c r="D47" s="1154"/>
      <c r="E47" s="1155"/>
      <c r="F47" s="1156"/>
      <c r="G47" s="1157"/>
      <c r="H47" s="1158"/>
      <c r="I47" s="1155"/>
      <c r="J47" s="1158"/>
      <c r="K47" s="713"/>
      <c r="L47" s="2723"/>
      <c r="M47" s="2724"/>
      <c r="N47" s="2715"/>
      <c r="O47" s="2724"/>
      <c r="P47" s="3684" t="str">
        <f>A47</f>
        <v>成交单价（元/平方米）</v>
      </c>
      <c r="Q47" s="3684"/>
      <c r="R47" s="3715">
        <f>E47</f>
        <v>0</v>
      </c>
      <c r="S47" s="3715"/>
      <c r="T47" s="3715">
        <f>G47</f>
        <v>0</v>
      </c>
      <c r="U47" s="3715"/>
      <c r="V47" s="3715">
        <f>I47</f>
        <v>0</v>
      </c>
      <c r="W47" s="3715"/>
      <c r="X47" s="689"/>
      <c r="Y47" s="711"/>
      <c r="Z47" s="689"/>
      <c r="AA47" s="689"/>
      <c r="AB47" s="689"/>
      <c r="AC47" s="689"/>
    </row>
    <row r="48" spans="1:29" ht="15.75" thickBot="1">
      <c r="A48" s="436" t="s">
        <v>1793</v>
      </c>
      <c r="B48" s="437"/>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89"/>
      <c r="Y48" s="689"/>
      <c r="Z48" s="689"/>
      <c r="AA48" s="689"/>
      <c r="AB48" s="689"/>
      <c r="AC48" s="689"/>
    </row>
    <row r="49" spans="1:29" ht="15.75" thickBot="1">
      <c r="A49" s="440" t="s">
        <v>1794</v>
      </c>
      <c r="B49" s="441"/>
      <c r="C49" s="1162" t="e">
        <f>R49</f>
        <v>#DIV/0!</v>
      </c>
      <c r="D49" s="1162"/>
      <c r="E49" s="1162"/>
      <c r="F49" s="1162"/>
      <c r="G49" s="1162"/>
      <c r="H49" s="1162"/>
      <c r="I49" s="1162"/>
      <c r="J49" s="1162"/>
      <c r="K49" s="714"/>
      <c r="L49" s="2723"/>
      <c r="M49" s="2724"/>
      <c r="N49" s="2715"/>
      <c r="O49" s="2724"/>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1679</v>
      </c>
      <c r="B58" s="454"/>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7"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75" thickBot="1">
      <c r="A60" s="463" t="s">
        <v>1716</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5">
      <c r="A61" s="469" t="s">
        <v>1681</v>
      </c>
      <c r="B61" s="458"/>
      <c r="C61" s="470" t="s">
        <v>1776</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1719</v>
      </c>
      <c r="B63" s="476" t="s">
        <v>1685</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1688</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1690</v>
      </c>
      <c r="B76" s="476" t="s">
        <v>1720</v>
      </c>
      <c r="C76" s="521" t="s">
        <v>1721</v>
      </c>
      <c r="D76" s="521" t="s">
        <v>1722</v>
      </c>
      <c r="E76" s="521" t="s">
        <v>1723</v>
      </c>
      <c r="F76" s="521" t="s">
        <v>1724</v>
      </c>
      <c r="G76" s="521" t="s">
        <v>1725</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1726</v>
      </c>
      <c r="C78" s="526" t="s">
        <v>1721</v>
      </c>
      <c r="D78" s="526" t="s">
        <v>1722</v>
      </c>
      <c r="E78" s="526" t="s">
        <v>1723</v>
      </c>
      <c r="F78" s="526" t="s">
        <v>1724</v>
      </c>
      <c r="G78" s="526" t="s">
        <v>1725</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1727</v>
      </c>
      <c r="C80" s="526" t="s">
        <v>1721</v>
      </c>
      <c r="D80" s="526" t="s">
        <v>1722</v>
      </c>
      <c r="E80" s="526" t="s">
        <v>1723</v>
      </c>
      <c r="F80" s="526" t="s">
        <v>1724</v>
      </c>
      <c r="G80" s="526" t="s">
        <v>1725</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1779</v>
      </c>
      <c r="C82" s="607" t="s">
        <v>1799</v>
      </c>
      <c r="D82" s="607" t="s">
        <v>1800</v>
      </c>
      <c r="E82" s="607" t="s">
        <v>1801</v>
      </c>
      <c r="F82" s="607" t="s">
        <v>1802</v>
      </c>
      <c r="G82" s="607" t="s">
        <v>1803</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1733</v>
      </c>
      <c r="C84" s="526" t="s">
        <v>1721</v>
      </c>
      <c r="D84" s="526" t="s">
        <v>1722</v>
      </c>
      <c r="E84" s="526" t="s">
        <v>1723</v>
      </c>
      <c r="F84" s="526" t="s">
        <v>1724</v>
      </c>
      <c r="G84" s="526" t="s">
        <v>1725</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75" thickTop="1">
      <c r="A86" s="527"/>
      <c r="B86" s="486" t="s">
        <v>1804</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1694</v>
      </c>
      <c r="B100" s="476" t="s">
        <v>1805</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1738</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1740</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1742</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1806</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1807</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1808</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1809</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1744</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8" sqref="E2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101448.13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7"/>
      <c r="B5" s="358"/>
      <c r="C5" s="3718" t="s">
        <v>1673</v>
      </c>
      <c r="D5" s="3719"/>
      <c r="E5" s="3725" t="s">
        <v>1674</v>
      </c>
      <c r="F5" s="3726"/>
      <c r="G5" s="3718" t="s">
        <v>1675</v>
      </c>
      <c r="H5" s="3719"/>
      <c r="I5" s="3718" t="s">
        <v>1676</v>
      </c>
      <c r="J5" s="3719"/>
      <c r="K5" s="558"/>
      <c r="L5" s="2714"/>
      <c r="M5" s="2715"/>
      <c r="N5" s="2715"/>
      <c r="O5" s="2715"/>
      <c r="P5" s="3735"/>
      <c r="Q5" s="3706"/>
      <c r="R5" s="3711"/>
      <c r="S5" s="3712"/>
      <c r="T5" s="3711"/>
      <c r="U5" s="3712"/>
      <c r="V5" s="3715"/>
      <c r="W5" s="3715"/>
      <c r="X5" s="1354"/>
      <c r="Y5" s="3711"/>
      <c r="Z5" s="3712"/>
      <c r="AA5" s="3697"/>
      <c r="AB5" s="3697"/>
      <c r="AC5" s="3731"/>
    </row>
    <row r="6" spans="1:29" ht="15.75" thickBot="1">
      <c r="A6" s="359"/>
      <c r="B6" s="360"/>
      <c r="C6" s="3716" t="s">
        <v>1677</v>
      </c>
      <c r="D6" s="3717"/>
      <c r="E6" s="3723" t="s">
        <v>1677</v>
      </c>
      <c r="F6" s="3724"/>
      <c r="G6" s="3716" t="s">
        <v>1677</v>
      </c>
      <c r="H6" s="3717"/>
      <c r="I6" s="3716" t="s">
        <v>1677</v>
      </c>
      <c r="J6" s="3717"/>
      <c r="K6" s="558" t="s">
        <v>1678</v>
      </c>
      <c r="L6" s="2714"/>
      <c r="M6" s="2715"/>
      <c r="N6" s="2715"/>
      <c r="O6" s="2715"/>
      <c r="P6" s="3736"/>
      <c r="Q6" s="3708"/>
      <c r="R6" s="3711"/>
      <c r="S6" s="3712"/>
      <c r="T6" s="3713"/>
      <c r="U6" s="3714"/>
      <c r="V6" s="3715"/>
      <c r="W6" s="3715"/>
      <c r="X6" s="1354"/>
      <c r="Y6" s="3713"/>
      <c r="Z6" s="3714"/>
      <c r="AA6" s="3698"/>
      <c r="AB6" s="3698"/>
      <c r="AC6" s="3732"/>
    </row>
    <row r="7" spans="1:29" s="107" customFormat="1" ht="15.75" thickBot="1">
      <c r="A7" s="361" t="s">
        <v>1679</v>
      </c>
      <c r="B7" s="362"/>
      <c r="C7" s="363">
        <f>'数据-取费表'!B2</f>
        <v>45230</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40"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1958"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40" t="s">
        <v>1683</v>
      </c>
      <c r="Q8" s="3721"/>
      <c r="R8" s="700" t="s">
        <v>14</v>
      </c>
      <c r="S8" s="701">
        <f t="shared" si="0"/>
        <v>100</v>
      </c>
      <c r="T8" s="700" t="s">
        <v>14</v>
      </c>
      <c r="U8" s="701">
        <f t="shared" si="1"/>
        <v>100</v>
      </c>
      <c r="V8" s="700" t="s">
        <v>14</v>
      </c>
      <c r="W8" s="701">
        <f t="shared" si="2"/>
        <v>100</v>
      </c>
      <c r="X8" s="702"/>
      <c r="Y8" s="3720" t="s">
        <v>1683</v>
      </c>
      <c r="Z8" s="3721"/>
      <c r="AA8" s="703">
        <f t="shared" ref="AA8:AA47" si="3">D8/F8</f>
        <v>1</v>
      </c>
      <c r="AB8" s="703">
        <f t="shared" ref="AB8:AB47" si="4">D8/H8</f>
        <v>1</v>
      </c>
      <c r="AC8" s="1958">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5"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1958">
        <f t="shared" si="5"/>
        <v>1</v>
      </c>
    </row>
    <row r="10" spans="1:29" s="377" customFormat="1" ht="27">
      <c r="A10" s="373"/>
      <c r="B10" s="374" t="s">
        <v>1688</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5"/>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1958">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5"/>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5"/>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5"/>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5"/>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1958">
        <f t="shared" si="5"/>
        <v>1</v>
      </c>
    </row>
    <row r="15" spans="1:29" ht="71.25">
      <c r="A15" s="390" t="s">
        <v>1690</v>
      </c>
      <c r="B15" s="576" t="s">
        <v>1811</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693" t="s">
        <v>1691</v>
      </c>
      <c r="Q15" s="1351" t="str">
        <f t="shared" si="6"/>
        <v>办公集聚程度</v>
      </c>
      <c r="R15" s="704" t="s">
        <v>14</v>
      </c>
      <c r="S15" s="705">
        <f t="shared" si="0"/>
        <v>100</v>
      </c>
      <c r="T15" s="704" t="s">
        <v>14</v>
      </c>
      <c r="U15" s="705">
        <f t="shared" si="1"/>
        <v>100</v>
      </c>
      <c r="V15" s="704" t="s">
        <v>14</v>
      </c>
      <c r="W15" s="705">
        <f t="shared" si="2"/>
        <v>100</v>
      </c>
      <c r="X15" s="1354"/>
      <c r="Y15" s="3686" t="s">
        <v>1691</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694"/>
      <c r="Q16" s="1351"/>
      <c r="R16" s="704"/>
      <c r="S16" s="705"/>
      <c r="T16" s="704"/>
      <c r="U16" s="705"/>
      <c r="V16" s="704"/>
      <c r="W16" s="705"/>
      <c r="X16" s="1354"/>
      <c r="Y16" s="3687"/>
      <c r="Z16" s="1355"/>
      <c r="AA16" s="1352">
        <v>1</v>
      </c>
      <c r="AB16" s="1352">
        <v>1</v>
      </c>
      <c r="AC16" s="1961">
        <v>1</v>
      </c>
    </row>
    <row r="17" spans="1:29" ht="71.25">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694"/>
      <c r="Q17" s="1351" t="str">
        <f>B17</f>
        <v>交通便捷度</v>
      </c>
      <c r="R17" s="704" t="s">
        <v>14</v>
      </c>
      <c r="S17" s="705">
        <f>F17</f>
        <v>100</v>
      </c>
      <c r="T17" s="704" t="s">
        <v>14</v>
      </c>
      <c r="U17" s="705">
        <f>H17</f>
        <v>100</v>
      </c>
      <c r="V17" s="704" t="s">
        <v>14</v>
      </c>
      <c r="W17" s="705">
        <f>J17</f>
        <v>100</v>
      </c>
      <c r="X17" s="1354"/>
      <c r="Y17" s="3687"/>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694"/>
      <c r="Q18" s="1351"/>
      <c r="R18" s="704"/>
      <c r="S18" s="705"/>
      <c r="T18" s="704"/>
      <c r="U18" s="705"/>
      <c r="V18" s="704"/>
      <c r="W18" s="705"/>
      <c r="X18" s="1354"/>
      <c r="Y18" s="3687"/>
      <c r="Z18" s="1355"/>
      <c r="AA18" s="1352">
        <v>1</v>
      </c>
      <c r="AB18" s="1352">
        <v>1</v>
      </c>
      <c r="AC18" s="1961">
        <v>1</v>
      </c>
    </row>
    <row r="19" spans="1:29" ht="42.75">
      <c r="A19" s="378"/>
      <c r="B19" s="578" t="s">
        <v>1812</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694"/>
      <c r="Q19" s="1351" t="str">
        <f>B19</f>
        <v>公共配套设施</v>
      </c>
      <c r="R19" s="704" t="s">
        <v>14</v>
      </c>
      <c r="S19" s="705">
        <f>F19</f>
        <v>100</v>
      </c>
      <c r="T19" s="704" t="s">
        <v>14</v>
      </c>
      <c r="U19" s="705">
        <f>H19</f>
        <v>100</v>
      </c>
      <c r="V19" s="704" t="s">
        <v>14</v>
      </c>
      <c r="W19" s="705">
        <f>J19</f>
        <v>100</v>
      </c>
      <c r="X19" s="1354"/>
      <c r="Y19" s="3687"/>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694"/>
      <c r="Q20" s="1351"/>
      <c r="R20" s="704"/>
      <c r="S20" s="705"/>
      <c r="T20" s="704"/>
      <c r="U20" s="705"/>
      <c r="V20" s="704"/>
      <c r="W20" s="705"/>
      <c r="X20" s="1354"/>
      <c r="Y20" s="3687"/>
      <c r="Z20" s="1355"/>
      <c r="AA20" s="1352">
        <v>1</v>
      </c>
      <c r="AB20" s="1352">
        <v>1</v>
      </c>
      <c r="AC20" s="1961">
        <v>1</v>
      </c>
    </row>
    <row r="21" spans="1:29" ht="28.5">
      <c r="A21" s="378"/>
      <c r="B21" s="580" t="s">
        <v>1813</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7"/>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694"/>
      <c r="Q22" s="1351"/>
      <c r="R22" s="704"/>
      <c r="S22" s="705"/>
      <c r="T22" s="704"/>
      <c r="U22" s="705"/>
      <c r="V22" s="704"/>
      <c r="W22" s="705"/>
      <c r="X22" s="1354"/>
      <c r="Y22" s="3687"/>
      <c r="Z22" s="1355"/>
      <c r="AA22" s="1352">
        <v>1</v>
      </c>
      <c r="AB22" s="1352">
        <v>1</v>
      </c>
      <c r="AC22" s="1961">
        <v>1</v>
      </c>
    </row>
    <row r="23" spans="1:29" ht="42.75">
      <c r="A23" s="378"/>
      <c r="B23" s="578" t="s">
        <v>1814</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694"/>
      <c r="Q23" s="1351" t="str">
        <f>B23</f>
        <v>环境质量</v>
      </c>
      <c r="R23" s="704" t="s">
        <v>14</v>
      </c>
      <c r="S23" s="705">
        <f>F23</f>
        <v>100</v>
      </c>
      <c r="T23" s="704" t="s">
        <v>14</v>
      </c>
      <c r="U23" s="705">
        <f>H23</f>
        <v>100</v>
      </c>
      <c r="V23" s="704" t="s">
        <v>14</v>
      </c>
      <c r="W23" s="705">
        <f>J23</f>
        <v>100</v>
      </c>
      <c r="X23" s="1354"/>
      <c r="Y23" s="3687"/>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694"/>
      <c r="Q24" s="1351"/>
      <c r="R24" s="704"/>
      <c r="S24" s="705"/>
      <c r="T24" s="704"/>
      <c r="U24" s="705"/>
      <c r="V24" s="704"/>
      <c r="W24" s="705"/>
      <c r="X24" s="1354"/>
      <c r="Y24" s="3687"/>
      <c r="Z24" s="1355"/>
      <c r="AA24" s="1352">
        <v>1</v>
      </c>
      <c r="AB24" s="1352">
        <v>1</v>
      </c>
      <c r="AC24" s="1961">
        <v>1</v>
      </c>
    </row>
    <row r="25" spans="1:29" ht="27">
      <c r="A25" s="357"/>
      <c r="B25" s="578" t="s">
        <v>1815</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694"/>
      <c r="Q25" s="1351" t="str">
        <f>B25</f>
        <v>毗邻道路的类型与等级</v>
      </c>
      <c r="R25" s="704" t="s">
        <v>14</v>
      </c>
      <c r="S25" s="705">
        <f>F25</f>
        <v>100</v>
      </c>
      <c r="T25" s="704" t="s">
        <v>14</v>
      </c>
      <c r="U25" s="705">
        <f>H25</f>
        <v>100</v>
      </c>
      <c r="V25" s="704" t="s">
        <v>14</v>
      </c>
      <c r="W25" s="705">
        <f>J25</f>
        <v>100</v>
      </c>
      <c r="X25" s="1354"/>
      <c r="Y25" s="3687"/>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694"/>
      <c r="Q26" s="1351"/>
      <c r="R26" s="704"/>
      <c r="S26" s="705"/>
      <c r="T26" s="704"/>
      <c r="U26" s="705"/>
      <c r="V26" s="704"/>
      <c r="W26" s="705"/>
      <c r="X26" s="1354"/>
      <c r="Y26" s="3687"/>
      <c r="Z26" s="1355"/>
      <c r="AA26" s="1352">
        <v>1</v>
      </c>
      <c r="AB26" s="1352">
        <v>1</v>
      </c>
      <c r="AC26" s="1961">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694"/>
      <c r="Q27" s="1351" t="str">
        <f t="shared" ref="Q27:Q47" si="11">B27</f>
        <v>楼层</v>
      </c>
      <c r="R27" s="704" t="s">
        <v>14</v>
      </c>
      <c r="S27" s="705">
        <f>F27</f>
        <v>100</v>
      </c>
      <c r="T27" s="704" t="s">
        <v>14</v>
      </c>
      <c r="U27" s="705">
        <f>H27</f>
        <v>100</v>
      </c>
      <c r="V27" s="704" t="s">
        <v>14</v>
      </c>
      <c r="W27" s="705">
        <f>J27</f>
        <v>100</v>
      </c>
      <c r="X27" s="1354"/>
      <c r="Y27" s="3687"/>
      <c r="Z27" s="1355" t="str">
        <f>Q27</f>
        <v>楼层</v>
      </c>
      <c r="AA27" s="1352">
        <f t="shared" si="3"/>
        <v>1</v>
      </c>
      <c r="AB27" s="1352">
        <f t="shared" si="4"/>
        <v>1</v>
      </c>
      <c r="AC27" s="1961">
        <f t="shared" si="5"/>
        <v>1</v>
      </c>
    </row>
    <row r="28" spans="1:29" s="107" customFormat="1" ht="15">
      <c r="A28" s="381"/>
      <c r="B28" s="578" t="s">
        <v>1816</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694"/>
      <c r="Q28" s="1342" t="str">
        <f t="shared" si="11"/>
        <v>朝向</v>
      </c>
      <c r="R28" s="700" t="s">
        <v>14</v>
      </c>
      <c r="S28" s="701">
        <f>F28</f>
        <v>100</v>
      </c>
      <c r="T28" s="700" t="s">
        <v>14</v>
      </c>
      <c r="U28" s="701">
        <f>H28</f>
        <v>100</v>
      </c>
      <c r="V28" s="700" t="s">
        <v>14</v>
      </c>
      <c r="W28" s="701">
        <f>J28</f>
        <v>100</v>
      </c>
      <c r="X28" s="702"/>
      <c r="Y28" s="3687"/>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694"/>
      <c r="Q29" s="1351">
        <f t="shared" si="11"/>
        <v>111</v>
      </c>
      <c r="R29" s="704" t="s">
        <v>14</v>
      </c>
      <c r="S29" s="705">
        <f t="shared" ref="S29:S47" si="12">F29</f>
        <v>100</v>
      </c>
      <c r="T29" s="704" t="s">
        <v>14</v>
      </c>
      <c r="U29" s="705">
        <f t="shared" ref="U29:U47" si="13">H29</f>
        <v>100</v>
      </c>
      <c r="V29" s="704" t="s">
        <v>14</v>
      </c>
      <c r="W29" s="705">
        <f t="shared" ref="W29:W47" si="14">J29</f>
        <v>100</v>
      </c>
      <c r="X29" s="1354"/>
      <c r="Y29" s="3687"/>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694"/>
      <c r="Q30" s="1351">
        <f t="shared" si="11"/>
        <v>111</v>
      </c>
      <c r="R30" s="704" t="s">
        <v>14</v>
      </c>
      <c r="S30" s="705">
        <f t="shared" si="12"/>
        <v>100</v>
      </c>
      <c r="T30" s="704" t="s">
        <v>14</v>
      </c>
      <c r="U30" s="705">
        <f t="shared" si="13"/>
        <v>100</v>
      </c>
      <c r="V30" s="704" t="s">
        <v>14</v>
      </c>
      <c r="W30" s="705">
        <f t="shared" si="14"/>
        <v>100</v>
      </c>
      <c r="X30" s="1354"/>
      <c r="Y30" s="3687"/>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694"/>
      <c r="Q31" s="1351">
        <f t="shared" si="11"/>
        <v>111</v>
      </c>
      <c r="R31" s="704" t="s">
        <v>14</v>
      </c>
      <c r="S31" s="705">
        <f t="shared" si="12"/>
        <v>100</v>
      </c>
      <c r="T31" s="704" t="s">
        <v>14</v>
      </c>
      <c r="U31" s="705">
        <f t="shared" si="13"/>
        <v>100</v>
      </c>
      <c r="V31" s="704" t="s">
        <v>14</v>
      </c>
      <c r="W31" s="705">
        <f t="shared" si="14"/>
        <v>100</v>
      </c>
      <c r="X31" s="1354"/>
      <c r="Y31" s="3687"/>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694"/>
      <c r="Q32" s="1351">
        <f t="shared" si="11"/>
        <v>111</v>
      </c>
      <c r="R32" s="704" t="s">
        <v>14</v>
      </c>
      <c r="S32" s="705">
        <f t="shared" si="12"/>
        <v>100</v>
      </c>
      <c r="T32" s="704" t="s">
        <v>14</v>
      </c>
      <c r="U32" s="705">
        <f t="shared" si="13"/>
        <v>100</v>
      </c>
      <c r="V32" s="704" t="s">
        <v>14</v>
      </c>
      <c r="W32" s="705">
        <f t="shared" si="14"/>
        <v>100</v>
      </c>
      <c r="X32" s="1354"/>
      <c r="Y32" s="3687"/>
      <c r="Z32" s="1355">
        <f t="shared" si="15"/>
        <v>111</v>
      </c>
      <c r="AA32" s="1352">
        <f t="shared" si="3"/>
        <v>1</v>
      </c>
      <c r="AB32" s="1352">
        <f t="shared" si="4"/>
        <v>1</v>
      </c>
      <c r="AC32" s="1961">
        <f t="shared" si="5"/>
        <v>1</v>
      </c>
    </row>
    <row r="33" spans="1:29" ht="15">
      <c r="A33" s="390" t="s">
        <v>1694</v>
      </c>
      <c r="B33" s="63" t="s">
        <v>1817</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688" t="s">
        <v>1696</v>
      </c>
      <c r="Q33" s="1351" t="str">
        <f t="shared" si="11"/>
        <v>建筑类型</v>
      </c>
      <c r="R33" s="704" t="s">
        <v>14</v>
      </c>
      <c r="S33" s="705">
        <f t="shared" si="12"/>
        <v>100</v>
      </c>
      <c r="T33" s="704" t="s">
        <v>14</v>
      </c>
      <c r="U33" s="705">
        <f t="shared" si="13"/>
        <v>100</v>
      </c>
      <c r="V33" s="704" t="s">
        <v>14</v>
      </c>
      <c r="W33" s="705">
        <f t="shared" si="14"/>
        <v>100</v>
      </c>
      <c r="X33" s="1354"/>
      <c r="Y33" s="3691" t="s">
        <v>1696</v>
      </c>
      <c r="Z33" s="1355" t="str">
        <f t="shared" si="15"/>
        <v>建筑类型</v>
      </c>
      <c r="AA33" s="1352">
        <f t="shared" si="3"/>
        <v>1</v>
      </c>
      <c r="AB33" s="1352">
        <f t="shared" si="4"/>
        <v>1</v>
      </c>
      <c r="AC33" s="1961">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689"/>
      <c r="Q34" s="706" t="str">
        <f t="shared" si="11"/>
        <v>项目建筑规模</v>
      </c>
      <c r="R34" s="707" t="s">
        <v>14</v>
      </c>
      <c r="S34" s="708" t="e">
        <f t="shared" si="12"/>
        <v>#N/A</v>
      </c>
      <c r="T34" s="707" t="s">
        <v>14</v>
      </c>
      <c r="U34" s="708" t="e">
        <f t="shared" si="13"/>
        <v>#N/A</v>
      </c>
      <c r="V34" s="707" t="s">
        <v>14</v>
      </c>
      <c r="W34" s="708" t="e">
        <f t="shared" si="14"/>
        <v>#N/A</v>
      </c>
      <c r="X34" s="709"/>
      <c r="Y34" s="3691"/>
      <c r="Z34" s="710" t="str">
        <f t="shared" si="15"/>
        <v>项目建筑规模</v>
      </c>
      <c r="AA34" s="1352" t="e">
        <f t="shared" si="3"/>
        <v>#N/A</v>
      </c>
      <c r="AB34" s="1352" t="e">
        <f t="shared" si="4"/>
        <v>#N/A</v>
      </c>
      <c r="AC34" s="1961"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689"/>
      <c r="Q35" s="1351" t="str">
        <f t="shared" si="11"/>
        <v>建筑结构</v>
      </c>
      <c r="R35" s="704" t="s">
        <v>14</v>
      </c>
      <c r="S35" s="705">
        <f t="shared" si="12"/>
        <v>100</v>
      </c>
      <c r="T35" s="704" t="s">
        <v>14</v>
      </c>
      <c r="U35" s="705">
        <f t="shared" si="13"/>
        <v>100</v>
      </c>
      <c r="V35" s="704" t="s">
        <v>14</v>
      </c>
      <c r="W35" s="705">
        <f t="shared" si="14"/>
        <v>100</v>
      </c>
      <c r="X35" s="1354"/>
      <c r="Y35" s="3691"/>
      <c r="Z35" s="1355" t="str">
        <f t="shared" si="15"/>
        <v>建筑结构</v>
      </c>
      <c r="AA35" s="1352">
        <f t="shared" si="3"/>
        <v>1</v>
      </c>
      <c r="AB35" s="1352">
        <f t="shared" si="4"/>
        <v>1</v>
      </c>
      <c r="AC35" s="1961">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689"/>
      <c r="Q36" s="1351" t="str">
        <f t="shared" si="11"/>
        <v>公共部分装修</v>
      </c>
      <c r="R36" s="704" t="s">
        <v>14</v>
      </c>
      <c r="S36" s="705">
        <f t="shared" si="12"/>
        <v>100</v>
      </c>
      <c r="T36" s="704" t="s">
        <v>14</v>
      </c>
      <c r="U36" s="705">
        <f t="shared" si="13"/>
        <v>100</v>
      </c>
      <c r="V36" s="704" t="s">
        <v>14</v>
      </c>
      <c r="W36" s="705">
        <f t="shared" si="14"/>
        <v>100</v>
      </c>
      <c r="X36" s="1354"/>
      <c r="Y36" s="3691"/>
      <c r="Z36" s="1355" t="str">
        <f t="shared" si="15"/>
        <v>公共部分装修</v>
      </c>
      <c r="AA36" s="1352">
        <f t="shared" si="3"/>
        <v>1</v>
      </c>
      <c r="AB36" s="1352">
        <f t="shared" si="4"/>
        <v>1</v>
      </c>
      <c r="AC36" s="1961">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689"/>
      <c r="Q37" s="1351" t="str">
        <f t="shared" si="11"/>
        <v>成新度</v>
      </c>
      <c r="R37" s="704" t="s">
        <v>14</v>
      </c>
      <c r="S37" s="705" t="e">
        <f t="shared" si="12"/>
        <v>#N/A</v>
      </c>
      <c r="T37" s="704" t="s">
        <v>14</v>
      </c>
      <c r="U37" s="705" t="e">
        <f t="shared" si="13"/>
        <v>#N/A</v>
      </c>
      <c r="V37" s="704" t="s">
        <v>14</v>
      </c>
      <c r="W37" s="705" t="e">
        <f t="shared" si="14"/>
        <v>#N/A</v>
      </c>
      <c r="X37" s="1354"/>
      <c r="Y37" s="3691"/>
      <c r="Z37" s="1355" t="str">
        <f t="shared" si="15"/>
        <v>成新度</v>
      </c>
      <c r="AA37" s="1352" t="e">
        <f t="shared" si="3"/>
        <v>#N/A</v>
      </c>
      <c r="AB37" s="1352" t="e">
        <f t="shared" si="4"/>
        <v>#N/A</v>
      </c>
      <c r="AC37" s="1961"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689"/>
      <c r="Q38" s="1342" t="str">
        <f t="shared" si="11"/>
        <v>写字楼等级</v>
      </c>
      <c r="R38" s="700" t="s">
        <v>14</v>
      </c>
      <c r="S38" s="701">
        <f t="shared" si="12"/>
        <v>100</v>
      </c>
      <c r="T38" s="700" t="s">
        <v>14</v>
      </c>
      <c r="U38" s="701">
        <f t="shared" si="13"/>
        <v>100</v>
      </c>
      <c r="V38" s="700" t="s">
        <v>14</v>
      </c>
      <c r="W38" s="701">
        <f t="shared" si="14"/>
        <v>100</v>
      </c>
      <c r="X38" s="702"/>
      <c r="Y38" s="3691"/>
      <c r="Z38" s="52" t="str">
        <f t="shared" si="15"/>
        <v>写字楼等级</v>
      </c>
      <c r="AA38" s="703">
        <f t="shared" si="3"/>
        <v>1</v>
      </c>
      <c r="AB38" s="703">
        <f t="shared" si="4"/>
        <v>1</v>
      </c>
      <c r="AC38" s="1958">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689" t="s">
        <v>1696</v>
      </c>
      <c r="Q39" s="1351" t="str">
        <f t="shared" si="11"/>
        <v>物业管理</v>
      </c>
      <c r="R39" s="704" t="s">
        <v>14</v>
      </c>
      <c r="S39" s="705">
        <f t="shared" si="12"/>
        <v>100</v>
      </c>
      <c r="T39" s="704" t="s">
        <v>14</v>
      </c>
      <c r="U39" s="705">
        <f t="shared" si="13"/>
        <v>100</v>
      </c>
      <c r="V39" s="704" t="s">
        <v>14</v>
      </c>
      <c r="W39" s="705">
        <f t="shared" si="14"/>
        <v>100</v>
      </c>
      <c r="X39" s="1354"/>
      <c r="Y39" s="3691" t="s">
        <v>1696</v>
      </c>
      <c r="Z39" s="1355" t="str">
        <f t="shared" si="15"/>
        <v>物业管理</v>
      </c>
      <c r="AA39" s="1352">
        <f t="shared" si="3"/>
        <v>1</v>
      </c>
      <c r="AB39" s="1352">
        <f t="shared" si="4"/>
        <v>1</v>
      </c>
      <c r="AC39" s="1961">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689"/>
      <c r="Q40" s="1351" t="str">
        <f t="shared" si="11"/>
        <v>市政基础设施</v>
      </c>
      <c r="R40" s="704" t="s">
        <v>14</v>
      </c>
      <c r="S40" s="705">
        <f t="shared" si="12"/>
        <v>100</v>
      </c>
      <c r="T40" s="704" t="s">
        <v>14</v>
      </c>
      <c r="U40" s="705">
        <f t="shared" si="13"/>
        <v>100</v>
      </c>
      <c r="V40" s="704" t="s">
        <v>14</v>
      </c>
      <c r="W40" s="705">
        <f t="shared" si="14"/>
        <v>100</v>
      </c>
      <c r="X40" s="1354"/>
      <c r="Y40" s="3691"/>
      <c r="Z40" s="1355" t="str">
        <f t="shared" si="15"/>
        <v>市政基础设施</v>
      </c>
      <c r="AA40" s="1352">
        <f t="shared" si="3"/>
        <v>1</v>
      </c>
      <c r="AB40" s="1352">
        <f t="shared" si="4"/>
        <v>1</v>
      </c>
      <c r="AC40" s="1961">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689"/>
      <c r="Q41" s="1351" t="str">
        <f t="shared" si="11"/>
        <v>层高</v>
      </c>
      <c r="R41" s="704" t="s">
        <v>14</v>
      </c>
      <c r="S41" s="705">
        <f t="shared" si="12"/>
        <v>100</v>
      </c>
      <c r="T41" s="704" t="s">
        <v>14</v>
      </c>
      <c r="U41" s="705">
        <f t="shared" si="13"/>
        <v>100</v>
      </c>
      <c r="V41" s="704" t="s">
        <v>14</v>
      </c>
      <c r="W41" s="705">
        <f t="shared" si="14"/>
        <v>100</v>
      </c>
      <c r="X41" s="1354"/>
      <c r="Y41" s="3691"/>
      <c r="Z41" s="1355" t="str">
        <f t="shared" si="15"/>
        <v>层高</v>
      </c>
      <c r="AA41" s="1352">
        <f t="shared" si="3"/>
        <v>1</v>
      </c>
      <c r="AB41" s="1352">
        <f t="shared" si="4"/>
        <v>1</v>
      </c>
      <c r="AC41" s="1961">
        <f t="shared" si="5"/>
        <v>1</v>
      </c>
    </row>
    <row r="42" spans="1:29" s="421" customFormat="1" ht="15">
      <c r="A42" s="418"/>
      <c r="B42" s="1353"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689"/>
      <c r="Q42" s="706" t="str">
        <f t="shared" si="11"/>
        <v>单套建筑面积</v>
      </c>
      <c r="R42" s="707" t="s">
        <v>14</v>
      </c>
      <c r="S42" s="708">
        <f t="shared" si="12"/>
        <v>100</v>
      </c>
      <c r="T42" s="707" t="s">
        <v>14</v>
      </c>
      <c r="U42" s="708">
        <f t="shared" si="13"/>
        <v>100</v>
      </c>
      <c r="V42" s="707" t="s">
        <v>14</v>
      </c>
      <c r="W42" s="708">
        <f t="shared" si="14"/>
        <v>100</v>
      </c>
      <c r="X42" s="709"/>
      <c r="Y42" s="3691"/>
      <c r="Z42" s="710" t="str">
        <f t="shared" si="15"/>
        <v>单套建筑面积</v>
      </c>
      <c r="AA42" s="1352">
        <f t="shared" si="3"/>
        <v>1</v>
      </c>
      <c r="AB42" s="1352">
        <f t="shared" si="4"/>
        <v>1</v>
      </c>
      <c r="AC42" s="1961">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689"/>
      <c r="Q43" s="1351" t="str">
        <f t="shared" si="11"/>
        <v>内部装修</v>
      </c>
      <c r="R43" s="704" t="s">
        <v>14</v>
      </c>
      <c r="S43" s="705">
        <f t="shared" si="12"/>
        <v>100</v>
      </c>
      <c r="T43" s="704" t="s">
        <v>14</v>
      </c>
      <c r="U43" s="705">
        <f t="shared" si="13"/>
        <v>100</v>
      </c>
      <c r="V43" s="704" t="s">
        <v>14</v>
      </c>
      <c r="W43" s="705">
        <f t="shared" si="14"/>
        <v>100</v>
      </c>
      <c r="X43" s="1354"/>
      <c r="Y43" s="3691"/>
      <c r="Z43" s="1355" t="str">
        <f t="shared" si="15"/>
        <v>内部装修</v>
      </c>
      <c r="AA43" s="1352">
        <f t="shared" si="3"/>
        <v>1</v>
      </c>
      <c r="AB43" s="1352">
        <f t="shared" si="4"/>
        <v>1</v>
      </c>
      <c r="AC43" s="1961">
        <f t="shared" si="5"/>
        <v>1</v>
      </c>
    </row>
    <row r="44" spans="1:29" ht="15">
      <c r="A44" s="422"/>
      <c r="B44" s="374" t="s">
        <v>1707</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689"/>
      <c r="Q44" s="1351" t="str">
        <f t="shared" si="11"/>
        <v>内部装修维护情况</v>
      </c>
      <c r="R44" s="704" t="s">
        <v>14</v>
      </c>
      <c r="S44" s="705">
        <f t="shared" si="12"/>
        <v>100</v>
      </c>
      <c r="T44" s="704" t="s">
        <v>14</v>
      </c>
      <c r="U44" s="705">
        <f t="shared" si="13"/>
        <v>100</v>
      </c>
      <c r="V44" s="704" t="s">
        <v>14</v>
      </c>
      <c r="W44" s="705">
        <f t="shared" si="14"/>
        <v>100</v>
      </c>
      <c r="X44" s="1354"/>
      <c r="Y44" s="3691"/>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689"/>
      <c r="Q45" s="1342">
        <f t="shared" si="11"/>
        <v>111</v>
      </c>
      <c r="R45" s="700" t="s">
        <v>14</v>
      </c>
      <c r="S45" s="701">
        <f t="shared" si="12"/>
        <v>100</v>
      </c>
      <c r="T45" s="700" t="s">
        <v>14</v>
      </c>
      <c r="U45" s="701">
        <f t="shared" si="13"/>
        <v>100</v>
      </c>
      <c r="V45" s="700" t="s">
        <v>14</v>
      </c>
      <c r="W45" s="701">
        <f t="shared" si="14"/>
        <v>100</v>
      </c>
      <c r="X45" s="702"/>
      <c r="Y45" s="3691"/>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689"/>
      <c r="Q46" s="1351">
        <f t="shared" si="11"/>
        <v>111</v>
      </c>
      <c r="R46" s="704" t="s">
        <v>14</v>
      </c>
      <c r="S46" s="705">
        <f t="shared" si="12"/>
        <v>100</v>
      </c>
      <c r="T46" s="704" t="s">
        <v>14</v>
      </c>
      <c r="U46" s="705">
        <f t="shared" si="13"/>
        <v>100</v>
      </c>
      <c r="V46" s="704" t="s">
        <v>14</v>
      </c>
      <c r="W46" s="705">
        <f t="shared" si="14"/>
        <v>100</v>
      </c>
      <c r="X46" s="1354"/>
      <c r="Y46" s="3691"/>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690"/>
      <c r="Q47" s="1351">
        <f t="shared" si="11"/>
        <v>111</v>
      </c>
      <c r="R47" s="704" t="s">
        <v>14</v>
      </c>
      <c r="S47" s="705">
        <f t="shared" si="12"/>
        <v>100</v>
      </c>
      <c r="T47" s="704" t="s">
        <v>14</v>
      </c>
      <c r="U47" s="705">
        <f t="shared" si="13"/>
        <v>100</v>
      </c>
      <c r="V47" s="704" t="s">
        <v>14</v>
      </c>
      <c r="W47" s="705">
        <f t="shared" si="14"/>
        <v>100</v>
      </c>
      <c r="X47" s="1354"/>
      <c r="Y47" s="3692"/>
      <c r="Z47" s="1355">
        <f t="shared" si="15"/>
        <v>111</v>
      </c>
      <c r="AA47" s="1352">
        <f t="shared" si="3"/>
        <v>1</v>
      </c>
      <c r="AB47" s="1352">
        <f t="shared" si="4"/>
        <v>1</v>
      </c>
      <c r="AC47" s="1961">
        <f t="shared" si="5"/>
        <v>1</v>
      </c>
    </row>
    <row r="48" spans="1:29" ht="15">
      <c r="A48" s="429" t="s">
        <v>1708</v>
      </c>
      <c r="B48" s="430"/>
      <c r="C48" s="1153" t="s">
        <v>0</v>
      </c>
      <c r="D48" s="1154"/>
      <c r="E48" s="1155"/>
      <c r="F48" s="1156"/>
      <c r="G48" s="1157"/>
      <c r="H48" s="1158"/>
      <c r="I48" s="1155"/>
      <c r="J48" s="435"/>
      <c r="K48" s="713"/>
      <c r="L48" s="2723"/>
      <c r="M48" s="2715"/>
      <c r="N48" s="2715"/>
      <c r="O48" s="2715"/>
      <c r="P48" s="3695" t="str">
        <f>A48</f>
        <v>成交单价（元/平方米）</v>
      </c>
      <c r="Q48" s="3684"/>
      <c r="R48" s="3685">
        <f>E48</f>
        <v>0</v>
      </c>
      <c r="S48" s="3685"/>
      <c r="T48" s="3685">
        <f>G48</f>
        <v>0</v>
      </c>
      <c r="U48" s="3685"/>
      <c r="V48" s="3685">
        <f>I48</f>
        <v>0</v>
      </c>
      <c r="W48" s="3685"/>
      <c r="X48" s="396"/>
      <c r="Y48" s="711"/>
      <c r="Z48" s="396"/>
      <c r="AA48" s="396"/>
      <c r="AB48" s="396"/>
      <c r="AC48" s="577"/>
    </row>
    <row r="49" spans="1:29" ht="15.75" thickBot="1">
      <c r="A49" s="436" t="s">
        <v>1793</v>
      </c>
      <c r="B49" s="437"/>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6"/>
      <c r="Y49" s="396"/>
      <c r="Z49" s="396"/>
      <c r="AA49" s="396"/>
      <c r="AB49" s="396"/>
      <c r="AC49" s="577"/>
    </row>
    <row r="50" spans="1:29" ht="15.75" thickBot="1">
      <c r="A50" s="440" t="s">
        <v>1794</v>
      </c>
      <c r="B50" s="441"/>
      <c r="C50" s="1162" t="e">
        <f>R50</f>
        <v>#DIV/0!</v>
      </c>
      <c r="D50" s="1162"/>
      <c r="E50" s="1162"/>
      <c r="F50" s="1162"/>
      <c r="G50" s="1162"/>
      <c r="H50" s="1162"/>
      <c r="I50" s="1162"/>
      <c r="J50" s="442"/>
      <c r="K50" s="714"/>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1679</v>
      </c>
      <c r="B59" s="454"/>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7"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75" thickBot="1">
      <c r="A61" s="463" t="s">
        <v>1716</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5">
      <c r="A62" s="469" t="s">
        <v>1681</v>
      </c>
      <c r="B62" s="458"/>
      <c r="C62" s="470" t="s">
        <v>1776</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5.75"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1719</v>
      </c>
      <c r="B64" s="476" t="s">
        <v>1685</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1688</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1690</v>
      </c>
      <c r="B77" s="476" t="s">
        <v>1821</v>
      </c>
      <c r="C77" s="521" t="s">
        <v>1721</v>
      </c>
      <c r="D77" s="521" t="s">
        <v>1722</v>
      </c>
      <c r="E77" s="521" t="s">
        <v>1723</v>
      </c>
      <c r="F77" s="521" t="s">
        <v>1724</v>
      </c>
      <c r="G77" s="521" t="s">
        <v>1725</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1726</v>
      </c>
      <c r="C79" s="526" t="s">
        <v>1721</v>
      </c>
      <c r="D79" s="526" t="s">
        <v>1722</v>
      </c>
      <c r="E79" s="526" t="s">
        <v>1723</v>
      </c>
      <c r="F79" s="526" t="s">
        <v>1724</v>
      </c>
      <c r="G79" s="526" t="s">
        <v>1725</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1727</v>
      </c>
      <c r="C81" s="526" t="s">
        <v>1721</v>
      </c>
      <c r="D81" s="526" t="s">
        <v>1722</v>
      </c>
      <c r="E81" s="526" t="s">
        <v>1723</v>
      </c>
      <c r="F81" s="526" t="s">
        <v>1724</v>
      </c>
      <c r="G81" s="526" t="s">
        <v>1725</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1813</v>
      </c>
      <c r="C83" s="607" t="s">
        <v>1799</v>
      </c>
      <c r="D83" s="607" t="s">
        <v>1800</v>
      </c>
      <c r="E83" s="607" t="s">
        <v>1801</v>
      </c>
      <c r="F83" s="607" t="s">
        <v>1802</v>
      </c>
      <c r="G83" s="607" t="s">
        <v>1803</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1822</v>
      </c>
      <c r="C85" s="526" t="s">
        <v>1721</v>
      </c>
      <c r="D85" s="526" t="s">
        <v>1722</v>
      </c>
      <c r="E85" s="526" t="s">
        <v>1723</v>
      </c>
      <c r="F85" s="526" t="s">
        <v>1724</v>
      </c>
      <c r="G85" s="526" t="s">
        <v>1725</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7.75" thickTop="1">
      <c r="A87" s="527"/>
      <c r="B87" s="486" t="s">
        <v>1823</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5.75"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1694</v>
      </c>
      <c r="B101" s="476" t="s">
        <v>1736</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1738</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1740</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1824</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1741</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1742</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1825</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1808</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1744</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估价对象为北京市房地产，为所有。根据《国有土地使用证》[]，估价对象（分摊）出让国有建设用地使用权面积为497445.96平方米，建筑面积为101448.13平方米。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估价对象为北京市房地产,属开发建设的，该项目尚在开发建设中。根据《国有土地使用证》[]，估价对象（分摊）出让国有建设用地使用权面积为497445.96平方米，规划建筑面积为101448.13平方米。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2023年10月31日（评估专业人员实地查勘之日）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8" sqref="E2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101448.13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912"/>
      <c r="M4" s="913"/>
      <c r="N4" s="913"/>
      <c r="O4" s="913"/>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7"/>
      <c r="B5" s="358"/>
      <c r="C5" s="3718" t="s">
        <v>1673</v>
      </c>
      <c r="D5" s="3719"/>
      <c r="E5" s="3725" t="s">
        <v>1674</v>
      </c>
      <c r="F5" s="3726"/>
      <c r="G5" s="3718" t="s">
        <v>1675</v>
      </c>
      <c r="H5" s="3719"/>
      <c r="I5" s="3718" t="s">
        <v>1676</v>
      </c>
      <c r="J5" s="3719"/>
      <c r="K5" s="558"/>
      <c r="L5" s="912"/>
      <c r="M5" s="913"/>
      <c r="N5" s="913"/>
      <c r="O5" s="913"/>
      <c r="P5" s="3705"/>
      <c r="Q5" s="3706"/>
      <c r="R5" s="3711"/>
      <c r="S5" s="3712"/>
      <c r="T5" s="3711"/>
      <c r="U5" s="3712"/>
      <c r="V5" s="3715"/>
      <c r="W5" s="3715"/>
      <c r="X5" s="1354"/>
      <c r="Y5" s="3711"/>
      <c r="Z5" s="3712"/>
      <c r="AA5" s="3697"/>
      <c r="AB5" s="3697"/>
      <c r="AC5" s="3697"/>
    </row>
    <row r="6" spans="1:29" ht="15.75" thickBot="1">
      <c r="A6" s="359"/>
      <c r="B6" s="360"/>
      <c r="C6" s="3716" t="s">
        <v>1677</v>
      </c>
      <c r="D6" s="3717"/>
      <c r="E6" s="3723" t="s">
        <v>1677</v>
      </c>
      <c r="F6" s="3724"/>
      <c r="G6" s="3716" t="s">
        <v>1677</v>
      </c>
      <c r="H6" s="3717"/>
      <c r="I6" s="3716" t="s">
        <v>1677</v>
      </c>
      <c r="J6" s="3717"/>
      <c r="K6" s="558" t="s">
        <v>1678</v>
      </c>
      <c r="L6" s="912"/>
      <c r="M6" s="913"/>
      <c r="N6" s="913"/>
      <c r="O6" s="913"/>
      <c r="P6" s="3707"/>
      <c r="Q6" s="3708"/>
      <c r="R6" s="3711"/>
      <c r="S6" s="3712"/>
      <c r="T6" s="3713"/>
      <c r="U6" s="3714"/>
      <c r="V6" s="3715"/>
      <c r="W6" s="3715"/>
      <c r="X6" s="1354"/>
      <c r="Y6" s="3713"/>
      <c r="Z6" s="3714"/>
      <c r="AA6" s="3698"/>
      <c r="AB6" s="3698"/>
      <c r="AC6" s="3698"/>
    </row>
    <row r="7" spans="1:29" s="107" customFormat="1" ht="15.75" thickBot="1">
      <c r="A7" s="361" t="s">
        <v>1679</v>
      </c>
      <c r="B7" s="362"/>
      <c r="C7" s="363">
        <f>'数据-取费表'!B2</f>
        <v>45230</v>
      </c>
      <c r="D7" s="364">
        <v>100</v>
      </c>
      <c r="E7" s="365"/>
      <c r="F7" s="366">
        <f>SUMIF(52:52,YEAR(E7)&amp;"-"&amp;MONTH(E7),53:53)</f>
        <v>0</v>
      </c>
      <c r="G7" s="365"/>
      <c r="H7" s="364">
        <f>SUMIF(52:52,YEAR(G7)&amp;"-"&amp;MONTH(G7),53:53)</f>
        <v>0</v>
      </c>
      <c r="I7" s="365"/>
      <c r="J7" s="364">
        <f>SUMIF(52:52,YEAR(I7)&amp;"-"&amp;MONTH(I7),53:53)</f>
        <v>0</v>
      </c>
      <c r="K7" s="559"/>
      <c r="L7" s="914"/>
      <c r="M7" s="915"/>
      <c r="N7" s="915"/>
      <c r="O7" s="915"/>
      <c r="P7" s="3720"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0" t="s">
        <v>1683</v>
      </c>
      <c r="Q8" s="3721"/>
      <c r="R8" s="700" t="s">
        <v>14</v>
      </c>
      <c r="S8" s="701">
        <f t="shared" si="0"/>
        <v>100</v>
      </c>
      <c r="T8" s="700" t="s">
        <v>14</v>
      </c>
      <c r="U8" s="701">
        <f t="shared" si="1"/>
        <v>100</v>
      </c>
      <c r="V8" s="700" t="s">
        <v>14</v>
      </c>
      <c r="W8" s="701">
        <f t="shared" si="2"/>
        <v>100</v>
      </c>
      <c r="X8" s="702"/>
      <c r="Y8" s="3720" t="s">
        <v>1683</v>
      </c>
      <c r="Z8" s="3721"/>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8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7" customFormat="1" ht="27">
      <c r="A10" s="373"/>
      <c r="B10" s="374" t="s">
        <v>1688</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68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84"/>
      <c r="Q11" s="1342" t="str">
        <f t="shared" si="6"/>
        <v>容积率</v>
      </c>
      <c r="R11" s="700" t="s">
        <v>14</v>
      </c>
      <c r="S11" s="701">
        <f t="shared" si="0"/>
        <v>100</v>
      </c>
      <c r="T11" s="700" t="s">
        <v>14</v>
      </c>
      <c r="U11" s="701">
        <f t="shared" si="1"/>
        <v>100</v>
      </c>
      <c r="V11" s="700" t="s">
        <v>14</v>
      </c>
      <c r="W11" s="701">
        <f t="shared" si="2"/>
        <v>100</v>
      </c>
      <c r="X11" s="702"/>
      <c r="Y11" s="3559"/>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8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84"/>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0" t="s">
        <v>1690</v>
      </c>
      <c r="B15" s="61" t="s">
        <v>1827</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86" t="s">
        <v>1691</v>
      </c>
      <c r="Q15" s="1351" t="str">
        <f t="shared" si="6"/>
        <v>产业集聚程度</v>
      </c>
      <c r="R15" s="704" t="s">
        <v>14</v>
      </c>
      <c r="S15" s="705">
        <f t="shared" si="0"/>
        <v>100</v>
      </c>
      <c r="T15" s="704" t="s">
        <v>14</v>
      </c>
      <c r="U15" s="705">
        <f t="shared" si="1"/>
        <v>100</v>
      </c>
      <c r="V15" s="704" t="s">
        <v>14</v>
      </c>
      <c r="W15" s="705">
        <f t="shared" si="2"/>
        <v>100</v>
      </c>
      <c r="X15" s="1354"/>
      <c r="Y15" s="3686" t="s">
        <v>1691</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87"/>
      <c r="Q16" s="1351"/>
      <c r="R16" s="704"/>
      <c r="S16" s="705"/>
      <c r="T16" s="704"/>
      <c r="U16" s="705"/>
      <c r="V16" s="704"/>
      <c r="W16" s="705"/>
      <c r="X16" s="1354"/>
      <c r="Y16" s="3687"/>
      <c r="Z16" s="1355"/>
      <c r="AA16" s="1352">
        <v>1</v>
      </c>
      <c r="AB16" s="1352">
        <v>1</v>
      </c>
      <c r="AC16" s="1352">
        <v>1</v>
      </c>
    </row>
    <row r="17" spans="1:29" ht="85.5">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87"/>
      <c r="Q17" s="1351" t="str">
        <f>B17</f>
        <v>交通便捷度</v>
      </c>
      <c r="R17" s="704" t="s">
        <v>14</v>
      </c>
      <c r="S17" s="705">
        <f>F17</f>
        <v>100</v>
      </c>
      <c r="T17" s="704" t="s">
        <v>14</v>
      </c>
      <c r="U17" s="705">
        <f>H17</f>
        <v>100</v>
      </c>
      <c r="V17" s="704" t="s">
        <v>14</v>
      </c>
      <c r="W17" s="705">
        <f>J17</f>
        <v>100</v>
      </c>
      <c r="X17" s="1354"/>
      <c r="Y17" s="3687"/>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87"/>
      <c r="Q18" s="1351"/>
      <c r="R18" s="704"/>
      <c r="S18" s="705"/>
      <c r="T18" s="704"/>
      <c r="U18" s="705"/>
      <c r="V18" s="704"/>
      <c r="W18" s="705"/>
      <c r="X18" s="1354"/>
      <c r="Y18" s="3687"/>
      <c r="Z18" s="1355"/>
      <c r="AA18" s="1352">
        <v>1</v>
      </c>
      <c r="AB18" s="1352">
        <v>1</v>
      </c>
      <c r="AC18" s="1352">
        <v>1</v>
      </c>
    </row>
    <row r="19" spans="1:29" ht="42.75">
      <c r="A19" s="378"/>
      <c r="B19" s="401" t="s">
        <v>1812</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87"/>
      <c r="Q19" s="1351" t="str">
        <f>B19</f>
        <v>公共配套设施</v>
      </c>
      <c r="R19" s="704" t="s">
        <v>14</v>
      </c>
      <c r="S19" s="705">
        <f>F19</f>
        <v>100</v>
      </c>
      <c r="T19" s="704" t="s">
        <v>14</v>
      </c>
      <c r="U19" s="705">
        <f>H19</f>
        <v>100</v>
      </c>
      <c r="V19" s="704" t="s">
        <v>14</v>
      </c>
      <c r="W19" s="705">
        <f>J19</f>
        <v>100</v>
      </c>
      <c r="X19" s="1354"/>
      <c r="Y19" s="3687"/>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87"/>
      <c r="Q20" s="1351"/>
      <c r="R20" s="704"/>
      <c r="S20" s="705"/>
      <c r="T20" s="704"/>
      <c r="U20" s="705"/>
      <c r="V20" s="704"/>
      <c r="W20" s="705"/>
      <c r="X20" s="1354"/>
      <c r="Y20" s="3687"/>
      <c r="Z20" s="1355"/>
      <c r="AA20" s="1352">
        <v>1</v>
      </c>
      <c r="AB20" s="1352">
        <v>1</v>
      </c>
      <c r="AC20" s="1352">
        <v>1</v>
      </c>
    </row>
    <row r="21" spans="1:29" ht="28.5">
      <c r="A21" s="378"/>
      <c r="B21" s="1130" t="s">
        <v>1813</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87"/>
      <c r="Q21" s="1351" t="str">
        <f>B21</f>
        <v>基础设施水平</v>
      </c>
      <c r="R21" s="704" t="s">
        <v>14</v>
      </c>
      <c r="S21" s="705">
        <f>F21</f>
        <v>100</v>
      </c>
      <c r="T21" s="704" t="s">
        <v>14</v>
      </c>
      <c r="U21" s="705">
        <f>H21</f>
        <v>100</v>
      </c>
      <c r="V21" s="704" t="s">
        <v>14</v>
      </c>
      <c r="W21" s="705">
        <f>J21</f>
        <v>100</v>
      </c>
      <c r="X21" s="1354"/>
      <c r="Y21" s="3687"/>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87"/>
      <c r="Q22" s="1351"/>
      <c r="R22" s="704"/>
      <c r="S22" s="705"/>
      <c r="T22" s="704"/>
      <c r="U22" s="705"/>
      <c r="V22" s="704"/>
      <c r="W22" s="705"/>
      <c r="X22" s="1354"/>
      <c r="Y22" s="3687"/>
      <c r="Z22" s="1355"/>
      <c r="AA22" s="1352">
        <v>1</v>
      </c>
      <c r="AB22" s="1352">
        <v>1</v>
      </c>
      <c r="AC22" s="1352">
        <v>1</v>
      </c>
    </row>
    <row r="23" spans="1:29" ht="71.25">
      <c r="A23" s="378"/>
      <c r="B23" s="401" t="s">
        <v>1814</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87"/>
      <c r="Q23" s="1351" t="str">
        <f>B23</f>
        <v>环境质量</v>
      </c>
      <c r="R23" s="704" t="s">
        <v>14</v>
      </c>
      <c r="S23" s="705">
        <f>F23</f>
        <v>100</v>
      </c>
      <c r="T23" s="704" t="s">
        <v>14</v>
      </c>
      <c r="U23" s="705">
        <f>H23</f>
        <v>100</v>
      </c>
      <c r="V23" s="704" t="s">
        <v>14</v>
      </c>
      <c r="W23" s="705">
        <f>J23</f>
        <v>100</v>
      </c>
      <c r="X23" s="1354"/>
      <c r="Y23" s="3687"/>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87"/>
      <c r="Q24" s="1351"/>
      <c r="R24" s="704"/>
      <c r="S24" s="705"/>
      <c r="T24" s="704"/>
      <c r="U24" s="705"/>
      <c r="V24" s="704"/>
      <c r="W24" s="705"/>
      <c r="X24" s="1354"/>
      <c r="Y24" s="3687"/>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87"/>
      <c r="Q25" s="1351">
        <f>B25</f>
        <v>111</v>
      </c>
      <c r="R25" s="704" t="s">
        <v>14</v>
      </c>
      <c r="S25" s="705">
        <f>F25</f>
        <v>100</v>
      </c>
      <c r="T25" s="704" t="s">
        <v>14</v>
      </c>
      <c r="U25" s="705">
        <f>H25</f>
        <v>100</v>
      </c>
      <c r="V25" s="704" t="s">
        <v>14</v>
      </c>
      <c r="W25" s="705">
        <f>J25</f>
        <v>100</v>
      </c>
      <c r="X25" s="1354"/>
      <c r="Y25" s="3687"/>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87"/>
      <c r="Q26" s="1351">
        <f t="shared" ref="Q26:Q40" si="11">B26</f>
        <v>111</v>
      </c>
      <c r="R26" s="704" t="s">
        <v>14</v>
      </c>
      <c r="S26" s="705">
        <f>F26</f>
        <v>100</v>
      </c>
      <c r="T26" s="704" t="s">
        <v>14</v>
      </c>
      <c r="U26" s="705">
        <f>H26</f>
        <v>100</v>
      </c>
      <c r="V26" s="704" t="s">
        <v>14</v>
      </c>
      <c r="W26" s="705">
        <f>J26</f>
        <v>100</v>
      </c>
      <c r="X26" s="1354"/>
      <c r="Y26" s="3687"/>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87"/>
      <c r="Q27" s="1342">
        <f t="shared" si="11"/>
        <v>111</v>
      </c>
      <c r="R27" s="700" t="s">
        <v>14</v>
      </c>
      <c r="S27" s="701">
        <f>F27</f>
        <v>100</v>
      </c>
      <c r="T27" s="700" t="s">
        <v>14</v>
      </c>
      <c r="U27" s="701">
        <f>H27</f>
        <v>100</v>
      </c>
      <c r="V27" s="700" t="s">
        <v>14</v>
      </c>
      <c r="W27" s="701">
        <f>J27</f>
        <v>100</v>
      </c>
      <c r="X27" s="702"/>
      <c r="Y27" s="3687"/>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87"/>
      <c r="Q28" s="1351">
        <f t="shared" si="11"/>
        <v>111</v>
      </c>
      <c r="R28" s="704" t="s">
        <v>14</v>
      </c>
      <c r="S28" s="705">
        <f t="shared" ref="S28:S40" si="12">F28</f>
        <v>100</v>
      </c>
      <c r="T28" s="704" t="s">
        <v>14</v>
      </c>
      <c r="U28" s="705">
        <f t="shared" ref="U28:U40" si="13">H28</f>
        <v>100</v>
      </c>
      <c r="V28" s="704" t="s">
        <v>14</v>
      </c>
      <c r="W28" s="705">
        <f t="shared" ref="W28:W40" si="14">J28</f>
        <v>100</v>
      </c>
      <c r="X28" s="1354"/>
      <c r="Y28" s="3687"/>
      <c r="Z28" s="1355">
        <f t="shared" ref="Z28:Z40" si="15">Q28</f>
        <v>111</v>
      </c>
      <c r="AA28" s="1352">
        <f t="shared" si="3"/>
        <v>1</v>
      </c>
      <c r="AB28" s="1352">
        <f t="shared" si="4"/>
        <v>1</v>
      </c>
      <c r="AC28" s="1352">
        <f t="shared" si="5"/>
        <v>1</v>
      </c>
    </row>
    <row r="29" spans="1:29" ht="28.5">
      <c r="A29" s="416" t="s">
        <v>1694</v>
      </c>
      <c r="B29" s="63" t="s">
        <v>1817</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2" t="s">
        <v>1696</v>
      </c>
      <c r="Q29" s="1351" t="str">
        <f t="shared" si="11"/>
        <v>建筑类型</v>
      </c>
      <c r="R29" s="704" t="s">
        <v>14</v>
      </c>
      <c r="S29" s="705">
        <f t="shared" si="12"/>
        <v>100</v>
      </c>
      <c r="T29" s="704" t="s">
        <v>14</v>
      </c>
      <c r="U29" s="705">
        <f t="shared" si="13"/>
        <v>100</v>
      </c>
      <c r="V29" s="704" t="s">
        <v>14</v>
      </c>
      <c r="W29" s="705">
        <f t="shared" si="14"/>
        <v>100</v>
      </c>
      <c r="X29" s="1354"/>
      <c r="Y29" s="3691" t="s">
        <v>1696</v>
      </c>
      <c r="Z29" s="1355" t="str">
        <f t="shared" si="15"/>
        <v>建筑类型</v>
      </c>
      <c r="AA29" s="1352">
        <f t="shared" si="3"/>
        <v>1</v>
      </c>
      <c r="AB29" s="1352">
        <f t="shared" si="4"/>
        <v>1</v>
      </c>
      <c r="AC29" s="1352">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91"/>
      <c r="Q30" s="706" t="str">
        <f t="shared" si="11"/>
        <v>项目建筑规模</v>
      </c>
      <c r="R30" s="707" t="s">
        <v>14</v>
      </c>
      <c r="S30" s="708" t="e">
        <f t="shared" si="12"/>
        <v>#N/A</v>
      </c>
      <c r="T30" s="707" t="s">
        <v>14</v>
      </c>
      <c r="U30" s="708" t="e">
        <f t="shared" si="13"/>
        <v>#N/A</v>
      </c>
      <c r="V30" s="707" t="s">
        <v>14</v>
      </c>
      <c r="W30" s="708" t="e">
        <f t="shared" si="14"/>
        <v>#N/A</v>
      </c>
      <c r="X30" s="709"/>
      <c r="Y30" s="3691"/>
      <c r="Z30" s="710" t="str">
        <f t="shared" si="15"/>
        <v>项目建筑规模</v>
      </c>
      <c r="AA30" s="1352" t="e">
        <f t="shared" si="3"/>
        <v>#N/A</v>
      </c>
      <c r="AB30" s="1352" t="e">
        <f t="shared" si="4"/>
        <v>#N/A</v>
      </c>
      <c r="AC30" s="1352"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91"/>
      <c r="Q31" s="1351" t="str">
        <f t="shared" si="11"/>
        <v>建筑结构</v>
      </c>
      <c r="R31" s="704" t="s">
        <v>14</v>
      </c>
      <c r="S31" s="705">
        <f t="shared" si="12"/>
        <v>100</v>
      </c>
      <c r="T31" s="704" t="s">
        <v>14</v>
      </c>
      <c r="U31" s="705">
        <f t="shared" si="13"/>
        <v>100</v>
      </c>
      <c r="V31" s="704" t="s">
        <v>14</v>
      </c>
      <c r="W31" s="705">
        <f t="shared" si="14"/>
        <v>100</v>
      </c>
      <c r="X31" s="1354"/>
      <c r="Y31" s="3691"/>
      <c r="Z31" s="1355" t="str">
        <f t="shared" si="15"/>
        <v>建筑结构</v>
      </c>
      <c r="AA31" s="1352">
        <f t="shared" si="3"/>
        <v>1</v>
      </c>
      <c r="AB31" s="1352">
        <f t="shared" si="4"/>
        <v>1</v>
      </c>
      <c r="AC31" s="1352">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91"/>
      <c r="Q32" s="1351" t="str">
        <f t="shared" si="11"/>
        <v>公共部分装修</v>
      </c>
      <c r="R32" s="704" t="s">
        <v>14</v>
      </c>
      <c r="S32" s="705">
        <f t="shared" si="12"/>
        <v>100</v>
      </c>
      <c r="T32" s="704" t="s">
        <v>14</v>
      </c>
      <c r="U32" s="705">
        <f t="shared" si="13"/>
        <v>100</v>
      </c>
      <c r="V32" s="704" t="s">
        <v>14</v>
      </c>
      <c r="W32" s="705">
        <f t="shared" si="14"/>
        <v>100</v>
      </c>
      <c r="X32" s="1354"/>
      <c r="Y32" s="3691"/>
      <c r="Z32" s="1355" t="str">
        <f t="shared" si="15"/>
        <v>公共部分装修</v>
      </c>
      <c r="AA32" s="1352">
        <f t="shared" si="3"/>
        <v>1</v>
      </c>
      <c r="AB32" s="1352">
        <f t="shared" si="4"/>
        <v>1</v>
      </c>
      <c r="AC32" s="1352">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91"/>
      <c r="Q33" s="1351" t="str">
        <f t="shared" si="11"/>
        <v>成新度</v>
      </c>
      <c r="R33" s="704" t="s">
        <v>14</v>
      </c>
      <c r="S33" s="705" t="e">
        <f t="shared" si="12"/>
        <v>#N/A</v>
      </c>
      <c r="T33" s="704" t="s">
        <v>14</v>
      </c>
      <c r="U33" s="705" t="e">
        <f t="shared" si="13"/>
        <v>#N/A</v>
      </c>
      <c r="V33" s="704" t="s">
        <v>14</v>
      </c>
      <c r="W33" s="705" t="e">
        <f t="shared" si="14"/>
        <v>#N/A</v>
      </c>
      <c r="X33" s="1354"/>
      <c r="Y33" s="3691"/>
      <c r="Z33" s="1355" t="str">
        <f t="shared" si="15"/>
        <v>成新度</v>
      </c>
      <c r="AA33" s="1352" t="e">
        <f t="shared" si="3"/>
        <v>#N/A</v>
      </c>
      <c r="AB33" s="1352" t="e">
        <f t="shared" si="4"/>
        <v>#N/A</v>
      </c>
      <c r="AC33" s="1352"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91"/>
      <c r="Q34" s="1342" t="str">
        <f t="shared" si="11"/>
        <v>物业管理</v>
      </c>
      <c r="R34" s="700" t="s">
        <v>14</v>
      </c>
      <c r="S34" s="701">
        <f t="shared" si="12"/>
        <v>100</v>
      </c>
      <c r="T34" s="700" t="s">
        <v>14</v>
      </c>
      <c r="U34" s="701">
        <f t="shared" si="13"/>
        <v>100</v>
      </c>
      <c r="V34" s="700" t="s">
        <v>14</v>
      </c>
      <c r="W34" s="701">
        <f t="shared" si="14"/>
        <v>100</v>
      </c>
      <c r="X34" s="702"/>
      <c r="Y34" s="3691"/>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91" t="s">
        <v>1696</v>
      </c>
      <c r="Q35" s="1351" t="str">
        <f t="shared" si="11"/>
        <v>市政基础设施</v>
      </c>
      <c r="R35" s="704" t="s">
        <v>14</v>
      </c>
      <c r="S35" s="705">
        <f t="shared" si="12"/>
        <v>100</v>
      </c>
      <c r="T35" s="704" t="s">
        <v>14</v>
      </c>
      <c r="U35" s="705">
        <f t="shared" si="13"/>
        <v>100</v>
      </c>
      <c r="V35" s="704" t="s">
        <v>14</v>
      </c>
      <c r="W35" s="705">
        <f t="shared" si="14"/>
        <v>100</v>
      </c>
      <c r="X35" s="1354"/>
      <c r="Y35" s="3691" t="s">
        <v>1696</v>
      </c>
      <c r="Z35" s="1355" t="str">
        <f t="shared" si="15"/>
        <v>市政基础设施</v>
      </c>
      <c r="AA35" s="1352">
        <f t="shared" si="3"/>
        <v>1</v>
      </c>
      <c r="AB35" s="1352">
        <f t="shared" si="4"/>
        <v>1</v>
      </c>
      <c r="AC35" s="1352">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91"/>
      <c r="Q36" s="1351" t="str">
        <f t="shared" si="11"/>
        <v>内部装修</v>
      </c>
      <c r="R36" s="704" t="s">
        <v>14</v>
      </c>
      <c r="S36" s="705">
        <f t="shared" si="12"/>
        <v>100</v>
      </c>
      <c r="T36" s="704" t="s">
        <v>14</v>
      </c>
      <c r="U36" s="705">
        <f t="shared" si="13"/>
        <v>100</v>
      </c>
      <c r="V36" s="704" t="s">
        <v>14</v>
      </c>
      <c r="W36" s="705">
        <f t="shared" si="14"/>
        <v>100</v>
      </c>
      <c r="X36" s="1354"/>
      <c r="Y36" s="3691"/>
      <c r="Z36" s="1355" t="str">
        <f t="shared" si="15"/>
        <v>内部装修</v>
      </c>
      <c r="AA36" s="1352">
        <f t="shared" si="3"/>
        <v>1</v>
      </c>
      <c r="AB36" s="1352">
        <f t="shared" si="4"/>
        <v>1</v>
      </c>
      <c r="AC36" s="1352">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91"/>
      <c r="Q37" s="1351" t="str">
        <f t="shared" si="11"/>
        <v>内部装修状况</v>
      </c>
      <c r="R37" s="704" t="s">
        <v>14</v>
      </c>
      <c r="S37" s="705">
        <f t="shared" si="12"/>
        <v>100</v>
      </c>
      <c r="T37" s="704" t="s">
        <v>14</v>
      </c>
      <c r="U37" s="705">
        <f t="shared" si="13"/>
        <v>100</v>
      </c>
      <c r="V37" s="704" t="s">
        <v>14</v>
      </c>
      <c r="W37" s="705">
        <f t="shared" si="14"/>
        <v>100</v>
      </c>
      <c r="X37" s="1354"/>
      <c r="Y37" s="3691"/>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91"/>
      <c r="Q38" s="706">
        <f t="shared" si="11"/>
        <v>111</v>
      </c>
      <c r="R38" s="707" t="s">
        <v>14</v>
      </c>
      <c r="S38" s="708">
        <f t="shared" si="12"/>
        <v>100</v>
      </c>
      <c r="T38" s="707" t="s">
        <v>14</v>
      </c>
      <c r="U38" s="708">
        <f t="shared" si="13"/>
        <v>100</v>
      </c>
      <c r="V38" s="707" t="s">
        <v>14</v>
      </c>
      <c r="W38" s="708">
        <f t="shared" si="14"/>
        <v>100</v>
      </c>
      <c r="X38" s="709"/>
      <c r="Y38" s="3691"/>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91"/>
      <c r="Q39" s="1351">
        <f t="shared" si="11"/>
        <v>111</v>
      </c>
      <c r="R39" s="704" t="s">
        <v>14</v>
      </c>
      <c r="S39" s="705">
        <f t="shared" si="12"/>
        <v>100</v>
      </c>
      <c r="T39" s="704" t="s">
        <v>14</v>
      </c>
      <c r="U39" s="705">
        <f t="shared" si="13"/>
        <v>100</v>
      </c>
      <c r="V39" s="704" t="s">
        <v>14</v>
      </c>
      <c r="W39" s="705">
        <f t="shared" si="14"/>
        <v>100</v>
      </c>
      <c r="X39" s="1354"/>
      <c r="Y39" s="3691"/>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92"/>
      <c r="Q40" s="1351">
        <f t="shared" si="11"/>
        <v>111</v>
      </c>
      <c r="R40" s="704" t="s">
        <v>14</v>
      </c>
      <c r="S40" s="705">
        <f t="shared" si="12"/>
        <v>100</v>
      </c>
      <c r="T40" s="704" t="s">
        <v>14</v>
      </c>
      <c r="U40" s="705">
        <f t="shared" si="13"/>
        <v>100</v>
      </c>
      <c r="V40" s="704" t="s">
        <v>14</v>
      </c>
      <c r="W40" s="705">
        <f t="shared" si="14"/>
        <v>100</v>
      </c>
      <c r="X40" s="1354"/>
      <c r="Y40" s="3692"/>
      <c r="Z40" s="1355">
        <f t="shared" si="15"/>
        <v>111</v>
      </c>
      <c r="AA40" s="1352">
        <f t="shared" si="3"/>
        <v>1</v>
      </c>
      <c r="AB40" s="1352">
        <f t="shared" si="4"/>
        <v>1</v>
      </c>
      <c r="AC40" s="1352">
        <f t="shared" si="5"/>
        <v>1</v>
      </c>
    </row>
    <row r="41" spans="1:29" ht="15">
      <c r="A41" s="429" t="s">
        <v>1708</v>
      </c>
      <c r="B41" s="430"/>
      <c r="C41" s="1153" t="s">
        <v>0</v>
      </c>
      <c r="D41" s="1154"/>
      <c r="E41" s="1155"/>
      <c r="F41" s="1156"/>
      <c r="G41" s="1157"/>
      <c r="H41" s="1158"/>
      <c r="I41" s="1155"/>
      <c r="J41" s="1158"/>
      <c r="K41" s="713"/>
      <c r="L41" s="925"/>
      <c r="M41" s="926"/>
      <c r="N41" s="913"/>
      <c r="O41" s="926"/>
      <c r="P41" s="3684" t="str">
        <f>A41</f>
        <v>成交单价（元/平方米）</v>
      </c>
      <c r="Q41" s="3684"/>
      <c r="R41" s="3685">
        <f>E41</f>
        <v>0</v>
      </c>
      <c r="S41" s="3685"/>
      <c r="T41" s="3685">
        <f>G41</f>
        <v>0</v>
      </c>
      <c r="U41" s="3685"/>
      <c r="V41" s="3685">
        <f>I41</f>
        <v>0</v>
      </c>
      <c r="W41" s="3685"/>
      <c r="X41" s="689"/>
      <c r="Y41" s="711"/>
      <c r="Z41" s="689"/>
      <c r="AA41" s="689"/>
      <c r="AB41" s="689"/>
      <c r="AC41" s="689"/>
    </row>
    <row r="42" spans="1:29" ht="15.75" thickBot="1">
      <c r="A42" s="436" t="s">
        <v>1793</v>
      </c>
      <c r="B42" s="437"/>
      <c r="C42" s="1159" t="e">
        <f>R43</f>
        <v>#DIV/0!</v>
      </c>
      <c r="D42" s="2316" t="s">
        <v>2138</v>
      </c>
      <c r="E42" s="1160" t="e">
        <f>R42</f>
        <v>#DIV/0!</v>
      </c>
      <c r="F42" s="2317"/>
      <c r="G42" s="1159" t="e">
        <f>T42</f>
        <v>#DIV/0!</v>
      </c>
      <c r="H42" s="2317"/>
      <c r="I42" s="1160" t="e">
        <f>V42</f>
        <v>#DIV/0!</v>
      </c>
      <c r="J42" s="2317"/>
      <c r="K42" s="2319">
        <f>F42+H42+J42</f>
        <v>0</v>
      </c>
      <c r="L42" s="925"/>
      <c r="M42" s="926"/>
      <c r="N42" s="913"/>
      <c r="O42" s="926"/>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89"/>
      <c r="Y42" s="689"/>
      <c r="Z42" s="689"/>
      <c r="AA42" s="689"/>
      <c r="AB42" s="689"/>
      <c r="AC42" s="689"/>
    </row>
    <row r="43" spans="1:29" ht="15.75" thickBot="1">
      <c r="A43" s="440" t="s">
        <v>1794</v>
      </c>
      <c r="B43" s="441"/>
      <c r="C43" s="1162" t="e">
        <f>R43</f>
        <v>#DIV/0!</v>
      </c>
      <c r="D43" s="1162"/>
      <c r="E43" s="1162"/>
      <c r="F43" s="1162"/>
      <c r="G43" s="1162"/>
      <c r="H43" s="1162"/>
      <c r="I43" s="1162"/>
      <c r="J43" s="1162"/>
      <c r="K43" s="714"/>
      <c r="L43" s="925"/>
      <c r="M43" s="926"/>
      <c r="N43" s="926"/>
      <c r="O43" s="926"/>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5"/>
    </row>
    <row r="53" spans="1:17" s="107" customFormat="1" ht="15">
      <c r="A53" s="457"/>
      <c r="B53" s="458"/>
      <c r="C53" s="1182">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9"/>
      <c r="O54" s="2770"/>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8" sqref="E2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7"/>
      <c r="B5" s="358"/>
      <c r="C5" s="3718" t="s">
        <v>1673</v>
      </c>
      <c r="D5" s="3719"/>
      <c r="E5" s="3725" t="s">
        <v>1674</v>
      </c>
      <c r="F5" s="3726"/>
      <c r="G5" s="3718" t="s">
        <v>1675</v>
      </c>
      <c r="H5" s="3719"/>
      <c r="I5" s="3718" t="s">
        <v>1676</v>
      </c>
      <c r="J5" s="3719"/>
      <c r="K5" s="558"/>
      <c r="L5" s="2714"/>
      <c r="M5" s="2715"/>
      <c r="N5" s="2715"/>
      <c r="O5" s="2715"/>
      <c r="P5" s="3705"/>
      <c r="Q5" s="3706"/>
      <c r="R5" s="3711"/>
      <c r="S5" s="3712"/>
      <c r="T5" s="3711"/>
      <c r="U5" s="3712"/>
      <c r="V5" s="3715"/>
      <c r="W5" s="3715"/>
      <c r="X5" s="1354"/>
      <c r="Y5" s="3711"/>
      <c r="Z5" s="3712"/>
      <c r="AA5" s="3697"/>
      <c r="AB5" s="3697"/>
      <c r="AC5" s="3697"/>
    </row>
    <row r="6" spans="1:29" ht="15.75" thickBot="1">
      <c r="A6" s="359"/>
      <c r="B6" s="360"/>
      <c r="C6" s="3716" t="s">
        <v>1677</v>
      </c>
      <c r="D6" s="3717"/>
      <c r="E6" s="3723" t="s">
        <v>1677</v>
      </c>
      <c r="F6" s="3724"/>
      <c r="G6" s="3716" t="s">
        <v>1677</v>
      </c>
      <c r="H6" s="3717"/>
      <c r="I6" s="3716" t="s">
        <v>1677</v>
      </c>
      <c r="J6" s="3717"/>
      <c r="K6" s="558" t="s">
        <v>1678</v>
      </c>
      <c r="L6" s="2714"/>
      <c r="M6" s="2715"/>
      <c r="N6" s="2715"/>
      <c r="O6" s="2715"/>
      <c r="P6" s="3707"/>
      <c r="Q6" s="3708"/>
      <c r="R6" s="3711"/>
      <c r="S6" s="3712"/>
      <c r="T6" s="3713"/>
      <c r="U6" s="3714"/>
      <c r="V6" s="3715"/>
      <c r="W6" s="3715"/>
      <c r="X6" s="1354"/>
      <c r="Y6" s="3713"/>
      <c r="Z6" s="3714"/>
      <c r="AA6" s="3698"/>
      <c r="AB6" s="3698"/>
      <c r="AC6" s="3698"/>
    </row>
    <row r="7" spans="1:29" s="107" customFormat="1" ht="15.75" thickBot="1">
      <c r="A7" s="361" t="s">
        <v>1679</v>
      </c>
      <c r="B7" s="362"/>
      <c r="C7" s="363">
        <f>'数据-取费表'!B2</f>
        <v>45230</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20" t="s">
        <v>1680</v>
      </c>
      <c r="Q7" s="3722"/>
      <c r="R7" s="700" t="s">
        <v>14</v>
      </c>
      <c r="S7" s="701">
        <f t="shared" ref="S7:S14" si="0">F7</f>
        <v>0</v>
      </c>
      <c r="T7" s="700" t="s">
        <v>14</v>
      </c>
      <c r="U7" s="701">
        <f t="shared" ref="U7:U14" si="1">H7</f>
        <v>0</v>
      </c>
      <c r="V7" s="700" t="s">
        <v>14</v>
      </c>
      <c r="W7" s="701">
        <f t="shared" ref="W7:W14" si="2">J7</f>
        <v>0</v>
      </c>
      <c r="X7" s="702"/>
      <c r="Y7" s="3720" t="s">
        <v>1680</v>
      </c>
      <c r="Z7" s="3721"/>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20" t="s">
        <v>1683</v>
      </c>
      <c r="Q8" s="3721"/>
      <c r="R8" s="700" t="s">
        <v>14</v>
      </c>
      <c r="S8" s="701">
        <f t="shared" si="0"/>
        <v>100</v>
      </c>
      <c r="T8" s="700" t="s">
        <v>14</v>
      </c>
      <c r="U8" s="701">
        <f t="shared" si="1"/>
        <v>100</v>
      </c>
      <c r="V8" s="700" t="s">
        <v>14</v>
      </c>
      <c r="W8" s="701">
        <f t="shared" si="2"/>
        <v>100</v>
      </c>
      <c r="X8" s="702"/>
      <c r="Y8" s="3720" t="s">
        <v>1683</v>
      </c>
      <c r="Z8" s="3721"/>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684"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7" customFormat="1" ht="27">
      <c r="A10" s="588"/>
      <c r="B10" s="589" t="s">
        <v>1688</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684"/>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54" t="s">
        <v>1690</v>
      </c>
      <c r="B14" s="576" t="s">
        <v>1833</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686" t="s">
        <v>1691</v>
      </c>
      <c r="Q14" s="1351" t="str">
        <f t="shared" si="6"/>
        <v>交通便捷度</v>
      </c>
      <c r="R14" s="704" t="s">
        <v>14</v>
      </c>
      <c r="S14" s="705">
        <f t="shared" si="0"/>
        <v>100</v>
      </c>
      <c r="T14" s="704" t="s">
        <v>14</v>
      </c>
      <c r="U14" s="705">
        <f t="shared" si="1"/>
        <v>100</v>
      </c>
      <c r="V14" s="704" t="s">
        <v>14</v>
      </c>
      <c r="W14" s="705">
        <f t="shared" si="2"/>
        <v>100</v>
      </c>
      <c r="X14" s="1354"/>
      <c r="Y14" s="3686" t="s">
        <v>1691</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687"/>
      <c r="Q15" s="1351"/>
      <c r="R15" s="704"/>
      <c r="S15" s="705"/>
      <c r="T15" s="704"/>
      <c r="U15" s="705"/>
      <c r="V15" s="704"/>
      <c r="W15" s="705"/>
      <c r="X15" s="1354"/>
      <c r="Y15" s="3687"/>
      <c r="Z15" s="1355"/>
      <c r="AA15" s="1352">
        <v>1</v>
      </c>
      <c r="AB15" s="1352">
        <v>1</v>
      </c>
      <c r="AC15" s="1352">
        <v>1</v>
      </c>
    </row>
    <row r="16" spans="1:29" ht="42.75">
      <c r="A16" s="357"/>
      <c r="B16" s="578" t="s">
        <v>1812</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687"/>
      <c r="Q16" s="1351" t="str">
        <f>B16</f>
        <v>公共配套设施</v>
      </c>
      <c r="R16" s="704" t="s">
        <v>14</v>
      </c>
      <c r="S16" s="705">
        <f>F16</f>
        <v>100</v>
      </c>
      <c r="T16" s="704" t="s">
        <v>14</v>
      </c>
      <c r="U16" s="705">
        <f>H16</f>
        <v>100</v>
      </c>
      <c r="V16" s="704" t="s">
        <v>14</v>
      </c>
      <c r="W16" s="705">
        <f>J16</f>
        <v>100</v>
      </c>
      <c r="X16" s="1354"/>
      <c r="Y16" s="3687"/>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687"/>
      <c r="Q17" s="1351"/>
      <c r="R17" s="704"/>
      <c r="S17" s="705"/>
      <c r="T17" s="704"/>
      <c r="U17" s="705"/>
      <c r="V17" s="704"/>
      <c r="W17" s="705"/>
      <c r="X17" s="1354"/>
      <c r="Y17" s="3687"/>
      <c r="Z17" s="1355"/>
      <c r="AA17" s="1352">
        <v>1</v>
      </c>
      <c r="AB17" s="1352">
        <v>1</v>
      </c>
      <c r="AC17" s="1352">
        <v>1</v>
      </c>
    </row>
    <row r="18" spans="1:29" ht="28.5">
      <c r="A18" s="357"/>
      <c r="B18" s="580" t="s">
        <v>1813</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687"/>
      <c r="Q18" s="1351" t="str">
        <f>B18</f>
        <v>基础设施水平</v>
      </c>
      <c r="R18" s="704" t="s">
        <v>14</v>
      </c>
      <c r="S18" s="705">
        <f>F18</f>
        <v>100</v>
      </c>
      <c r="T18" s="704" t="s">
        <v>14</v>
      </c>
      <c r="U18" s="705">
        <f>H18</f>
        <v>100</v>
      </c>
      <c r="V18" s="704" t="s">
        <v>14</v>
      </c>
      <c r="W18" s="705">
        <f>J18</f>
        <v>100</v>
      </c>
      <c r="X18" s="1354"/>
      <c r="Y18" s="3687"/>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687"/>
      <c r="Q19" s="1351"/>
      <c r="R19" s="704"/>
      <c r="S19" s="705"/>
      <c r="T19" s="704"/>
      <c r="U19" s="705"/>
      <c r="V19" s="704"/>
      <c r="W19" s="705"/>
      <c r="X19" s="1354"/>
      <c r="Y19" s="3687"/>
      <c r="Z19" s="1355"/>
      <c r="AA19" s="1352">
        <v>1</v>
      </c>
      <c r="AB19" s="1352">
        <v>1</v>
      </c>
      <c r="AC19" s="1352">
        <v>1</v>
      </c>
    </row>
    <row r="20" spans="1:29" ht="57">
      <c r="A20" s="357"/>
      <c r="B20" s="578" t="s">
        <v>1834</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687"/>
      <c r="Q20" s="1351" t="str">
        <f>B20</f>
        <v>自然及人文环境</v>
      </c>
      <c r="R20" s="704" t="s">
        <v>14</v>
      </c>
      <c r="S20" s="705">
        <f>F20</f>
        <v>100</v>
      </c>
      <c r="T20" s="704" t="s">
        <v>14</v>
      </c>
      <c r="U20" s="705">
        <f>H20</f>
        <v>100</v>
      </c>
      <c r="V20" s="704" t="s">
        <v>14</v>
      </c>
      <c r="W20" s="705">
        <f>J20</f>
        <v>100</v>
      </c>
      <c r="X20" s="1354"/>
      <c r="Y20" s="3687"/>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687"/>
      <c r="Q21" s="1351"/>
      <c r="R21" s="704"/>
      <c r="S21" s="705"/>
      <c r="T21" s="704"/>
      <c r="U21" s="705"/>
      <c r="V21" s="704"/>
      <c r="W21" s="705"/>
      <c r="X21" s="1354"/>
      <c r="Y21" s="3687"/>
      <c r="Z21" s="1355"/>
      <c r="AA21" s="1352">
        <v>1</v>
      </c>
      <c r="AB21" s="1352">
        <v>1</v>
      </c>
      <c r="AC21" s="1352">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687"/>
      <c r="Q22" s="1351" t="str">
        <f>B22</f>
        <v>楼层</v>
      </c>
      <c r="R22" s="704" t="s">
        <v>14</v>
      </c>
      <c r="S22" s="705">
        <f>F22</f>
        <v>100</v>
      </c>
      <c r="T22" s="704" t="s">
        <v>14</v>
      </c>
      <c r="U22" s="705">
        <f>H22</f>
        <v>100</v>
      </c>
      <c r="V22" s="704" t="s">
        <v>14</v>
      </c>
      <c r="W22" s="705">
        <f>J22</f>
        <v>100</v>
      </c>
      <c r="X22" s="1354"/>
      <c r="Y22" s="3687"/>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687"/>
      <c r="Q23" s="1351">
        <f>B23</f>
        <v>111</v>
      </c>
      <c r="R23" s="704" t="s">
        <v>14</v>
      </c>
      <c r="S23" s="705">
        <f>F23</f>
        <v>100</v>
      </c>
      <c r="T23" s="704" t="s">
        <v>14</v>
      </c>
      <c r="U23" s="705">
        <f>H23</f>
        <v>100</v>
      </c>
      <c r="V23" s="704" t="s">
        <v>14</v>
      </c>
      <c r="W23" s="705">
        <f>J23</f>
        <v>100</v>
      </c>
      <c r="X23" s="1354"/>
      <c r="Y23" s="3687"/>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687"/>
      <c r="Q24" s="1351">
        <f t="shared" ref="Q24:Q36" si="11">B24</f>
        <v>111</v>
      </c>
      <c r="R24" s="704" t="s">
        <v>14</v>
      </c>
      <c r="S24" s="705">
        <f>F24</f>
        <v>100</v>
      </c>
      <c r="T24" s="704" t="s">
        <v>14</v>
      </c>
      <c r="U24" s="705">
        <f>H24</f>
        <v>100</v>
      </c>
      <c r="V24" s="704" t="s">
        <v>14</v>
      </c>
      <c r="W24" s="705">
        <f>J24</f>
        <v>100</v>
      </c>
      <c r="X24" s="1354"/>
      <c r="Y24" s="3687"/>
      <c r="Z24" s="1355">
        <f>Q24</f>
        <v>111</v>
      </c>
      <c r="AA24" s="1352">
        <f t="shared" si="3"/>
        <v>1</v>
      </c>
      <c r="AB24" s="1352">
        <f t="shared" si="4"/>
        <v>1</v>
      </c>
      <c r="AC24" s="1352">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687"/>
      <c r="Q25" s="1342">
        <f t="shared" si="11"/>
        <v>111</v>
      </c>
      <c r="R25" s="700" t="s">
        <v>14</v>
      </c>
      <c r="S25" s="701">
        <f>F25</f>
        <v>100</v>
      </c>
      <c r="T25" s="700" t="s">
        <v>14</v>
      </c>
      <c r="U25" s="701">
        <f>H25</f>
        <v>100</v>
      </c>
      <c r="V25" s="700" t="s">
        <v>14</v>
      </c>
      <c r="W25" s="701">
        <f>J25</f>
        <v>100</v>
      </c>
      <c r="X25" s="702"/>
      <c r="Y25" s="3687"/>
      <c r="Z25" s="52">
        <f>Q25</f>
        <v>111</v>
      </c>
      <c r="AA25" s="1352">
        <f>D25/F25</f>
        <v>1</v>
      </c>
      <c r="AB25" s="1352">
        <f>D25/H25</f>
        <v>1</v>
      </c>
      <c r="AC25" s="1352">
        <f>D25/J25</f>
        <v>1</v>
      </c>
    </row>
    <row r="26" spans="1:29" ht="28.5">
      <c r="A26" s="599" t="s">
        <v>1694</v>
      </c>
      <c r="B26" s="62" t="s">
        <v>1836</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42"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1" t="s">
        <v>1696</v>
      </c>
      <c r="Z26" s="1355" t="str">
        <f t="shared" ref="Z26:Z36" si="15">Q26</f>
        <v>配套类型</v>
      </c>
      <c r="AA26" s="1352" t="e">
        <f t="shared" si="3"/>
        <v>#DIV/0!</v>
      </c>
      <c r="AB26" s="1352" t="e">
        <f t="shared" si="4"/>
        <v>#DIV/0!</v>
      </c>
      <c r="AC26" s="1352"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691"/>
      <c r="Q27" s="706" t="str">
        <f t="shared" si="11"/>
        <v>项目停车位配比</v>
      </c>
      <c r="R27" s="707" t="s">
        <v>14</v>
      </c>
      <c r="S27" s="708">
        <f t="shared" si="12"/>
        <v>100</v>
      </c>
      <c r="T27" s="707" t="s">
        <v>14</v>
      </c>
      <c r="U27" s="708">
        <f t="shared" si="13"/>
        <v>100</v>
      </c>
      <c r="V27" s="707" t="s">
        <v>14</v>
      </c>
      <c r="W27" s="708">
        <f t="shared" si="14"/>
        <v>100</v>
      </c>
      <c r="X27" s="709"/>
      <c r="Y27" s="3691"/>
      <c r="Z27" s="710" t="str">
        <f t="shared" si="15"/>
        <v>项目停车位配比</v>
      </c>
      <c r="AA27" s="1352">
        <f t="shared" si="3"/>
        <v>1</v>
      </c>
      <c r="AB27" s="1352">
        <f t="shared" si="4"/>
        <v>1</v>
      </c>
      <c r="AC27" s="1352">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691"/>
      <c r="Q28" s="1351" t="str">
        <f t="shared" si="11"/>
        <v>公共部分装修</v>
      </c>
      <c r="R28" s="704" t="s">
        <v>14</v>
      </c>
      <c r="S28" s="705">
        <f t="shared" si="12"/>
        <v>100</v>
      </c>
      <c r="T28" s="704" t="s">
        <v>14</v>
      </c>
      <c r="U28" s="705">
        <f t="shared" si="13"/>
        <v>100</v>
      </c>
      <c r="V28" s="704" t="s">
        <v>14</v>
      </c>
      <c r="W28" s="705">
        <f t="shared" si="14"/>
        <v>100</v>
      </c>
      <c r="X28" s="1354"/>
      <c r="Y28" s="3691"/>
      <c r="Z28" s="1355" t="str">
        <f t="shared" si="15"/>
        <v>公共部分装修</v>
      </c>
      <c r="AA28" s="1352">
        <f t="shared" si="3"/>
        <v>1</v>
      </c>
      <c r="AB28" s="1352">
        <f t="shared" si="4"/>
        <v>1</v>
      </c>
      <c r="AC28" s="1352">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691"/>
      <c r="Q29" s="1351" t="str">
        <f t="shared" si="11"/>
        <v>成新率</v>
      </c>
      <c r="R29" s="704" t="s">
        <v>14</v>
      </c>
      <c r="S29" s="705" t="e">
        <f t="shared" si="12"/>
        <v>#N/A</v>
      </c>
      <c r="T29" s="704" t="s">
        <v>14</v>
      </c>
      <c r="U29" s="705" t="e">
        <f t="shared" si="13"/>
        <v>#N/A</v>
      </c>
      <c r="V29" s="704" t="s">
        <v>14</v>
      </c>
      <c r="W29" s="705" t="e">
        <f t="shared" si="14"/>
        <v>#N/A</v>
      </c>
      <c r="X29" s="1354"/>
      <c r="Y29" s="3691"/>
      <c r="Z29" s="1355" t="str">
        <f t="shared" si="15"/>
        <v>成新率</v>
      </c>
      <c r="AA29" s="1352" t="e">
        <f t="shared" si="3"/>
        <v>#N/A</v>
      </c>
      <c r="AB29" s="1352" t="e">
        <f t="shared" si="4"/>
        <v>#N/A</v>
      </c>
      <c r="AC29" s="1352"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691"/>
      <c r="Q30" s="1351" t="str">
        <f t="shared" si="11"/>
        <v>物业等级</v>
      </c>
      <c r="R30" s="704" t="s">
        <v>14</v>
      </c>
      <c r="S30" s="705">
        <f t="shared" si="12"/>
        <v>100</v>
      </c>
      <c r="T30" s="704" t="s">
        <v>14</v>
      </c>
      <c r="U30" s="705">
        <f t="shared" si="13"/>
        <v>100</v>
      </c>
      <c r="V30" s="704" t="s">
        <v>14</v>
      </c>
      <c r="W30" s="705">
        <f t="shared" si="14"/>
        <v>100</v>
      </c>
      <c r="X30" s="1354"/>
      <c r="Y30" s="3691"/>
      <c r="Z30" s="1355" t="str">
        <f t="shared" si="15"/>
        <v>物业等级</v>
      </c>
      <c r="AA30" s="1352">
        <f t="shared" si="3"/>
        <v>1</v>
      </c>
      <c r="AB30" s="1352">
        <f t="shared" si="4"/>
        <v>1</v>
      </c>
      <c r="AC30" s="1352">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691"/>
      <c r="Q31" s="1342" t="str">
        <f t="shared" si="11"/>
        <v>停车位面积</v>
      </c>
      <c r="R31" s="700" t="s">
        <v>14</v>
      </c>
      <c r="S31" s="701" t="e">
        <f t="shared" si="12"/>
        <v>#N/A</v>
      </c>
      <c r="T31" s="700" t="s">
        <v>14</v>
      </c>
      <c r="U31" s="701" t="e">
        <f t="shared" si="13"/>
        <v>#N/A</v>
      </c>
      <c r="V31" s="700" t="s">
        <v>14</v>
      </c>
      <c r="W31" s="701" t="e">
        <f t="shared" si="14"/>
        <v>#N/A</v>
      </c>
      <c r="X31" s="702"/>
      <c r="Y31" s="3691"/>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691" t="s">
        <v>1696</v>
      </c>
      <c r="Q32" s="1351" t="str">
        <f t="shared" si="11"/>
        <v>车位类型</v>
      </c>
      <c r="R32" s="704" t="s">
        <v>14</v>
      </c>
      <c r="S32" s="705">
        <f t="shared" si="12"/>
        <v>100</v>
      </c>
      <c r="T32" s="704" t="s">
        <v>14</v>
      </c>
      <c r="U32" s="705">
        <f t="shared" si="13"/>
        <v>100</v>
      </c>
      <c r="V32" s="704" t="s">
        <v>14</v>
      </c>
      <c r="W32" s="705">
        <f t="shared" si="14"/>
        <v>100</v>
      </c>
      <c r="X32" s="1354"/>
      <c r="Y32" s="3691" t="s">
        <v>1696</v>
      </c>
      <c r="Z32" s="1355" t="str">
        <f t="shared" si="15"/>
        <v>车位类型</v>
      </c>
      <c r="AA32" s="1352">
        <f t="shared" si="3"/>
        <v>1</v>
      </c>
      <c r="AB32" s="1352">
        <f t="shared" si="4"/>
        <v>1</v>
      </c>
      <c r="AC32" s="1352">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691"/>
      <c r="Q33" s="1351" t="str">
        <f t="shared" si="11"/>
        <v>是否直接入户</v>
      </c>
      <c r="R33" s="704" t="s">
        <v>14</v>
      </c>
      <c r="S33" s="705">
        <f t="shared" si="12"/>
        <v>100</v>
      </c>
      <c r="T33" s="704" t="s">
        <v>14</v>
      </c>
      <c r="U33" s="705">
        <f t="shared" si="13"/>
        <v>100</v>
      </c>
      <c r="V33" s="704" t="s">
        <v>14</v>
      </c>
      <c r="W33" s="705">
        <f t="shared" si="14"/>
        <v>100</v>
      </c>
      <c r="X33" s="1354"/>
      <c r="Y33" s="3691"/>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691"/>
      <c r="Q34" s="1351">
        <f t="shared" si="11"/>
        <v>111</v>
      </c>
      <c r="R34" s="704" t="s">
        <v>14</v>
      </c>
      <c r="S34" s="705">
        <f t="shared" si="12"/>
        <v>100</v>
      </c>
      <c r="T34" s="704" t="s">
        <v>14</v>
      </c>
      <c r="U34" s="705">
        <f t="shared" si="13"/>
        <v>100</v>
      </c>
      <c r="V34" s="704" t="s">
        <v>14</v>
      </c>
      <c r="W34" s="705">
        <f t="shared" si="14"/>
        <v>100</v>
      </c>
      <c r="X34" s="1354"/>
      <c r="Y34" s="3691"/>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691"/>
      <c r="Q35" s="706">
        <f t="shared" si="11"/>
        <v>111</v>
      </c>
      <c r="R35" s="707" t="s">
        <v>14</v>
      </c>
      <c r="S35" s="708">
        <f t="shared" si="12"/>
        <v>100</v>
      </c>
      <c r="T35" s="707" t="s">
        <v>14</v>
      </c>
      <c r="U35" s="708">
        <f t="shared" si="13"/>
        <v>100</v>
      </c>
      <c r="V35" s="707" t="s">
        <v>14</v>
      </c>
      <c r="W35" s="708">
        <f t="shared" si="14"/>
        <v>100</v>
      </c>
      <c r="X35" s="709"/>
      <c r="Y35" s="3691"/>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691"/>
      <c r="Q36" s="1351">
        <f t="shared" si="11"/>
        <v>111</v>
      </c>
      <c r="R36" s="704" t="s">
        <v>14</v>
      </c>
      <c r="S36" s="705">
        <f t="shared" si="12"/>
        <v>100</v>
      </c>
      <c r="T36" s="704" t="s">
        <v>14</v>
      </c>
      <c r="U36" s="705">
        <f t="shared" si="13"/>
        <v>100</v>
      </c>
      <c r="V36" s="704" t="s">
        <v>14</v>
      </c>
      <c r="W36" s="705">
        <f t="shared" si="14"/>
        <v>100</v>
      </c>
      <c r="X36" s="1354"/>
      <c r="Y36" s="3691"/>
      <c r="Z36" s="1355">
        <f t="shared" si="15"/>
        <v>111</v>
      </c>
      <c r="AA36" s="1352">
        <f t="shared" si="3"/>
        <v>1</v>
      </c>
      <c r="AB36" s="1352">
        <f t="shared" si="4"/>
        <v>1</v>
      </c>
      <c r="AC36" s="1352">
        <f t="shared" si="5"/>
        <v>1</v>
      </c>
    </row>
    <row r="37" spans="1:29" ht="15">
      <c r="A37" s="429" t="s">
        <v>1844</v>
      </c>
      <c r="B37" s="1972" t="s">
        <v>3358</v>
      </c>
      <c r="C37" s="1153" t="s">
        <v>0</v>
      </c>
      <c r="D37" s="1154"/>
      <c r="E37" s="1155"/>
      <c r="F37" s="1156"/>
      <c r="G37" s="1157"/>
      <c r="H37" s="1158"/>
      <c r="I37" s="1155"/>
      <c r="J37" s="1158"/>
      <c r="K37" s="567"/>
      <c r="L37" s="2723"/>
      <c r="M37" s="2724"/>
      <c r="N37" s="2715"/>
      <c r="O37" s="2724"/>
      <c r="P37" s="3684" t="str">
        <f>A37</f>
        <v>成交单价</v>
      </c>
      <c r="Q37" s="3684"/>
      <c r="R37" s="3685">
        <f>E37</f>
        <v>0</v>
      </c>
      <c r="S37" s="3685"/>
      <c r="T37" s="3685">
        <f>G37</f>
        <v>0</v>
      </c>
      <c r="U37" s="3685"/>
      <c r="V37" s="3685">
        <f>I37</f>
        <v>0</v>
      </c>
      <c r="W37" s="3685"/>
      <c r="X37" s="689"/>
      <c r="Y37" s="711"/>
      <c r="Z37" s="689"/>
      <c r="AA37" s="689"/>
      <c r="AB37" s="689"/>
      <c r="AC37" s="689"/>
    </row>
    <row r="38" spans="1:29" ht="15.75" thickBot="1">
      <c r="A38" s="436" t="s">
        <v>1845</v>
      </c>
      <c r="B38" s="437"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89"/>
      <c r="Y38" s="689"/>
      <c r="Z38" s="689"/>
      <c r="AA38" s="689"/>
      <c r="AB38" s="689"/>
      <c r="AC38" s="689"/>
    </row>
    <row r="39" spans="1:29" ht="15.75" thickBot="1">
      <c r="A39" s="440" t="s">
        <v>1846</v>
      </c>
      <c r="B39" s="441"/>
      <c r="C39" s="1162" t="e">
        <f>R39</f>
        <v>#DIV/0!</v>
      </c>
      <c r="D39" s="1162"/>
      <c r="E39" s="1162"/>
      <c r="F39" s="1162"/>
      <c r="G39" s="1162"/>
      <c r="H39" s="1162"/>
      <c r="I39" s="1162"/>
      <c r="J39" s="1162"/>
      <c r="K39" s="568"/>
      <c r="L39" s="2723"/>
      <c r="M39" s="2724"/>
      <c r="N39" s="2724"/>
      <c r="O39" s="2724"/>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1851</v>
      </c>
      <c r="B48" s="454"/>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7"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75" thickBot="1">
      <c r="A50" s="463" t="s">
        <v>1716</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5">
      <c r="A51" s="469" t="s">
        <v>1681</v>
      </c>
      <c r="B51" s="458"/>
      <c r="C51" s="470" t="s">
        <v>1776</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1719</v>
      </c>
      <c r="B53" s="476" t="s">
        <v>1685</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1688</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1727</v>
      </c>
      <c r="C65" s="526" t="s">
        <v>1721</v>
      </c>
      <c r="D65" s="526" t="s">
        <v>1722</v>
      </c>
      <c r="E65" s="526" t="s">
        <v>1723</v>
      </c>
      <c r="F65" s="526" t="s">
        <v>1724</v>
      </c>
      <c r="G65" s="526" t="s">
        <v>1725</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1813</v>
      </c>
      <c r="C67" s="607" t="s">
        <v>1799</v>
      </c>
      <c r="D67" s="607" t="s">
        <v>1800</v>
      </c>
      <c r="E67" s="607" t="s">
        <v>1801</v>
      </c>
      <c r="F67" s="607" t="s">
        <v>1802</v>
      </c>
      <c r="G67" s="607" t="s">
        <v>1803</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1733</v>
      </c>
      <c r="C69" s="526" t="s">
        <v>1721</v>
      </c>
      <c r="D69" s="526" t="s">
        <v>1722</v>
      </c>
      <c r="E69" s="526" t="s">
        <v>1723</v>
      </c>
      <c r="F69" s="526" t="s">
        <v>1724</v>
      </c>
      <c r="G69" s="526" t="s">
        <v>1725</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1852</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1694</v>
      </c>
      <c r="B79" s="476" t="s">
        <v>1853</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1740</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1856</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1858</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1859</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8" sqref="E2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7"/>
      <c r="B5" s="358"/>
      <c r="C5" s="3718" t="s">
        <v>1673</v>
      </c>
      <c r="D5" s="3719"/>
      <c r="E5" s="3725" t="s">
        <v>1674</v>
      </c>
      <c r="F5" s="3726"/>
      <c r="G5" s="3718" t="s">
        <v>1675</v>
      </c>
      <c r="H5" s="3719"/>
      <c r="I5" s="3718" t="s">
        <v>1676</v>
      </c>
      <c r="J5" s="3719"/>
      <c r="K5" s="558"/>
      <c r="L5" s="2714"/>
      <c r="M5" s="2715"/>
      <c r="N5" s="2715"/>
      <c r="O5" s="2715"/>
      <c r="P5" s="3705"/>
      <c r="Q5" s="3706"/>
      <c r="R5" s="3711"/>
      <c r="S5" s="3712"/>
      <c r="T5" s="3711"/>
      <c r="U5" s="3712"/>
      <c r="V5" s="3715"/>
      <c r="W5" s="3715"/>
      <c r="X5" s="1354"/>
      <c r="Y5" s="3711"/>
      <c r="Z5" s="3712"/>
      <c r="AA5" s="3697"/>
      <c r="AB5" s="3697"/>
      <c r="AC5" s="3697"/>
    </row>
    <row r="6" spans="1:29" ht="15.75" thickBot="1">
      <c r="A6" s="359"/>
      <c r="B6" s="360"/>
      <c r="C6" s="3716" t="s">
        <v>1677</v>
      </c>
      <c r="D6" s="3717"/>
      <c r="E6" s="3723" t="s">
        <v>1677</v>
      </c>
      <c r="F6" s="3724"/>
      <c r="G6" s="3716" t="s">
        <v>1677</v>
      </c>
      <c r="H6" s="3717"/>
      <c r="I6" s="3716" t="s">
        <v>1677</v>
      </c>
      <c r="J6" s="3717"/>
      <c r="K6" s="558" t="s">
        <v>1678</v>
      </c>
      <c r="L6" s="2714"/>
      <c r="M6" s="2715"/>
      <c r="N6" s="2715"/>
      <c r="O6" s="2715"/>
      <c r="P6" s="3707"/>
      <c r="Q6" s="3708"/>
      <c r="R6" s="3711"/>
      <c r="S6" s="3712"/>
      <c r="T6" s="3713"/>
      <c r="U6" s="3714"/>
      <c r="V6" s="3715"/>
      <c r="W6" s="3715"/>
      <c r="X6" s="1354"/>
      <c r="Y6" s="3713"/>
      <c r="Z6" s="3714"/>
      <c r="AA6" s="3698"/>
      <c r="AB6" s="3698"/>
      <c r="AC6" s="3698"/>
    </row>
    <row r="7" spans="1:29" s="107" customFormat="1" ht="15.75" thickBot="1">
      <c r="A7" s="361" t="s">
        <v>1679</v>
      </c>
      <c r="B7" s="362"/>
      <c r="C7" s="363">
        <f>'数据-取费表'!B2</f>
        <v>45230</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20" t="s">
        <v>1680</v>
      </c>
      <c r="Q7" s="3722"/>
      <c r="R7" s="700" t="s">
        <v>14</v>
      </c>
      <c r="S7" s="701">
        <f t="shared" ref="S7:S14" si="0">F7</f>
        <v>0</v>
      </c>
      <c r="T7" s="700" t="s">
        <v>14</v>
      </c>
      <c r="U7" s="701">
        <f t="shared" ref="U7:U14" si="1">H7</f>
        <v>0</v>
      </c>
      <c r="V7" s="700" t="s">
        <v>14</v>
      </c>
      <c r="W7" s="701">
        <f t="shared" ref="W7:W14" si="2">J7</f>
        <v>0</v>
      </c>
      <c r="X7" s="702"/>
      <c r="Y7" s="3720" t="s">
        <v>1680</v>
      </c>
      <c r="Z7" s="3721"/>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20" t="s">
        <v>1683</v>
      </c>
      <c r="Q8" s="3721"/>
      <c r="R8" s="700" t="s">
        <v>14</v>
      </c>
      <c r="S8" s="701">
        <f t="shared" si="0"/>
        <v>100</v>
      </c>
      <c r="T8" s="700" t="s">
        <v>14</v>
      </c>
      <c r="U8" s="701">
        <f t="shared" si="1"/>
        <v>100</v>
      </c>
      <c r="V8" s="700" t="s">
        <v>14</v>
      </c>
      <c r="W8" s="701">
        <f t="shared" si="2"/>
        <v>100</v>
      </c>
      <c r="X8" s="702"/>
      <c r="Y8" s="3720" t="s">
        <v>1683</v>
      </c>
      <c r="Z8" s="3721"/>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684" t="s">
        <v>1686</v>
      </c>
      <c r="Q9" s="1342" t="str">
        <f t="shared" ref="Q9:Q14" si="6">B9</f>
        <v>用途</v>
      </c>
      <c r="R9" s="700" t="s">
        <v>14</v>
      </c>
      <c r="S9" s="701">
        <f t="shared" si="0"/>
        <v>100</v>
      </c>
      <c r="T9" s="700" t="s">
        <v>14</v>
      </c>
      <c r="U9" s="701">
        <f t="shared" si="1"/>
        <v>100</v>
      </c>
      <c r="V9" s="700" t="s">
        <v>14</v>
      </c>
      <c r="W9" s="701">
        <f t="shared" si="2"/>
        <v>100</v>
      </c>
      <c r="X9" s="702"/>
      <c r="Y9" s="3559" t="s">
        <v>1687</v>
      </c>
      <c r="Z9" s="52" t="str">
        <f t="shared" ref="Z9:Z14" si="7">Q9</f>
        <v>用途</v>
      </c>
      <c r="AA9" s="703">
        <f t="shared" si="3"/>
        <v>1</v>
      </c>
      <c r="AB9" s="703">
        <f t="shared" si="4"/>
        <v>1</v>
      </c>
      <c r="AC9" s="703">
        <f t="shared" si="5"/>
        <v>1</v>
      </c>
    </row>
    <row r="10" spans="1:29" s="377" customFormat="1" ht="27">
      <c r="A10" s="373"/>
      <c r="B10" s="374" t="s">
        <v>1688</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684"/>
      <c r="Q10" s="1342" t="str">
        <f t="shared" si="6"/>
        <v>土地使用年限（年）</v>
      </c>
      <c r="R10" s="700" t="s">
        <v>14</v>
      </c>
      <c r="S10" s="701">
        <f t="shared" si="0"/>
        <v>100</v>
      </c>
      <c r="T10" s="700" t="s">
        <v>14</v>
      </c>
      <c r="U10" s="701">
        <f t="shared" si="1"/>
        <v>100</v>
      </c>
      <c r="V10" s="700" t="s">
        <v>14</v>
      </c>
      <c r="W10" s="701">
        <f t="shared" si="2"/>
        <v>100</v>
      </c>
      <c r="X10" s="702"/>
      <c r="Y10" s="3559"/>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684"/>
      <c r="Q11" s="1342">
        <f t="shared" si="6"/>
        <v>111</v>
      </c>
      <c r="R11" s="700" t="s">
        <v>14</v>
      </c>
      <c r="S11" s="701">
        <f t="shared" si="0"/>
        <v>100</v>
      </c>
      <c r="T11" s="700" t="s">
        <v>14</v>
      </c>
      <c r="U11" s="701">
        <f t="shared" si="1"/>
        <v>100</v>
      </c>
      <c r="V11" s="700" t="s">
        <v>14</v>
      </c>
      <c r="W11" s="701">
        <f t="shared" si="2"/>
        <v>100</v>
      </c>
      <c r="X11" s="702"/>
      <c r="Y11" s="3559"/>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68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85.5">
      <c r="A14" s="390" t="s">
        <v>1690</v>
      </c>
      <c r="B14" s="61" t="s">
        <v>1833</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686" t="s">
        <v>1691</v>
      </c>
      <c r="Q14" s="1351" t="str">
        <f t="shared" si="6"/>
        <v>交通便捷度</v>
      </c>
      <c r="R14" s="704" t="s">
        <v>14</v>
      </c>
      <c r="S14" s="705">
        <f t="shared" si="0"/>
        <v>100</v>
      </c>
      <c r="T14" s="704" t="s">
        <v>14</v>
      </c>
      <c r="U14" s="705">
        <f t="shared" si="1"/>
        <v>100</v>
      </c>
      <c r="V14" s="704" t="s">
        <v>14</v>
      </c>
      <c r="W14" s="705">
        <f t="shared" si="2"/>
        <v>100</v>
      </c>
      <c r="X14" s="1354"/>
      <c r="Y14" s="3686" t="s">
        <v>1691</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687"/>
      <c r="Q15" s="1351"/>
      <c r="R15" s="704"/>
      <c r="S15" s="705"/>
      <c r="T15" s="704"/>
      <c r="U15" s="705"/>
      <c r="V15" s="704"/>
      <c r="W15" s="705"/>
      <c r="X15" s="1354"/>
      <c r="Y15" s="3687"/>
      <c r="Z15" s="1355"/>
      <c r="AA15" s="1352">
        <v>1</v>
      </c>
      <c r="AB15" s="1352">
        <v>1</v>
      </c>
      <c r="AC15" s="1352">
        <v>1</v>
      </c>
    </row>
    <row r="16" spans="1:29" ht="42.75">
      <c r="A16" s="378"/>
      <c r="B16" s="401" t="s">
        <v>1812</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687"/>
      <c r="Q16" s="1351" t="str">
        <f>B16</f>
        <v>公共配套设施</v>
      </c>
      <c r="R16" s="704" t="s">
        <v>14</v>
      </c>
      <c r="S16" s="705">
        <f>F16</f>
        <v>100</v>
      </c>
      <c r="T16" s="704" t="s">
        <v>14</v>
      </c>
      <c r="U16" s="705">
        <f>H16</f>
        <v>100</v>
      </c>
      <c r="V16" s="704" t="s">
        <v>14</v>
      </c>
      <c r="W16" s="705">
        <f>J16</f>
        <v>100</v>
      </c>
      <c r="X16" s="1354"/>
      <c r="Y16" s="3687"/>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687"/>
      <c r="Q17" s="1351"/>
      <c r="R17" s="704"/>
      <c r="S17" s="705"/>
      <c r="T17" s="704"/>
      <c r="U17" s="705"/>
      <c r="V17" s="704"/>
      <c r="W17" s="705"/>
      <c r="X17" s="1354"/>
      <c r="Y17" s="3687"/>
      <c r="Z17" s="1355"/>
      <c r="AA17" s="1352">
        <v>1</v>
      </c>
      <c r="AB17" s="1352">
        <v>1</v>
      </c>
      <c r="AC17" s="1352">
        <v>1</v>
      </c>
    </row>
    <row r="18" spans="1:29" ht="28.5">
      <c r="A18" s="378"/>
      <c r="B18" s="1130" t="s">
        <v>1813</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687"/>
      <c r="Q18" s="1351" t="str">
        <f>B18</f>
        <v>基础设施水平</v>
      </c>
      <c r="R18" s="704" t="s">
        <v>14</v>
      </c>
      <c r="S18" s="705">
        <f>F18</f>
        <v>100</v>
      </c>
      <c r="T18" s="704" t="s">
        <v>14</v>
      </c>
      <c r="U18" s="705">
        <f>H18</f>
        <v>100</v>
      </c>
      <c r="V18" s="704" t="s">
        <v>14</v>
      </c>
      <c r="W18" s="705">
        <f>J18</f>
        <v>100</v>
      </c>
      <c r="X18" s="1354"/>
      <c r="Y18" s="3687"/>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687"/>
      <c r="Q19" s="1351"/>
      <c r="R19" s="704"/>
      <c r="S19" s="705"/>
      <c r="T19" s="704"/>
      <c r="U19" s="705"/>
      <c r="V19" s="704"/>
      <c r="W19" s="705"/>
      <c r="X19" s="1354"/>
      <c r="Y19" s="3687"/>
      <c r="Z19" s="1355"/>
      <c r="AA19" s="1352">
        <v>1</v>
      </c>
      <c r="AB19" s="1352">
        <v>1</v>
      </c>
      <c r="AC19" s="1352">
        <v>1</v>
      </c>
    </row>
    <row r="20" spans="1:29" ht="57">
      <c r="A20" s="378"/>
      <c r="B20" s="401" t="s">
        <v>1834</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687"/>
      <c r="Q20" s="1351" t="str">
        <f>B20</f>
        <v>自然及人文环境</v>
      </c>
      <c r="R20" s="704" t="s">
        <v>14</v>
      </c>
      <c r="S20" s="705">
        <f>F20</f>
        <v>100</v>
      </c>
      <c r="T20" s="704" t="s">
        <v>14</v>
      </c>
      <c r="U20" s="705">
        <f>H20</f>
        <v>100</v>
      </c>
      <c r="V20" s="704" t="s">
        <v>14</v>
      </c>
      <c r="W20" s="705">
        <f>J20</f>
        <v>100</v>
      </c>
      <c r="X20" s="1354"/>
      <c r="Y20" s="3687"/>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687"/>
      <c r="Q21" s="1351"/>
      <c r="R21" s="704"/>
      <c r="S21" s="705"/>
      <c r="T21" s="704"/>
      <c r="U21" s="705"/>
      <c r="V21" s="704"/>
      <c r="W21" s="705"/>
      <c r="X21" s="1354"/>
      <c r="Y21" s="3687"/>
      <c r="Z21" s="1355"/>
      <c r="AA21" s="1352">
        <v>1</v>
      </c>
      <c r="AB21" s="1352">
        <v>1</v>
      </c>
      <c r="AC21" s="1352">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687"/>
      <c r="Q22" s="1351" t="str">
        <f>B22</f>
        <v>楼层</v>
      </c>
      <c r="R22" s="704" t="s">
        <v>14</v>
      </c>
      <c r="S22" s="705">
        <f>F22</f>
        <v>100</v>
      </c>
      <c r="T22" s="704" t="s">
        <v>14</v>
      </c>
      <c r="U22" s="705">
        <f>H22</f>
        <v>100</v>
      </c>
      <c r="V22" s="704" t="s">
        <v>14</v>
      </c>
      <c r="W22" s="705">
        <f>J22</f>
        <v>100</v>
      </c>
      <c r="X22" s="1354"/>
      <c r="Y22" s="3687"/>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687"/>
      <c r="Q23" s="1351">
        <f>B23</f>
        <v>111</v>
      </c>
      <c r="R23" s="704" t="s">
        <v>14</v>
      </c>
      <c r="S23" s="705">
        <f>F23</f>
        <v>100</v>
      </c>
      <c r="T23" s="704" t="s">
        <v>14</v>
      </c>
      <c r="U23" s="705">
        <f>H23</f>
        <v>100</v>
      </c>
      <c r="V23" s="704" t="s">
        <v>14</v>
      </c>
      <c r="W23" s="705">
        <f>J23</f>
        <v>100</v>
      </c>
      <c r="X23" s="1354"/>
      <c r="Y23" s="3687"/>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687"/>
      <c r="Q24" s="1351">
        <f t="shared" ref="Q24:Q34" si="11">B24</f>
        <v>111</v>
      </c>
      <c r="R24" s="704" t="s">
        <v>14</v>
      </c>
      <c r="S24" s="705">
        <f>F24</f>
        <v>100</v>
      </c>
      <c r="T24" s="704" t="s">
        <v>14</v>
      </c>
      <c r="U24" s="705">
        <f>H24</f>
        <v>100</v>
      </c>
      <c r="V24" s="704" t="s">
        <v>14</v>
      </c>
      <c r="W24" s="705">
        <f>J24</f>
        <v>100</v>
      </c>
      <c r="X24" s="1354"/>
      <c r="Y24" s="3687"/>
      <c r="Z24" s="1355">
        <f>Q24</f>
        <v>111</v>
      </c>
      <c r="AA24" s="1352">
        <f t="shared" si="3"/>
        <v>1</v>
      </c>
      <c r="AB24" s="1352">
        <f t="shared" si="4"/>
        <v>1</v>
      </c>
      <c r="AC24" s="1352">
        <f t="shared" si="5"/>
        <v>1</v>
      </c>
    </row>
    <row r="25" spans="1:29" s="107"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687"/>
      <c r="Q25" s="1342">
        <f t="shared" si="11"/>
        <v>111</v>
      </c>
      <c r="R25" s="700" t="s">
        <v>14</v>
      </c>
      <c r="S25" s="701">
        <f>F25</f>
        <v>100</v>
      </c>
      <c r="T25" s="700" t="s">
        <v>14</v>
      </c>
      <c r="U25" s="701">
        <f>H25</f>
        <v>100</v>
      </c>
      <c r="V25" s="700" t="s">
        <v>14</v>
      </c>
      <c r="W25" s="701">
        <f>J25</f>
        <v>100</v>
      </c>
      <c r="X25" s="702"/>
      <c r="Y25" s="3687"/>
      <c r="Z25" s="52">
        <f>Q25</f>
        <v>111</v>
      </c>
      <c r="AA25" s="1352">
        <f>D25/F25</f>
        <v>1</v>
      </c>
      <c r="AB25" s="1352">
        <f>D25/H25</f>
        <v>1</v>
      </c>
      <c r="AC25" s="1352">
        <f>D25/J25</f>
        <v>1</v>
      </c>
    </row>
    <row r="26" spans="1:29" ht="28.5">
      <c r="A26" s="416" t="s">
        <v>1694</v>
      </c>
      <c r="B26" s="63" t="s">
        <v>1838</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42"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1" t="s">
        <v>1696</v>
      </c>
      <c r="Z26" s="1355" t="str">
        <f t="shared" ref="Z26:Z34" si="15">Q26</f>
        <v>公共部分装修</v>
      </c>
      <c r="AA26" s="1352">
        <f t="shared" si="3"/>
        <v>1</v>
      </c>
      <c r="AB26" s="1352">
        <f t="shared" si="4"/>
        <v>1</v>
      </c>
      <c r="AC26" s="1352">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691"/>
      <c r="Q27" s="706" t="str">
        <f t="shared" si="11"/>
        <v>成新率</v>
      </c>
      <c r="R27" s="707" t="s">
        <v>14</v>
      </c>
      <c r="S27" s="708" t="e">
        <f t="shared" si="12"/>
        <v>#N/A</v>
      </c>
      <c r="T27" s="707" t="s">
        <v>14</v>
      </c>
      <c r="U27" s="708" t="e">
        <f t="shared" si="13"/>
        <v>#N/A</v>
      </c>
      <c r="V27" s="707" t="s">
        <v>14</v>
      </c>
      <c r="W27" s="708" t="e">
        <f t="shared" si="14"/>
        <v>#N/A</v>
      </c>
      <c r="X27" s="709"/>
      <c r="Y27" s="3691"/>
      <c r="Z27" s="710" t="str">
        <f t="shared" si="15"/>
        <v>成新率</v>
      </c>
      <c r="AA27" s="1352" t="e">
        <f t="shared" si="3"/>
        <v>#N/A</v>
      </c>
      <c r="AB27" s="1352" t="e">
        <f t="shared" si="4"/>
        <v>#N/A</v>
      </c>
      <c r="AC27" s="1352"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691"/>
      <c r="Q28" s="1351" t="str">
        <f t="shared" si="11"/>
        <v>物业等级</v>
      </c>
      <c r="R28" s="704" t="s">
        <v>14</v>
      </c>
      <c r="S28" s="705">
        <f t="shared" si="12"/>
        <v>100</v>
      </c>
      <c r="T28" s="704" t="s">
        <v>14</v>
      </c>
      <c r="U28" s="705">
        <f t="shared" si="13"/>
        <v>100</v>
      </c>
      <c r="V28" s="704" t="s">
        <v>14</v>
      </c>
      <c r="W28" s="705">
        <f t="shared" si="14"/>
        <v>100</v>
      </c>
      <c r="X28" s="1354"/>
      <c r="Y28" s="3691"/>
      <c r="Z28" s="1355" t="str">
        <f t="shared" si="15"/>
        <v>物业等级</v>
      </c>
      <c r="AA28" s="1352">
        <f t="shared" si="3"/>
        <v>1</v>
      </c>
      <c r="AB28" s="1352">
        <f t="shared" si="4"/>
        <v>1</v>
      </c>
      <c r="AC28" s="1352">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691"/>
      <c r="Q29" s="1351" t="str">
        <f t="shared" si="11"/>
        <v>有无电梯</v>
      </c>
      <c r="R29" s="704" t="s">
        <v>14</v>
      </c>
      <c r="S29" s="705">
        <f t="shared" si="12"/>
        <v>100</v>
      </c>
      <c r="T29" s="704" t="s">
        <v>14</v>
      </c>
      <c r="U29" s="705">
        <f t="shared" si="13"/>
        <v>100</v>
      </c>
      <c r="V29" s="704" t="s">
        <v>14</v>
      </c>
      <c r="W29" s="705">
        <f t="shared" si="14"/>
        <v>100</v>
      </c>
      <c r="X29" s="1354"/>
      <c r="Y29" s="3691"/>
      <c r="Z29" s="1355" t="str">
        <f t="shared" si="15"/>
        <v>有无电梯</v>
      </c>
      <c r="AA29" s="1352">
        <f t="shared" si="3"/>
        <v>1</v>
      </c>
      <c r="AB29" s="1352">
        <f t="shared" si="4"/>
        <v>1</v>
      </c>
      <c r="AC29" s="1352">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691"/>
      <c r="Q30" s="1351" t="str">
        <f t="shared" si="11"/>
        <v>建筑面积</v>
      </c>
      <c r="R30" s="704" t="s">
        <v>14</v>
      </c>
      <c r="S30" s="705" t="e">
        <f t="shared" si="12"/>
        <v>#N/A</v>
      </c>
      <c r="T30" s="704" t="s">
        <v>14</v>
      </c>
      <c r="U30" s="705" t="e">
        <f t="shared" si="13"/>
        <v>#N/A</v>
      </c>
      <c r="V30" s="704" t="s">
        <v>14</v>
      </c>
      <c r="W30" s="705" t="e">
        <f t="shared" si="14"/>
        <v>#N/A</v>
      </c>
      <c r="X30" s="1354"/>
      <c r="Y30" s="3691"/>
      <c r="Z30" s="1355" t="str">
        <f t="shared" si="15"/>
        <v>建筑面积</v>
      </c>
      <c r="AA30" s="1352" t="e">
        <f t="shared" si="3"/>
        <v>#N/A</v>
      </c>
      <c r="AB30" s="1352" t="e">
        <f t="shared" si="4"/>
        <v>#N/A</v>
      </c>
      <c r="AC30" s="1352"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691"/>
      <c r="Q31" s="1342" t="str">
        <f t="shared" si="11"/>
        <v>是否封闭</v>
      </c>
      <c r="R31" s="700" t="s">
        <v>14</v>
      </c>
      <c r="S31" s="701">
        <f t="shared" si="12"/>
        <v>100</v>
      </c>
      <c r="T31" s="700" t="s">
        <v>14</v>
      </c>
      <c r="U31" s="701">
        <f t="shared" si="13"/>
        <v>100</v>
      </c>
      <c r="V31" s="700" t="s">
        <v>14</v>
      </c>
      <c r="W31" s="701">
        <f t="shared" si="14"/>
        <v>100</v>
      </c>
      <c r="X31" s="702"/>
      <c r="Y31" s="3691"/>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691" t="s">
        <v>1696</v>
      </c>
      <c r="Q32" s="1351">
        <f t="shared" si="11"/>
        <v>111</v>
      </c>
      <c r="R32" s="704" t="s">
        <v>14</v>
      </c>
      <c r="S32" s="705">
        <f t="shared" si="12"/>
        <v>100</v>
      </c>
      <c r="T32" s="704" t="s">
        <v>14</v>
      </c>
      <c r="U32" s="705">
        <f t="shared" si="13"/>
        <v>100</v>
      </c>
      <c r="V32" s="704" t="s">
        <v>14</v>
      </c>
      <c r="W32" s="705">
        <f t="shared" si="14"/>
        <v>100</v>
      </c>
      <c r="X32" s="1354"/>
      <c r="Y32" s="3691" t="s">
        <v>1696</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691"/>
      <c r="Q33" s="1351">
        <f t="shared" si="11"/>
        <v>111</v>
      </c>
      <c r="R33" s="704" t="s">
        <v>14</v>
      </c>
      <c r="S33" s="705">
        <f t="shared" si="12"/>
        <v>100</v>
      </c>
      <c r="T33" s="704" t="s">
        <v>14</v>
      </c>
      <c r="U33" s="705">
        <f t="shared" si="13"/>
        <v>100</v>
      </c>
      <c r="V33" s="704" t="s">
        <v>14</v>
      </c>
      <c r="W33" s="705">
        <f t="shared" si="14"/>
        <v>100</v>
      </c>
      <c r="X33" s="1354"/>
      <c r="Y33" s="3691"/>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691"/>
      <c r="Q34" s="1351">
        <f t="shared" si="11"/>
        <v>111</v>
      </c>
      <c r="R34" s="704" t="s">
        <v>14</v>
      </c>
      <c r="S34" s="705">
        <f t="shared" si="12"/>
        <v>100</v>
      </c>
      <c r="T34" s="704" t="s">
        <v>14</v>
      </c>
      <c r="U34" s="705">
        <f t="shared" si="13"/>
        <v>100</v>
      </c>
      <c r="V34" s="704" t="s">
        <v>14</v>
      </c>
      <c r="W34" s="705">
        <f t="shared" si="14"/>
        <v>100</v>
      </c>
      <c r="X34" s="1354"/>
      <c r="Y34" s="3691"/>
      <c r="Z34" s="1355">
        <f t="shared" si="15"/>
        <v>111</v>
      </c>
      <c r="AA34" s="1352">
        <f t="shared" si="3"/>
        <v>1</v>
      </c>
      <c r="AB34" s="1352">
        <f t="shared" si="4"/>
        <v>1</v>
      </c>
      <c r="AC34" s="1352">
        <f t="shared" si="5"/>
        <v>1</v>
      </c>
    </row>
    <row r="35" spans="1:30" ht="15">
      <c r="A35" s="429" t="s">
        <v>1708</v>
      </c>
      <c r="B35" s="430"/>
      <c r="C35" s="1153" t="s">
        <v>0</v>
      </c>
      <c r="D35" s="1154"/>
      <c r="E35" s="1155"/>
      <c r="F35" s="1156"/>
      <c r="G35" s="1157"/>
      <c r="H35" s="1158"/>
      <c r="I35" s="1155"/>
      <c r="J35" s="1158"/>
      <c r="K35" s="713"/>
      <c r="L35" s="2723"/>
      <c r="M35" s="2724"/>
      <c r="N35" s="2715"/>
      <c r="O35" s="2724"/>
      <c r="P35" s="3684" t="str">
        <f>A35</f>
        <v>成交单价（元/平方米）</v>
      </c>
      <c r="Q35" s="3684"/>
      <c r="R35" s="3685">
        <f>E35</f>
        <v>0</v>
      </c>
      <c r="S35" s="3685"/>
      <c r="T35" s="3685">
        <f>G35</f>
        <v>0</v>
      </c>
      <c r="U35" s="3685"/>
      <c r="V35" s="3685">
        <f>I35</f>
        <v>0</v>
      </c>
      <c r="W35" s="3685"/>
      <c r="X35" s="689"/>
      <c r="Y35" s="711"/>
      <c r="Z35" s="689"/>
      <c r="AA35" s="689"/>
      <c r="AB35" s="689"/>
      <c r="AC35" s="689"/>
    </row>
    <row r="36" spans="1:30" ht="15.75" thickBot="1">
      <c r="A36" s="436" t="s">
        <v>1793</v>
      </c>
      <c r="B36" s="437"/>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89"/>
      <c r="Y36" s="689"/>
      <c r="Z36" s="689"/>
      <c r="AA36" s="689"/>
      <c r="AB36" s="689"/>
      <c r="AC36" s="689"/>
    </row>
    <row r="37" spans="1:30" ht="15.75" thickBot="1">
      <c r="A37" s="440" t="s">
        <v>1794</v>
      </c>
      <c r="B37" s="441"/>
      <c r="C37" s="1162" t="e">
        <f>R37</f>
        <v>#DIV/0!</v>
      </c>
      <c r="D37" s="1162"/>
      <c r="E37" s="1162"/>
      <c r="F37" s="1162"/>
      <c r="G37" s="1162"/>
      <c r="H37" s="1162"/>
      <c r="I37" s="1162"/>
      <c r="J37" s="1162"/>
      <c r="K37" s="714"/>
      <c r="L37" s="2723"/>
      <c r="M37" s="2724"/>
      <c r="N37" s="2724"/>
      <c r="O37" s="2724"/>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1679</v>
      </c>
      <c r="B46" s="454"/>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7"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75" thickBot="1">
      <c r="A48" s="463" t="s">
        <v>1716</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5">
      <c r="A49" s="469" t="s">
        <v>1681</v>
      </c>
      <c r="B49" s="458"/>
      <c r="C49" s="470" t="s">
        <v>1776</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1719</v>
      </c>
      <c r="B51" s="476" t="s">
        <v>1685</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1688</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1863</v>
      </c>
      <c r="C63" s="526" t="s">
        <v>1721</v>
      </c>
      <c r="D63" s="526" t="s">
        <v>1722</v>
      </c>
      <c r="E63" s="526" t="s">
        <v>1723</v>
      </c>
      <c r="F63" s="526" t="s">
        <v>1724</v>
      </c>
      <c r="G63" s="526" t="s">
        <v>1725</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1813</v>
      </c>
      <c r="C65" s="607" t="s">
        <v>1799</v>
      </c>
      <c r="D65" s="607" t="s">
        <v>1800</v>
      </c>
      <c r="E65" s="607" t="s">
        <v>1801</v>
      </c>
      <c r="F65" s="607" t="s">
        <v>1802</v>
      </c>
      <c r="G65" s="607" t="s">
        <v>1803</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1733</v>
      </c>
      <c r="C67" s="526" t="s">
        <v>1721</v>
      </c>
      <c r="D67" s="526" t="s">
        <v>1722</v>
      </c>
      <c r="E67" s="526" t="s">
        <v>1723</v>
      </c>
      <c r="F67" s="526" t="s">
        <v>1724</v>
      </c>
      <c r="G67" s="526" t="s">
        <v>1725</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1852</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1694</v>
      </c>
      <c r="B77" s="476" t="s">
        <v>1740</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1856</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1864</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1866</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8" sqref="E28"/>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30" ht="15">
      <c r="A5" s="357"/>
      <c r="B5" s="358"/>
      <c r="C5" s="3718" t="s">
        <v>1673</v>
      </c>
      <c r="D5" s="3719"/>
      <c r="E5" s="3725" t="s">
        <v>1674</v>
      </c>
      <c r="F5" s="3726"/>
      <c r="G5" s="3718" t="s">
        <v>1675</v>
      </c>
      <c r="H5" s="3719"/>
      <c r="I5" s="3718" t="s">
        <v>1676</v>
      </c>
      <c r="J5" s="3719"/>
      <c r="K5" s="558"/>
      <c r="L5" s="2714"/>
      <c r="M5" s="2715"/>
      <c r="N5" s="2715"/>
      <c r="O5" s="2715"/>
      <c r="P5" s="3705"/>
      <c r="Q5" s="3706"/>
      <c r="R5" s="3711"/>
      <c r="S5" s="3712"/>
      <c r="T5" s="3711"/>
      <c r="U5" s="3712"/>
      <c r="V5" s="3715"/>
      <c r="W5" s="3715"/>
      <c r="X5" s="1354"/>
      <c r="Y5" s="3711"/>
      <c r="Z5" s="3712"/>
      <c r="AA5" s="3697"/>
      <c r="AB5" s="3697"/>
      <c r="AC5" s="3697"/>
    </row>
    <row r="6" spans="1:30" ht="15.75" thickBot="1">
      <c r="A6" s="359"/>
      <c r="B6" s="360"/>
      <c r="C6" s="3716" t="s">
        <v>1677</v>
      </c>
      <c r="D6" s="3717"/>
      <c r="E6" s="3723" t="s">
        <v>1677</v>
      </c>
      <c r="F6" s="3724"/>
      <c r="G6" s="3716" t="s">
        <v>1677</v>
      </c>
      <c r="H6" s="3717"/>
      <c r="I6" s="3716" t="s">
        <v>1677</v>
      </c>
      <c r="J6" s="3717"/>
      <c r="K6" s="558" t="s">
        <v>1678</v>
      </c>
      <c r="L6" s="2714"/>
      <c r="M6" s="2715"/>
      <c r="N6" s="2715"/>
      <c r="O6" s="2715"/>
      <c r="P6" s="3707"/>
      <c r="Q6" s="3708"/>
      <c r="R6" s="3711"/>
      <c r="S6" s="3712"/>
      <c r="T6" s="3713"/>
      <c r="U6" s="3714"/>
      <c r="V6" s="3715"/>
      <c r="W6" s="3715"/>
      <c r="X6" s="1354"/>
      <c r="Y6" s="3713"/>
      <c r="Z6" s="3714"/>
      <c r="AA6" s="3698"/>
      <c r="AB6" s="3698"/>
      <c r="AC6" s="3698"/>
    </row>
    <row r="7" spans="1:30" s="107" customFormat="1" ht="15.75" thickBot="1">
      <c r="A7" s="361" t="s">
        <v>1679</v>
      </c>
      <c r="B7" s="362"/>
      <c r="C7" s="363">
        <f>'数据-取费表'!B2</f>
        <v>45230</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20"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703"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20" t="s">
        <v>1683</v>
      </c>
      <c r="Q8" s="3721"/>
      <c r="R8" s="700" t="s">
        <v>14</v>
      </c>
      <c r="S8" s="701">
        <f t="shared" si="0"/>
        <v>0</v>
      </c>
      <c r="T8" s="700" t="s">
        <v>14</v>
      </c>
      <c r="U8" s="701">
        <f t="shared" si="1"/>
        <v>0</v>
      </c>
      <c r="V8" s="700" t="s">
        <v>14</v>
      </c>
      <c r="W8" s="701">
        <f t="shared" si="2"/>
        <v>0</v>
      </c>
      <c r="X8" s="702"/>
      <c r="Y8" s="3720" t="s">
        <v>1683</v>
      </c>
      <c r="Z8" s="3721"/>
      <c r="AA8" s="703" t="e">
        <f t="shared" ref="AA8:AA45" si="3">D8/F8</f>
        <v>#DIV/0!</v>
      </c>
      <c r="AB8" s="703" t="e">
        <f t="shared" ref="AB8:AB45" si="4">D8/H8</f>
        <v>#DIV/0!</v>
      </c>
      <c r="AC8" s="703" t="e">
        <f t="shared" ref="AC8:AC45" si="5">D8/J8</f>
        <v>#DIV/0!</v>
      </c>
    </row>
    <row r="9" spans="1:30" s="107" customFormat="1">
      <c r="A9" s="368" t="s">
        <v>1684</v>
      </c>
      <c r="B9" s="63" t="s">
        <v>1685</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68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5"/>
      <c r="F10" s="126">
        <f>ROUND(100/'数据-取费表'!G16,0)</f>
        <v>113</v>
      </c>
      <c r="G10" s="413"/>
      <c r="H10" s="126">
        <f>ROUND(100/'数据-取费表'!G16,0)</f>
        <v>113</v>
      </c>
      <c r="I10" s="413"/>
      <c r="J10" s="126">
        <f>ROUND(100/'数据-取费表'!G16,0)</f>
        <v>113</v>
      </c>
      <c r="K10" s="619"/>
      <c r="L10" s="2718"/>
      <c r="M10" s="2719"/>
      <c r="N10" s="2719"/>
      <c r="O10" s="2772"/>
      <c r="P10" s="3684"/>
      <c r="Q10" s="1342" t="str">
        <f t="shared" si="6"/>
        <v>土地使用年限（年）</v>
      </c>
      <c r="R10" s="700" t="s">
        <v>14</v>
      </c>
      <c r="S10" s="701">
        <f t="shared" si="0"/>
        <v>113</v>
      </c>
      <c r="T10" s="700" t="s">
        <v>14</v>
      </c>
      <c r="U10" s="701">
        <f t="shared" si="1"/>
        <v>113</v>
      </c>
      <c r="V10" s="700" t="s">
        <v>14</v>
      </c>
      <c r="W10" s="701">
        <f t="shared" si="2"/>
        <v>113</v>
      </c>
      <c r="X10" s="702"/>
      <c r="Y10" s="3559"/>
      <c r="Z10" s="52" t="str">
        <f t="shared" si="7"/>
        <v>土地使用年限（年）</v>
      </c>
      <c r="AA10" s="703">
        <f t="shared" si="3"/>
        <v>0.88495575221238942</v>
      </c>
      <c r="AB10" s="703">
        <f t="shared" si="4"/>
        <v>0.88495575221238942</v>
      </c>
      <c r="AC10" s="703">
        <f t="shared" si="5"/>
        <v>0.88495575221238942</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684"/>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30" s="107" customFormat="1" ht="15">
      <c r="A12" s="381"/>
      <c r="B12" s="1892" t="s">
        <v>1870</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684"/>
      <c r="Q12" s="1342" t="str">
        <f t="shared" si="6"/>
        <v>配建</v>
      </c>
      <c r="R12" s="700" t="s">
        <v>14</v>
      </c>
      <c r="S12" s="701">
        <f t="shared" si="0"/>
        <v>100</v>
      </c>
      <c r="T12" s="700" t="s">
        <v>14</v>
      </c>
      <c r="U12" s="701">
        <f t="shared" si="1"/>
        <v>100</v>
      </c>
      <c r="V12" s="700" t="s">
        <v>14</v>
      </c>
      <c r="W12" s="701">
        <f t="shared" si="2"/>
        <v>100</v>
      </c>
      <c r="X12" s="702"/>
      <c r="Y12" s="3559"/>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684"/>
      <c r="Q14" s="1342">
        <f t="shared" si="6"/>
        <v>111</v>
      </c>
      <c r="R14" s="700" t="s">
        <v>14</v>
      </c>
      <c r="S14" s="701">
        <f t="shared" si="0"/>
        <v>100</v>
      </c>
      <c r="T14" s="700" t="s">
        <v>14</v>
      </c>
      <c r="U14" s="701">
        <f t="shared" si="1"/>
        <v>100</v>
      </c>
      <c r="V14" s="700" t="s">
        <v>14</v>
      </c>
      <c r="W14" s="701">
        <f t="shared" si="2"/>
        <v>100</v>
      </c>
      <c r="X14" s="702"/>
      <c r="Y14" s="3559"/>
      <c r="Z14" s="52">
        <f t="shared" si="7"/>
        <v>111</v>
      </c>
      <c r="AA14" s="703">
        <f>D14/F14</f>
        <v>1</v>
      </c>
      <c r="AB14" s="703">
        <f>D14/H14</f>
        <v>1</v>
      </c>
      <c r="AC14" s="703">
        <f>D14/J14</f>
        <v>1</v>
      </c>
    </row>
    <row r="15" spans="1:30" ht="99.75">
      <c r="A15" s="390" t="s">
        <v>1690</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686" t="s">
        <v>1691</v>
      </c>
      <c r="Q15" s="1351" t="str">
        <f t="shared" si="6"/>
        <v>居住社区成熟度</v>
      </c>
      <c r="R15" s="704" t="s">
        <v>14</v>
      </c>
      <c r="S15" s="705">
        <f t="shared" si="0"/>
        <v>100</v>
      </c>
      <c r="T15" s="704" t="s">
        <v>14</v>
      </c>
      <c r="U15" s="705">
        <f t="shared" si="1"/>
        <v>100</v>
      </c>
      <c r="V15" s="704" t="s">
        <v>14</v>
      </c>
      <c r="W15" s="705">
        <f t="shared" si="2"/>
        <v>100</v>
      </c>
      <c r="X15" s="1354"/>
      <c r="Y15" s="3686" t="s">
        <v>1691</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687"/>
      <c r="Q16" s="1351"/>
      <c r="R16" s="704"/>
      <c r="S16" s="705"/>
      <c r="T16" s="704"/>
      <c r="U16" s="705"/>
      <c r="V16" s="704"/>
      <c r="W16" s="705"/>
      <c r="X16" s="1354"/>
      <c r="Y16" s="3687"/>
      <c r="Z16" s="1355"/>
      <c r="AA16" s="1352">
        <v>1</v>
      </c>
      <c r="AB16" s="1352">
        <v>1</v>
      </c>
      <c r="AC16" s="1352">
        <v>1</v>
      </c>
    </row>
    <row r="17" spans="1:29" ht="71.25">
      <c r="A17" s="378"/>
      <c r="B17" s="401" t="s">
        <v>1777</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687"/>
      <c r="Q17" s="1351" t="str">
        <f>B17</f>
        <v>商业繁华度</v>
      </c>
      <c r="R17" s="704" t="s">
        <v>14</v>
      </c>
      <c r="S17" s="705">
        <f>F17</f>
        <v>100</v>
      </c>
      <c r="T17" s="704" t="s">
        <v>14</v>
      </c>
      <c r="U17" s="705">
        <f>H17</f>
        <v>100</v>
      </c>
      <c r="V17" s="704" t="s">
        <v>14</v>
      </c>
      <c r="W17" s="705">
        <f>J17</f>
        <v>100</v>
      </c>
      <c r="X17" s="1354"/>
      <c r="Y17" s="3687"/>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687"/>
      <c r="Q18" s="1351"/>
      <c r="R18" s="704"/>
      <c r="S18" s="705"/>
      <c r="T18" s="704"/>
      <c r="U18" s="705"/>
      <c r="V18" s="704"/>
      <c r="W18" s="705"/>
      <c r="X18" s="1354"/>
      <c r="Y18" s="3687"/>
      <c r="Z18" s="1355"/>
      <c r="AA18" s="1352">
        <v>1</v>
      </c>
      <c r="AB18" s="1352">
        <v>1</v>
      </c>
      <c r="AC18" s="1352">
        <v>1</v>
      </c>
    </row>
    <row r="19" spans="1:29" ht="71.25">
      <c r="A19" s="378"/>
      <c r="B19" s="401" t="s">
        <v>1811</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687"/>
      <c r="Q19" s="1351" t="str">
        <f>B19</f>
        <v>办公集聚程度</v>
      </c>
      <c r="R19" s="704" t="s">
        <v>14</v>
      </c>
      <c r="S19" s="705">
        <f>F19</f>
        <v>100</v>
      </c>
      <c r="T19" s="704" t="s">
        <v>14</v>
      </c>
      <c r="U19" s="705">
        <f>H19</f>
        <v>100</v>
      </c>
      <c r="V19" s="704" t="s">
        <v>14</v>
      </c>
      <c r="W19" s="705">
        <f>J19</f>
        <v>100</v>
      </c>
      <c r="X19" s="1354"/>
      <c r="Y19" s="3687"/>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687"/>
      <c r="Q20" s="1351"/>
      <c r="R20" s="704"/>
      <c r="S20" s="705"/>
      <c r="T20" s="704"/>
      <c r="U20" s="705"/>
      <c r="V20" s="704"/>
      <c r="W20" s="705"/>
      <c r="X20" s="1354"/>
      <c r="Y20" s="3687"/>
      <c r="Z20" s="1355"/>
      <c r="AA20" s="1352">
        <v>1</v>
      </c>
      <c r="AB20" s="1352">
        <v>1</v>
      </c>
      <c r="AC20" s="1352">
        <v>1</v>
      </c>
    </row>
    <row r="21" spans="1:29" ht="85.5">
      <c r="A21" s="378"/>
      <c r="B21" s="401" t="s">
        <v>1833</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687"/>
      <c r="Q21" s="1351" t="str">
        <f>B21</f>
        <v>交通便捷度</v>
      </c>
      <c r="R21" s="704" t="s">
        <v>14</v>
      </c>
      <c r="S21" s="705">
        <f>F21</f>
        <v>100</v>
      </c>
      <c r="T21" s="704" t="s">
        <v>14</v>
      </c>
      <c r="U21" s="705">
        <f>H21</f>
        <v>100</v>
      </c>
      <c r="V21" s="704" t="s">
        <v>14</v>
      </c>
      <c r="W21" s="705">
        <f>J21</f>
        <v>100</v>
      </c>
      <c r="X21" s="1354"/>
      <c r="Y21" s="3687"/>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687"/>
      <c r="Q22" s="1351"/>
      <c r="R22" s="704"/>
      <c r="S22" s="705"/>
      <c r="T22" s="704"/>
      <c r="U22" s="705"/>
      <c r="V22" s="704"/>
      <c r="W22" s="705"/>
      <c r="X22" s="1354"/>
      <c r="Y22" s="3687"/>
      <c r="Z22" s="1355"/>
      <c r="AA22" s="1352">
        <v>1</v>
      </c>
      <c r="AB22" s="1352">
        <v>1</v>
      </c>
      <c r="AC22" s="1352">
        <v>1</v>
      </c>
    </row>
    <row r="23" spans="1:29" ht="15">
      <c r="A23" s="357"/>
      <c r="B23" s="401" t="s">
        <v>1871</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687"/>
      <c r="Q23" s="1351" t="str">
        <f t="shared" ref="Q23:Q37" si="8">B23</f>
        <v>区域土地利用方向</v>
      </c>
      <c r="R23" s="704" t="s">
        <v>14</v>
      </c>
      <c r="S23" s="705">
        <f>F23</f>
        <v>100</v>
      </c>
      <c r="T23" s="704" t="s">
        <v>14</v>
      </c>
      <c r="U23" s="705">
        <f>H23</f>
        <v>100</v>
      </c>
      <c r="V23" s="704" t="s">
        <v>14</v>
      </c>
      <c r="W23" s="705">
        <f>J23</f>
        <v>100</v>
      </c>
      <c r="X23" s="1354"/>
      <c r="Y23" s="3687"/>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687"/>
      <c r="Q24" s="1351"/>
      <c r="R24" s="704"/>
      <c r="S24" s="705"/>
      <c r="T24" s="704"/>
      <c r="U24" s="705"/>
      <c r="V24" s="704"/>
      <c r="W24" s="705"/>
      <c r="X24" s="1354"/>
      <c r="Y24" s="3687"/>
      <c r="Z24" s="1355"/>
      <c r="AA24" s="1352"/>
      <c r="AB24" s="1352"/>
      <c r="AC24" s="1352"/>
    </row>
    <row r="25" spans="1:29" ht="57">
      <c r="A25" s="357"/>
      <c r="B25" s="1130" t="s">
        <v>1872</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687"/>
      <c r="Q25" s="1351" t="str">
        <f t="shared" si="8"/>
        <v>自然及人文环境状况</v>
      </c>
      <c r="R25" s="704" t="s">
        <v>14</v>
      </c>
      <c r="S25" s="705">
        <f>F25</f>
        <v>100</v>
      </c>
      <c r="T25" s="704" t="s">
        <v>14</v>
      </c>
      <c r="U25" s="705">
        <f>H25</f>
        <v>100</v>
      </c>
      <c r="V25" s="704" t="s">
        <v>14</v>
      </c>
      <c r="W25" s="705">
        <f>J25</f>
        <v>100</v>
      </c>
      <c r="X25" s="1354"/>
      <c r="Y25" s="3687"/>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687"/>
      <c r="Q26" s="1351"/>
      <c r="R26" s="704"/>
      <c r="S26" s="705"/>
      <c r="T26" s="704"/>
      <c r="U26" s="705"/>
      <c r="V26" s="704"/>
      <c r="W26" s="705"/>
      <c r="X26" s="1354"/>
      <c r="Y26" s="3687"/>
      <c r="Z26" s="1355"/>
      <c r="AA26" s="1352">
        <v>1</v>
      </c>
      <c r="AB26" s="1352">
        <v>1</v>
      </c>
      <c r="AC26" s="1352">
        <v>1</v>
      </c>
    </row>
    <row r="27" spans="1:29" s="107" customFormat="1" ht="42.75">
      <c r="A27" s="596"/>
      <c r="B27" s="1130" t="s">
        <v>1778</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687"/>
      <c r="Q27" s="1342" t="str">
        <f t="shared" si="8"/>
        <v>公共配套设施</v>
      </c>
      <c r="R27" s="700" t="s">
        <v>14</v>
      </c>
      <c r="S27" s="701">
        <f>F27</f>
        <v>100</v>
      </c>
      <c r="T27" s="700" t="s">
        <v>14</v>
      </c>
      <c r="U27" s="701">
        <f>H27</f>
        <v>100</v>
      </c>
      <c r="V27" s="700" t="s">
        <v>14</v>
      </c>
      <c r="W27" s="701">
        <f>J27</f>
        <v>100</v>
      </c>
      <c r="X27" s="702"/>
      <c r="Y27" s="3687"/>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687"/>
      <c r="Q28" s="1342"/>
      <c r="R28" s="700"/>
      <c r="S28" s="701"/>
      <c r="T28" s="700"/>
      <c r="U28" s="701"/>
      <c r="V28" s="700"/>
      <c r="W28" s="701"/>
      <c r="X28" s="702"/>
      <c r="Y28" s="3687"/>
      <c r="Z28" s="52"/>
      <c r="AA28" s="1352">
        <v>1</v>
      </c>
      <c r="AB28" s="1352">
        <v>1</v>
      </c>
      <c r="AC28" s="1352">
        <v>1</v>
      </c>
    </row>
    <row r="29" spans="1:29" s="107" customFormat="1" ht="28.5">
      <c r="A29" s="596"/>
      <c r="B29" s="1130" t="s">
        <v>1779</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687"/>
      <c r="Q29" s="1342" t="str">
        <f t="shared" ref="Q29" si="9">B29</f>
        <v>基础设施水平</v>
      </c>
      <c r="R29" s="700" t="s">
        <v>14</v>
      </c>
      <c r="S29" s="701">
        <f>F29</f>
        <v>100</v>
      </c>
      <c r="T29" s="700" t="s">
        <v>14</v>
      </c>
      <c r="U29" s="701">
        <f>H29</f>
        <v>100</v>
      </c>
      <c r="V29" s="700" t="s">
        <v>14</v>
      </c>
      <c r="W29" s="701">
        <f>J29</f>
        <v>100</v>
      </c>
      <c r="X29" s="702"/>
      <c r="Y29" s="3687"/>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687"/>
      <c r="Q30" s="1342"/>
      <c r="R30" s="700"/>
      <c r="S30" s="701"/>
      <c r="T30" s="700"/>
      <c r="U30" s="701"/>
      <c r="V30" s="700"/>
      <c r="W30" s="701"/>
      <c r="X30" s="702"/>
      <c r="Y30" s="3687"/>
      <c r="Z30" s="52"/>
      <c r="AA30" s="1352">
        <v>1</v>
      </c>
      <c r="AB30" s="1352">
        <v>1</v>
      </c>
      <c r="AC30" s="1352">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68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7"/>
      <c r="Z31" s="1355" t="str">
        <f t="shared" ref="Z31:Z45" si="13">Q31</f>
        <v>临街状况</v>
      </c>
      <c r="AA31" s="1352">
        <f t="shared" si="3"/>
        <v>1</v>
      </c>
      <c r="AB31" s="1352">
        <f t="shared" si="4"/>
        <v>1</v>
      </c>
      <c r="AC31" s="1352">
        <f t="shared" si="5"/>
        <v>1</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687"/>
      <c r="Q32" s="1351" t="str">
        <f t="shared" si="8"/>
        <v>毗邻道路的类型与等级</v>
      </c>
      <c r="R32" s="704" t="s">
        <v>14</v>
      </c>
      <c r="S32" s="705">
        <f t="shared" si="10"/>
        <v>100</v>
      </c>
      <c r="T32" s="704" t="s">
        <v>14</v>
      </c>
      <c r="U32" s="705">
        <f t="shared" si="11"/>
        <v>100</v>
      </c>
      <c r="V32" s="704" t="s">
        <v>14</v>
      </c>
      <c r="W32" s="705">
        <f t="shared" si="12"/>
        <v>100</v>
      </c>
      <c r="X32" s="1354"/>
      <c r="Y32" s="3687"/>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687"/>
      <c r="Q33" s="1351"/>
      <c r="R33" s="704"/>
      <c r="S33" s="705"/>
      <c r="T33" s="704"/>
      <c r="U33" s="705"/>
      <c r="V33" s="704"/>
      <c r="W33" s="705"/>
      <c r="X33" s="1354"/>
      <c r="Y33" s="3687"/>
      <c r="Z33" s="1355"/>
      <c r="AA33" s="1352">
        <v>1</v>
      </c>
      <c r="AB33" s="1352">
        <v>1</v>
      </c>
      <c r="AC33" s="1352">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687"/>
      <c r="Q34" s="1351" t="str">
        <f t="shared" si="8"/>
        <v>土地级别</v>
      </c>
      <c r="R34" s="704" t="s">
        <v>14</v>
      </c>
      <c r="S34" s="705">
        <f t="shared" si="10"/>
        <v>100</v>
      </c>
      <c r="T34" s="704" t="s">
        <v>14</v>
      </c>
      <c r="U34" s="705">
        <f t="shared" si="11"/>
        <v>100</v>
      </c>
      <c r="V34" s="704" t="s">
        <v>14</v>
      </c>
      <c r="W34" s="705">
        <f t="shared" si="12"/>
        <v>100</v>
      </c>
      <c r="X34" s="1354"/>
      <c r="Y34" s="3687"/>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687"/>
      <c r="Q35" s="1351">
        <f t="shared" si="8"/>
        <v>111</v>
      </c>
      <c r="R35" s="704" t="s">
        <v>14</v>
      </c>
      <c r="S35" s="705">
        <f t="shared" si="10"/>
        <v>100</v>
      </c>
      <c r="T35" s="704" t="s">
        <v>14</v>
      </c>
      <c r="U35" s="705">
        <f t="shared" si="11"/>
        <v>100</v>
      </c>
      <c r="V35" s="704" t="s">
        <v>14</v>
      </c>
      <c r="W35" s="705">
        <f t="shared" si="12"/>
        <v>100</v>
      </c>
      <c r="X35" s="1354"/>
      <c r="Y35" s="3687"/>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42" t="s">
        <v>1696</v>
      </c>
      <c r="Q36" s="1351">
        <f t="shared" si="8"/>
        <v>111</v>
      </c>
      <c r="R36" s="704" t="s">
        <v>14</v>
      </c>
      <c r="S36" s="705">
        <f t="shared" si="10"/>
        <v>100</v>
      </c>
      <c r="T36" s="704" t="s">
        <v>14</v>
      </c>
      <c r="U36" s="705">
        <f t="shared" si="11"/>
        <v>100</v>
      </c>
      <c r="V36" s="704" t="s">
        <v>14</v>
      </c>
      <c r="W36" s="705">
        <f t="shared" si="12"/>
        <v>100</v>
      </c>
      <c r="X36" s="1354"/>
      <c r="Y36" s="3691" t="s">
        <v>1696</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691"/>
      <c r="Q37" s="1351">
        <f t="shared" si="8"/>
        <v>111</v>
      </c>
      <c r="R37" s="707" t="s">
        <v>14</v>
      </c>
      <c r="S37" s="708">
        <f t="shared" si="10"/>
        <v>100</v>
      </c>
      <c r="T37" s="707" t="s">
        <v>14</v>
      </c>
      <c r="U37" s="708">
        <f t="shared" si="11"/>
        <v>100</v>
      </c>
      <c r="V37" s="707" t="s">
        <v>14</v>
      </c>
      <c r="W37" s="708">
        <f t="shared" si="12"/>
        <v>100</v>
      </c>
      <c r="X37" s="709"/>
      <c r="Y37" s="3691"/>
      <c r="Z37" s="710">
        <f t="shared" si="13"/>
        <v>111</v>
      </c>
      <c r="AA37" s="1352">
        <f t="shared" si="3"/>
        <v>1</v>
      </c>
      <c r="AB37" s="1352">
        <f t="shared" si="4"/>
        <v>1</v>
      </c>
      <c r="AC37" s="1352">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691"/>
      <c r="Q38" s="1351" t="str">
        <f>B38</f>
        <v>宗地面积</v>
      </c>
      <c r="R38" s="704" t="s">
        <v>14</v>
      </c>
      <c r="S38" s="705" t="e">
        <f t="shared" si="10"/>
        <v>#N/A</v>
      </c>
      <c r="T38" s="704" t="s">
        <v>14</v>
      </c>
      <c r="U38" s="705" t="e">
        <f t="shared" si="11"/>
        <v>#N/A</v>
      </c>
      <c r="V38" s="704" t="s">
        <v>14</v>
      </c>
      <c r="W38" s="705" t="e">
        <f t="shared" si="12"/>
        <v>#N/A</v>
      </c>
      <c r="X38" s="1354"/>
      <c r="Y38" s="3691"/>
      <c r="Z38" s="1355" t="str">
        <f t="shared" si="13"/>
        <v>宗地面积</v>
      </c>
      <c r="AA38" s="1352" t="e">
        <f t="shared" si="3"/>
        <v>#N/A</v>
      </c>
      <c r="AB38" s="1352" t="e">
        <f t="shared" si="4"/>
        <v>#N/A</v>
      </c>
      <c r="AC38" s="1352" t="e">
        <f t="shared" si="5"/>
        <v>#N/A</v>
      </c>
    </row>
    <row r="39" spans="1:29" ht="15">
      <c r="A39" s="422"/>
      <c r="B39" s="374" t="s">
        <v>1875</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691"/>
      <c r="Q39" s="1351" t="str">
        <f t="shared" ref="Q39:Q45" si="14">B39</f>
        <v>宗地形状</v>
      </c>
      <c r="R39" s="704" t="s">
        <v>14</v>
      </c>
      <c r="S39" s="705">
        <f t="shared" si="10"/>
        <v>100</v>
      </c>
      <c r="T39" s="704" t="s">
        <v>14</v>
      </c>
      <c r="U39" s="705">
        <f t="shared" si="11"/>
        <v>100</v>
      </c>
      <c r="V39" s="704" t="s">
        <v>14</v>
      </c>
      <c r="W39" s="705">
        <f t="shared" si="12"/>
        <v>100</v>
      </c>
      <c r="X39" s="1354"/>
      <c r="Y39" s="3691"/>
      <c r="Z39" s="1355" t="str">
        <f t="shared" si="13"/>
        <v>宗地形状</v>
      </c>
      <c r="AA39" s="1352">
        <f t="shared" si="3"/>
        <v>1</v>
      </c>
      <c r="AB39" s="1352">
        <f t="shared" si="4"/>
        <v>1</v>
      </c>
      <c r="AC39" s="1352">
        <f t="shared" si="5"/>
        <v>1</v>
      </c>
    </row>
    <row r="40" spans="1:29" ht="15">
      <c r="A40" s="422"/>
      <c r="B40" s="374" t="s">
        <v>1876</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691"/>
      <c r="Q40" s="1351" t="str">
        <f t="shared" si="14"/>
        <v>临街宽度及深度</v>
      </c>
      <c r="R40" s="704" t="s">
        <v>14</v>
      </c>
      <c r="S40" s="705">
        <f t="shared" si="10"/>
        <v>100</v>
      </c>
      <c r="T40" s="704" t="s">
        <v>14</v>
      </c>
      <c r="U40" s="705">
        <f t="shared" si="11"/>
        <v>100</v>
      </c>
      <c r="V40" s="704" t="s">
        <v>14</v>
      </c>
      <c r="W40" s="705">
        <f t="shared" si="12"/>
        <v>100</v>
      </c>
      <c r="X40" s="1354"/>
      <c r="Y40" s="3691"/>
      <c r="Z40" s="1355" t="str">
        <f t="shared" si="13"/>
        <v>临街宽度及深度</v>
      </c>
      <c r="AA40" s="1352">
        <f t="shared" si="3"/>
        <v>1</v>
      </c>
      <c r="AB40" s="1352">
        <f t="shared" si="4"/>
        <v>1</v>
      </c>
      <c r="AC40" s="1352">
        <f t="shared" si="5"/>
        <v>1</v>
      </c>
    </row>
    <row r="41" spans="1:29" s="107" customFormat="1" ht="15">
      <c r="A41" s="423"/>
      <c r="B41" s="374" t="s">
        <v>1877</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691"/>
      <c r="Q41" s="1351" t="str">
        <f t="shared" si="14"/>
        <v>宗地开发程度</v>
      </c>
      <c r="R41" s="700" t="s">
        <v>14</v>
      </c>
      <c r="S41" s="701">
        <f t="shared" si="10"/>
        <v>100</v>
      </c>
      <c r="T41" s="700" t="s">
        <v>14</v>
      </c>
      <c r="U41" s="701">
        <f t="shared" si="11"/>
        <v>100</v>
      </c>
      <c r="V41" s="700" t="s">
        <v>14</v>
      </c>
      <c r="W41" s="701">
        <f t="shared" si="12"/>
        <v>100</v>
      </c>
      <c r="X41" s="702"/>
      <c r="Y41" s="3691"/>
      <c r="Z41" s="52" t="str">
        <f t="shared" si="13"/>
        <v>宗地开发程度</v>
      </c>
      <c r="AA41" s="703">
        <f t="shared" si="3"/>
        <v>1</v>
      </c>
      <c r="AB41" s="703">
        <f t="shared" si="4"/>
        <v>1</v>
      </c>
      <c r="AC41" s="703">
        <f t="shared" si="5"/>
        <v>1</v>
      </c>
    </row>
    <row r="42" spans="1:29" ht="15">
      <c r="A42" s="422"/>
      <c r="B42" s="374" t="s">
        <v>1878</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691" t="s">
        <v>1696</v>
      </c>
      <c r="Q42" s="1351" t="str">
        <f t="shared" si="14"/>
        <v>工程地质条件</v>
      </c>
      <c r="R42" s="704" t="s">
        <v>14</v>
      </c>
      <c r="S42" s="705">
        <f t="shared" si="10"/>
        <v>100</v>
      </c>
      <c r="T42" s="704" t="s">
        <v>14</v>
      </c>
      <c r="U42" s="705">
        <f t="shared" si="11"/>
        <v>100</v>
      </c>
      <c r="V42" s="704" t="s">
        <v>14</v>
      </c>
      <c r="W42" s="705">
        <f t="shared" si="12"/>
        <v>100</v>
      </c>
      <c r="X42" s="1354"/>
      <c r="Y42" s="3691" t="s">
        <v>1696</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691"/>
      <c r="Q43" s="1351">
        <f t="shared" si="14"/>
        <v>111</v>
      </c>
      <c r="R43" s="704" t="s">
        <v>14</v>
      </c>
      <c r="S43" s="705">
        <f t="shared" si="10"/>
        <v>100</v>
      </c>
      <c r="T43" s="704" t="s">
        <v>14</v>
      </c>
      <c r="U43" s="705">
        <f t="shared" si="11"/>
        <v>100</v>
      </c>
      <c r="V43" s="704" t="s">
        <v>14</v>
      </c>
      <c r="W43" s="705">
        <f t="shared" si="12"/>
        <v>100</v>
      </c>
      <c r="X43" s="1354"/>
      <c r="Y43" s="3691"/>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691"/>
      <c r="Q44" s="1351">
        <f t="shared" si="14"/>
        <v>111</v>
      </c>
      <c r="R44" s="704" t="s">
        <v>14</v>
      </c>
      <c r="S44" s="705">
        <f t="shared" si="10"/>
        <v>100</v>
      </c>
      <c r="T44" s="704" t="s">
        <v>14</v>
      </c>
      <c r="U44" s="705">
        <f t="shared" si="11"/>
        <v>100</v>
      </c>
      <c r="V44" s="704" t="s">
        <v>14</v>
      </c>
      <c r="W44" s="705">
        <f t="shared" si="12"/>
        <v>100</v>
      </c>
      <c r="X44" s="1354"/>
      <c r="Y44" s="3691"/>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691"/>
      <c r="Q45" s="1351">
        <f t="shared" si="14"/>
        <v>111</v>
      </c>
      <c r="R45" s="707" t="s">
        <v>14</v>
      </c>
      <c r="S45" s="708">
        <f t="shared" si="10"/>
        <v>100</v>
      </c>
      <c r="T45" s="707" t="s">
        <v>14</v>
      </c>
      <c r="U45" s="708">
        <f t="shared" si="11"/>
        <v>100</v>
      </c>
      <c r="V45" s="707" t="s">
        <v>14</v>
      </c>
      <c r="W45" s="708">
        <f t="shared" si="12"/>
        <v>100</v>
      </c>
      <c r="X45" s="709"/>
      <c r="Y45" s="3691"/>
      <c r="Z45" s="710">
        <f t="shared" si="13"/>
        <v>111</v>
      </c>
      <c r="AA45" s="1352">
        <f t="shared" si="3"/>
        <v>1</v>
      </c>
      <c r="AB45" s="1352">
        <f t="shared" si="4"/>
        <v>1</v>
      </c>
      <c r="AC45" s="1352">
        <f t="shared" si="5"/>
        <v>1</v>
      </c>
    </row>
    <row r="46" spans="1:29" ht="15">
      <c r="A46" s="429" t="s">
        <v>1844</v>
      </c>
      <c r="B46" s="1981" t="s">
        <v>1879</v>
      </c>
      <c r="C46" s="629" t="s">
        <v>0</v>
      </c>
      <c r="D46" s="431"/>
      <c r="E46" s="432"/>
      <c r="F46" s="433"/>
      <c r="G46" s="434"/>
      <c r="H46" s="435"/>
      <c r="I46" s="432"/>
      <c r="J46" s="435"/>
      <c r="K46" s="713"/>
      <c r="L46" s="2723"/>
      <c r="M46" s="2724"/>
      <c r="N46" s="2715"/>
      <c r="O46" s="2724"/>
      <c r="P46" s="3684" t="str">
        <f>A46</f>
        <v>成交单价</v>
      </c>
      <c r="Q46" s="3684"/>
      <c r="R46" s="3715">
        <f>E46</f>
        <v>0</v>
      </c>
      <c r="S46" s="3715"/>
      <c r="T46" s="3715">
        <f>G46</f>
        <v>0</v>
      </c>
      <c r="U46" s="3715"/>
      <c r="V46" s="3715">
        <f>I46</f>
        <v>0</v>
      </c>
      <c r="W46" s="3715"/>
      <c r="X46" s="689"/>
      <c r="Y46" s="711"/>
      <c r="Z46" s="689"/>
      <c r="AA46" s="689"/>
      <c r="AB46" s="689"/>
      <c r="AC46" s="689"/>
    </row>
    <row r="47" spans="1:29" ht="15.75" thickBot="1">
      <c r="A47" s="436" t="s">
        <v>1793</v>
      </c>
      <c r="B47" s="630"/>
      <c r="C47" s="439" t="e">
        <f>R48</f>
        <v>#DIV/0!</v>
      </c>
      <c r="D47" s="2316" t="s">
        <v>2138</v>
      </c>
      <c r="E47" s="439" t="e">
        <f>R47</f>
        <v>#DIV/0!</v>
      </c>
      <c r="F47" s="2317"/>
      <c r="G47" s="438" t="e">
        <f>T47</f>
        <v>#DIV/0!</v>
      </c>
      <c r="H47" s="2317"/>
      <c r="I47" s="439" t="e">
        <f>V47</f>
        <v>#DIV/0!</v>
      </c>
      <c r="J47" s="2317"/>
      <c r="K47" s="2319">
        <f>F47+H47+J47</f>
        <v>0</v>
      </c>
      <c r="L47" s="2723"/>
      <c r="M47" s="2724"/>
      <c r="N47" s="2724"/>
      <c r="O47" s="2724"/>
      <c r="P47" s="3684" t="str">
        <f>A47</f>
        <v>比较价值（元/平方米）</v>
      </c>
      <c r="Q47" s="3684"/>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3"/>
      <c r="M48" s="2724"/>
      <c r="N48" s="2724"/>
      <c r="O48" s="2724"/>
      <c r="P48" s="3681" t="str">
        <f>A48</f>
        <v>估价对象XX用房的比较价值（楼面单价，元/平方米）</v>
      </c>
      <c r="Q48" s="3682"/>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9" t="s">
        <v>1887</v>
      </c>
      <c r="H55" s="3746"/>
      <c r="I55" s="134"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91741.09</v>
      </c>
      <c r="F56" s="885" t="e">
        <f t="shared" ref="F56:F64" si="15">ROUND(B56*E56/10000,0)</f>
        <v>#DIV/0!</v>
      </c>
      <c r="G56" s="3695"/>
      <c r="H56" s="368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7" t="e">
        <f>ROUND($C$48*C57*D57,0)</f>
        <v>#DIV/0!</v>
      </c>
      <c r="C57" s="170">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7" t="e">
        <f t="shared" si="17"/>
        <v>#DIV/0!</v>
      </c>
      <c r="C60" s="170">
        <f t="shared" si="16"/>
        <v>0</v>
      </c>
      <c r="D60" s="944">
        <v>0.25</v>
      </c>
      <c r="E60" s="216">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7" t="e">
        <f t="shared" si="17"/>
        <v>#DIV/0!</v>
      </c>
      <c r="C63" s="170">
        <f t="shared" si="16"/>
        <v>0</v>
      </c>
      <c r="D63" s="944">
        <v>0.25</v>
      </c>
      <c r="E63" s="216">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7" t="e">
        <f t="shared" si="17"/>
        <v>#DIV/0!</v>
      </c>
      <c r="C64" s="170">
        <f t="shared" si="16"/>
        <v>0</v>
      </c>
      <c r="D64" s="944">
        <v>0.25</v>
      </c>
      <c r="E64" s="216">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91741.09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7" customFormat="1" ht="30" customHeight="1">
      <c r="A70" s="1989"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75" thickBot="1">
      <c r="A71" s="463" t="s">
        <v>1716</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5">
      <c r="A72" s="469" t="s">
        <v>1681</v>
      </c>
      <c r="B72" s="458"/>
      <c r="C72" s="470" t="s">
        <v>1776</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1719</v>
      </c>
      <c r="B74" s="476" t="s">
        <v>1685</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1688</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1690</v>
      </c>
      <c r="B87" s="476" t="s">
        <v>1720</v>
      </c>
      <c r="C87" s="521" t="s">
        <v>1721</v>
      </c>
      <c r="D87" s="521" t="s">
        <v>1722</v>
      </c>
      <c r="E87" s="521" t="s">
        <v>1723</v>
      </c>
      <c r="F87" s="521" t="s">
        <v>1724</v>
      </c>
      <c r="G87" s="521" t="s">
        <v>1725</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1906</v>
      </c>
      <c r="C89" s="526" t="s">
        <v>1721</v>
      </c>
      <c r="D89" s="526" t="s">
        <v>1722</v>
      </c>
      <c r="E89" s="526" t="s">
        <v>1723</v>
      </c>
      <c r="F89" s="526" t="s">
        <v>1724</v>
      </c>
      <c r="G89" s="526" t="s">
        <v>1725</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1821</v>
      </c>
      <c r="C91" s="526" t="s">
        <v>1721</v>
      </c>
      <c r="D91" s="526" t="s">
        <v>1722</v>
      </c>
      <c r="E91" s="526" t="s">
        <v>1723</v>
      </c>
      <c r="F91" s="526" t="s">
        <v>1724</v>
      </c>
      <c r="G91" s="526" t="s">
        <v>1725</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1726</v>
      </c>
      <c r="C93" s="526" t="s">
        <v>1721</v>
      </c>
      <c r="D93" s="526" t="s">
        <v>1722</v>
      </c>
      <c r="E93" s="526" t="s">
        <v>1723</v>
      </c>
      <c r="F93" s="526" t="s">
        <v>1724</v>
      </c>
      <c r="G93" s="526" t="s">
        <v>1725</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1815</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1873</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1914</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1915</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1916</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1917</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10" sqref="M1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1769</v>
      </c>
      <c r="B4" s="355"/>
      <c r="C4" s="3699" t="s">
        <v>1770</v>
      </c>
      <c r="D4" s="3700"/>
      <c r="E4" s="3701" t="s">
        <v>1771</v>
      </c>
      <c r="F4" s="3702"/>
      <c r="G4" s="3699" t="s">
        <v>1772</v>
      </c>
      <c r="H4" s="3700"/>
      <c r="I4" s="3699" t="s">
        <v>1773</v>
      </c>
      <c r="J4" s="3700"/>
      <c r="K4" s="558" t="s">
        <v>1774</v>
      </c>
      <c r="L4" s="2714"/>
      <c r="M4" s="2715"/>
      <c r="N4" s="2715"/>
      <c r="O4" s="2715"/>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7"/>
      <c r="B5" s="358"/>
      <c r="C5" s="3718" t="s">
        <v>1673</v>
      </c>
      <c r="D5" s="3719"/>
      <c r="E5" s="3725" t="s">
        <v>1674</v>
      </c>
      <c r="F5" s="3726"/>
      <c r="G5" s="3718" t="s">
        <v>1675</v>
      </c>
      <c r="H5" s="3719"/>
      <c r="I5" s="3718" t="s">
        <v>1676</v>
      </c>
      <c r="J5" s="3719"/>
      <c r="K5" s="558"/>
      <c r="L5" s="2714"/>
      <c r="M5" s="2715"/>
      <c r="N5" s="2715"/>
      <c r="O5" s="2715"/>
      <c r="P5" s="3705"/>
      <c r="Q5" s="3706"/>
      <c r="R5" s="3711"/>
      <c r="S5" s="3712"/>
      <c r="T5" s="3711"/>
      <c r="U5" s="3712"/>
      <c r="V5" s="3715"/>
      <c r="W5" s="3715"/>
      <c r="X5" s="1354"/>
      <c r="Y5" s="3711"/>
      <c r="Z5" s="3712"/>
      <c r="AA5" s="3697"/>
      <c r="AB5" s="3697"/>
      <c r="AC5" s="3697"/>
    </row>
    <row r="6" spans="1:29" ht="15.75" thickBot="1">
      <c r="A6" s="359"/>
      <c r="B6" s="360"/>
      <c r="C6" s="3747" t="s">
        <v>1919</v>
      </c>
      <c r="D6" s="3748"/>
      <c r="E6" s="3749" t="s">
        <v>1919</v>
      </c>
      <c r="F6" s="3750"/>
      <c r="G6" s="3747" t="s">
        <v>1919</v>
      </c>
      <c r="H6" s="3748"/>
      <c r="I6" s="3747" t="s">
        <v>1919</v>
      </c>
      <c r="J6" s="3748"/>
      <c r="K6" s="558" t="s">
        <v>1678</v>
      </c>
      <c r="L6" s="2714"/>
      <c r="M6" s="2715"/>
      <c r="N6" s="2715"/>
      <c r="O6" s="2715"/>
      <c r="P6" s="3707"/>
      <c r="Q6" s="3708"/>
      <c r="R6" s="3711"/>
      <c r="S6" s="3712"/>
      <c r="T6" s="3713"/>
      <c r="U6" s="3714"/>
      <c r="V6" s="3715"/>
      <c r="W6" s="3715"/>
      <c r="X6" s="1354"/>
      <c r="Y6" s="3713"/>
      <c r="Z6" s="3714"/>
      <c r="AA6" s="3698"/>
      <c r="AB6" s="3698"/>
      <c r="AC6" s="3698"/>
    </row>
    <row r="7" spans="1:29" s="107" customFormat="1" ht="15.75" thickBot="1">
      <c r="A7" s="361" t="s">
        <v>1679</v>
      </c>
      <c r="B7" s="362"/>
      <c r="C7" s="363">
        <f>'数据-取费表'!B2</f>
        <v>45230</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20" t="s">
        <v>1680</v>
      </c>
      <c r="Q7" s="3722"/>
      <c r="R7" s="700" t="s">
        <v>14</v>
      </c>
      <c r="S7" s="701">
        <f t="shared" ref="S7:S15" si="0">F7</f>
        <v>0</v>
      </c>
      <c r="T7" s="700" t="s">
        <v>14</v>
      </c>
      <c r="U7" s="701">
        <f t="shared" ref="U7:U15" si="1">H7</f>
        <v>0</v>
      </c>
      <c r="V7" s="700" t="s">
        <v>14</v>
      </c>
      <c r="W7" s="701">
        <f t="shared" ref="W7:W15" si="2">J7</f>
        <v>0</v>
      </c>
      <c r="X7" s="702"/>
      <c r="Y7" s="3720" t="s">
        <v>1680</v>
      </c>
      <c r="Z7" s="3721"/>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20" t="s">
        <v>1683</v>
      </c>
      <c r="Q8" s="3721"/>
      <c r="R8" s="700" t="s">
        <v>14</v>
      </c>
      <c r="S8" s="701">
        <f t="shared" si="0"/>
        <v>0</v>
      </c>
      <c r="T8" s="700" t="s">
        <v>14</v>
      </c>
      <c r="U8" s="701">
        <f t="shared" si="1"/>
        <v>0</v>
      </c>
      <c r="V8" s="700" t="s">
        <v>14</v>
      </c>
      <c r="W8" s="701">
        <f t="shared" si="2"/>
        <v>0</v>
      </c>
      <c r="X8" s="702"/>
      <c r="Y8" s="3720" t="s">
        <v>1683</v>
      </c>
      <c r="Z8" s="3721"/>
      <c r="AA8" s="703" t="e">
        <f t="shared" ref="AA8:AA40" si="3">D8/F8</f>
        <v>#DIV/0!</v>
      </c>
      <c r="AB8" s="703" t="e">
        <f t="shared" ref="AB8:AB40" si="4">D8/H8</f>
        <v>#DIV/0!</v>
      </c>
      <c r="AC8" s="703" t="e">
        <f t="shared" ref="AC8:AC40" si="5">D8/J8</f>
        <v>#DIV/0!</v>
      </c>
    </row>
    <row r="9" spans="1:29" s="107" customFormat="1">
      <c r="A9" s="368" t="s">
        <v>1684</v>
      </c>
      <c r="B9" s="63" t="s">
        <v>1685</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684" t="s">
        <v>1686</v>
      </c>
      <c r="Q9" s="1342" t="str">
        <f t="shared" ref="Q9:Q15" si="6">B9</f>
        <v>用途</v>
      </c>
      <c r="R9" s="700" t="s">
        <v>14</v>
      </c>
      <c r="S9" s="701">
        <f t="shared" si="0"/>
        <v>100</v>
      </c>
      <c r="T9" s="700" t="s">
        <v>14</v>
      </c>
      <c r="U9" s="701">
        <f t="shared" si="1"/>
        <v>100</v>
      </c>
      <c r="V9" s="700" t="s">
        <v>14</v>
      </c>
      <c r="W9" s="701">
        <f t="shared" si="2"/>
        <v>100</v>
      </c>
      <c r="X9" s="702"/>
      <c r="Y9" s="3559"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113</v>
      </c>
      <c r="G10" s="382"/>
      <c r="H10" s="126">
        <f>ROUND(100/'数据-取费表'!G16,0)</f>
        <v>113</v>
      </c>
      <c r="I10" s="382"/>
      <c r="J10" s="126">
        <f>ROUND(100/'数据-取费表'!G16,0)</f>
        <v>113</v>
      </c>
      <c r="K10" s="619"/>
      <c r="L10" s="2718"/>
      <c r="M10" s="2719"/>
      <c r="N10" s="2719"/>
      <c r="O10" s="2772"/>
      <c r="P10" s="3684"/>
      <c r="Q10" s="1342" t="str">
        <f t="shared" si="6"/>
        <v>土地使用年限（年）</v>
      </c>
      <c r="R10" s="700" t="s">
        <v>14</v>
      </c>
      <c r="S10" s="701">
        <f t="shared" si="0"/>
        <v>113</v>
      </c>
      <c r="T10" s="700" t="s">
        <v>14</v>
      </c>
      <c r="U10" s="701">
        <f t="shared" si="1"/>
        <v>113</v>
      </c>
      <c r="V10" s="700" t="s">
        <v>14</v>
      </c>
      <c r="W10" s="701">
        <f t="shared" si="2"/>
        <v>113</v>
      </c>
      <c r="X10" s="702"/>
      <c r="Y10" s="3559"/>
      <c r="Z10" s="52" t="str">
        <f t="shared" si="7"/>
        <v>土地使用年限（年）</v>
      </c>
      <c r="AA10" s="703">
        <f t="shared" si="3"/>
        <v>0.88495575221238942</v>
      </c>
      <c r="AB10" s="703">
        <f t="shared" si="4"/>
        <v>0.88495575221238942</v>
      </c>
      <c r="AC10" s="703">
        <f t="shared" si="5"/>
        <v>0.88495575221238942</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684"/>
      <c r="Q11" s="1342" t="str">
        <f t="shared" si="6"/>
        <v>容积率</v>
      </c>
      <c r="R11" s="700" t="s">
        <v>14</v>
      </c>
      <c r="S11" s="701" t="e">
        <f t="shared" si="0"/>
        <v>#N/A</v>
      </c>
      <c r="T11" s="700" t="s">
        <v>14</v>
      </c>
      <c r="U11" s="701" t="e">
        <f t="shared" si="1"/>
        <v>#N/A</v>
      </c>
      <c r="V11" s="700" t="s">
        <v>14</v>
      </c>
      <c r="W11" s="701" t="e">
        <f t="shared" si="2"/>
        <v>#N/A</v>
      </c>
      <c r="X11" s="702"/>
      <c r="Y11" s="3559"/>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684"/>
      <c r="Q12" s="1342">
        <f t="shared" si="6"/>
        <v>111</v>
      </c>
      <c r="R12" s="700" t="s">
        <v>14</v>
      </c>
      <c r="S12" s="701">
        <f t="shared" si="0"/>
        <v>100</v>
      </c>
      <c r="T12" s="700" t="s">
        <v>14</v>
      </c>
      <c r="U12" s="701">
        <f t="shared" si="1"/>
        <v>100</v>
      </c>
      <c r="V12" s="700" t="s">
        <v>14</v>
      </c>
      <c r="W12" s="701">
        <f t="shared" si="2"/>
        <v>100</v>
      </c>
      <c r="X12" s="702"/>
      <c r="Y12" s="3559"/>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684"/>
      <c r="Q13" s="1342">
        <f t="shared" si="6"/>
        <v>111</v>
      </c>
      <c r="R13" s="700" t="s">
        <v>14</v>
      </c>
      <c r="S13" s="701">
        <f t="shared" si="0"/>
        <v>100</v>
      </c>
      <c r="T13" s="700" t="s">
        <v>14</v>
      </c>
      <c r="U13" s="701">
        <f t="shared" si="1"/>
        <v>100</v>
      </c>
      <c r="V13" s="700" t="s">
        <v>14</v>
      </c>
      <c r="W13" s="701">
        <f t="shared" si="2"/>
        <v>100</v>
      </c>
      <c r="X13" s="702"/>
      <c r="Y13" s="3559"/>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684"/>
      <c r="Q14" s="1342">
        <f t="shared" si="6"/>
        <v>111</v>
      </c>
      <c r="R14" s="700" t="s">
        <v>14</v>
      </c>
      <c r="S14" s="701">
        <f t="shared" si="0"/>
        <v>100</v>
      </c>
      <c r="T14" s="700" t="s">
        <v>14</v>
      </c>
      <c r="U14" s="701">
        <f t="shared" si="1"/>
        <v>100</v>
      </c>
      <c r="V14" s="700" t="s">
        <v>14</v>
      </c>
      <c r="W14" s="701">
        <f t="shared" si="2"/>
        <v>100</v>
      </c>
      <c r="X14" s="702"/>
      <c r="Y14" s="3559"/>
      <c r="Z14" s="52">
        <f t="shared" si="7"/>
        <v>111</v>
      </c>
      <c r="AA14" s="703">
        <f t="shared" si="3"/>
        <v>1</v>
      </c>
      <c r="AB14" s="703">
        <f t="shared" si="4"/>
        <v>1</v>
      </c>
      <c r="AC14" s="703">
        <f t="shared" si="5"/>
        <v>1</v>
      </c>
    </row>
    <row r="15" spans="1:29" ht="57">
      <c r="A15" s="390" t="s">
        <v>1690</v>
      </c>
      <c r="B15" s="576" t="s">
        <v>1920</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686" t="s">
        <v>1691</v>
      </c>
      <c r="Q15" s="1351" t="str">
        <f t="shared" si="6"/>
        <v>产业集聚程度</v>
      </c>
      <c r="R15" s="704" t="s">
        <v>14</v>
      </c>
      <c r="S15" s="705">
        <f t="shared" si="0"/>
        <v>100</v>
      </c>
      <c r="T15" s="704" t="s">
        <v>14</v>
      </c>
      <c r="U15" s="705">
        <f t="shared" si="1"/>
        <v>100</v>
      </c>
      <c r="V15" s="704" t="s">
        <v>14</v>
      </c>
      <c r="W15" s="705">
        <f t="shared" si="2"/>
        <v>100</v>
      </c>
      <c r="X15" s="1354"/>
      <c r="Y15" s="3686" t="s">
        <v>1691</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687"/>
      <c r="Q16" s="1351"/>
      <c r="R16" s="704"/>
      <c r="S16" s="705"/>
      <c r="T16" s="704"/>
      <c r="U16" s="705"/>
      <c r="V16" s="704"/>
      <c r="W16" s="705"/>
      <c r="X16" s="1354"/>
      <c r="Y16" s="3687"/>
      <c r="Z16" s="1355"/>
      <c r="AA16" s="1352">
        <v>1</v>
      </c>
      <c r="AB16" s="1352">
        <v>1</v>
      </c>
      <c r="AC16" s="1352">
        <v>1</v>
      </c>
    </row>
    <row r="17" spans="1:29" ht="85.5">
      <c r="A17" s="378"/>
      <c r="B17" s="578" t="s">
        <v>1833</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687"/>
      <c r="Q17" s="1351" t="str">
        <f>B17</f>
        <v>交通便捷度</v>
      </c>
      <c r="R17" s="704" t="s">
        <v>14</v>
      </c>
      <c r="S17" s="705">
        <f>F17</f>
        <v>100</v>
      </c>
      <c r="T17" s="704" t="s">
        <v>14</v>
      </c>
      <c r="U17" s="705">
        <f>H17</f>
        <v>100</v>
      </c>
      <c r="V17" s="704" t="s">
        <v>14</v>
      </c>
      <c r="W17" s="705">
        <f>J17</f>
        <v>100</v>
      </c>
      <c r="X17" s="1354"/>
      <c r="Y17" s="3687"/>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687"/>
      <c r="Q18" s="1351"/>
      <c r="R18" s="704"/>
      <c r="S18" s="705"/>
      <c r="T18" s="704"/>
      <c r="U18" s="705"/>
      <c r="V18" s="704"/>
      <c r="W18" s="705"/>
      <c r="X18" s="1354"/>
      <c r="Y18" s="3687"/>
      <c r="Z18" s="1355"/>
      <c r="AA18" s="1352">
        <v>1</v>
      </c>
      <c r="AB18" s="1352">
        <v>1</v>
      </c>
      <c r="AC18" s="1352">
        <v>1</v>
      </c>
    </row>
    <row r="19" spans="1:29" ht="15">
      <c r="A19" s="378"/>
      <c r="B19" s="578" t="s">
        <v>1871</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687"/>
      <c r="Q19" s="1351" t="str">
        <f t="shared" ref="Q19:Q33" si="8">B19</f>
        <v>区域土地利用方向</v>
      </c>
      <c r="R19" s="704" t="s">
        <v>14</v>
      </c>
      <c r="S19" s="705">
        <f>F19</f>
        <v>100</v>
      </c>
      <c r="T19" s="704" t="s">
        <v>14</v>
      </c>
      <c r="U19" s="705">
        <f>H19</f>
        <v>100</v>
      </c>
      <c r="V19" s="704" t="s">
        <v>14</v>
      </c>
      <c r="W19" s="705">
        <f>J19</f>
        <v>100</v>
      </c>
      <c r="X19" s="1354"/>
      <c r="Y19" s="3687"/>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687"/>
      <c r="Q20" s="1351"/>
      <c r="R20" s="704"/>
      <c r="S20" s="705"/>
      <c r="T20" s="704"/>
      <c r="U20" s="705"/>
      <c r="V20" s="704"/>
      <c r="W20" s="705"/>
      <c r="X20" s="1354"/>
      <c r="Y20" s="3687"/>
      <c r="Z20" s="1355"/>
      <c r="AA20" s="1352"/>
      <c r="AB20" s="1352"/>
      <c r="AC20" s="1352"/>
    </row>
    <row r="21" spans="1:29" ht="71.25">
      <c r="A21" s="357"/>
      <c r="B21" s="578" t="s">
        <v>1921</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687"/>
      <c r="Q21" s="1351" t="str">
        <f t="shared" si="8"/>
        <v>环境状况</v>
      </c>
      <c r="R21" s="704" t="s">
        <v>14</v>
      </c>
      <c r="S21" s="705">
        <f>F21</f>
        <v>100</v>
      </c>
      <c r="T21" s="704" t="s">
        <v>14</v>
      </c>
      <c r="U21" s="705">
        <f>H21</f>
        <v>100</v>
      </c>
      <c r="V21" s="704" t="s">
        <v>14</v>
      </c>
      <c r="W21" s="705">
        <f>J21</f>
        <v>100</v>
      </c>
      <c r="X21" s="1354"/>
      <c r="Y21" s="3687"/>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687"/>
      <c r="Q22" s="1351"/>
      <c r="R22" s="704"/>
      <c r="S22" s="705"/>
      <c r="T22" s="704"/>
      <c r="U22" s="705"/>
      <c r="V22" s="704"/>
      <c r="W22" s="705"/>
      <c r="X22" s="1354"/>
      <c r="Y22" s="3687"/>
      <c r="Z22" s="1355"/>
      <c r="AA22" s="1352">
        <v>1</v>
      </c>
      <c r="AB22" s="1352">
        <v>1</v>
      </c>
      <c r="AC22" s="1352">
        <v>1</v>
      </c>
    </row>
    <row r="23" spans="1:29" s="107" customFormat="1" ht="42.75">
      <c r="A23" s="596"/>
      <c r="B23" s="580" t="s">
        <v>1778</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687"/>
      <c r="Q23" s="1342" t="str">
        <f t="shared" si="8"/>
        <v>公共配套设施</v>
      </c>
      <c r="R23" s="700" t="s">
        <v>14</v>
      </c>
      <c r="S23" s="701">
        <f>F23</f>
        <v>100</v>
      </c>
      <c r="T23" s="700" t="s">
        <v>14</v>
      </c>
      <c r="U23" s="701">
        <f>H23</f>
        <v>100</v>
      </c>
      <c r="V23" s="700" t="s">
        <v>14</v>
      </c>
      <c r="W23" s="701">
        <f>J23</f>
        <v>100</v>
      </c>
      <c r="X23" s="702"/>
      <c r="Y23" s="3687"/>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687"/>
      <c r="Q24" s="1342"/>
      <c r="R24" s="700"/>
      <c r="S24" s="701"/>
      <c r="T24" s="700"/>
      <c r="U24" s="701"/>
      <c r="V24" s="700"/>
      <c r="W24" s="701"/>
      <c r="X24" s="702"/>
      <c r="Y24" s="3687"/>
      <c r="Z24" s="52"/>
      <c r="AA24" s="703">
        <v>1</v>
      </c>
      <c r="AB24" s="703">
        <v>1</v>
      </c>
      <c r="AC24" s="703">
        <v>1</v>
      </c>
    </row>
    <row r="25" spans="1:29" s="107" customFormat="1" ht="28.5">
      <c r="A25" s="596"/>
      <c r="B25" s="580" t="s">
        <v>1779</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687"/>
      <c r="Q25" s="1342" t="str">
        <f t="shared" ref="Q25" si="9">B25</f>
        <v>基础设施水平</v>
      </c>
      <c r="R25" s="700" t="s">
        <v>14</v>
      </c>
      <c r="S25" s="701">
        <f>F25</f>
        <v>100</v>
      </c>
      <c r="T25" s="700" t="s">
        <v>14</v>
      </c>
      <c r="U25" s="701">
        <f>H25</f>
        <v>100</v>
      </c>
      <c r="V25" s="700" t="s">
        <v>14</v>
      </c>
      <c r="W25" s="701">
        <f>J25</f>
        <v>100</v>
      </c>
      <c r="X25" s="702"/>
      <c r="Y25" s="3687"/>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687"/>
      <c r="Q26" s="1342"/>
      <c r="R26" s="700"/>
      <c r="S26" s="701"/>
      <c r="T26" s="700"/>
      <c r="U26" s="701"/>
      <c r="V26" s="700"/>
      <c r="W26" s="701"/>
      <c r="X26" s="702"/>
      <c r="Y26" s="3687"/>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68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7"/>
      <c r="Z27" s="1355" t="str">
        <f t="shared" ref="Z27:Z40" si="13">Q27</f>
        <v>临街状况</v>
      </c>
      <c r="AA27" s="1352">
        <f t="shared" si="3"/>
        <v>1</v>
      </c>
      <c r="AB27" s="1352">
        <f t="shared" si="4"/>
        <v>1</v>
      </c>
      <c r="AC27" s="1352">
        <f t="shared" si="5"/>
        <v>1</v>
      </c>
    </row>
    <row r="28" spans="1:29" ht="27">
      <c r="A28" s="378"/>
      <c r="B28" s="580" t="s">
        <v>1815</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687"/>
      <c r="Q28" s="1351" t="str">
        <f t="shared" si="8"/>
        <v>毗邻道路的类型与等级</v>
      </c>
      <c r="R28" s="704" t="s">
        <v>14</v>
      </c>
      <c r="S28" s="705">
        <f t="shared" si="10"/>
        <v>100</v>
      </c>
      <c r="T28" s="704" t="s">
        <v>14</v>
      </c>
      <c r="U28" s="705">
        <f t="shared" si="11"/>
        <v>100</v>
      </c>
      <c r="V28" s="704" t="s">
        <v>14</v>
      </c>
      <c r="W28" s="705">
        <f t="shared" si="12"/>
        <v>100</v>
      </c>
      <c r="X28" s="1354"/>
      <c r="Y28" s="3687"/>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687"/>
      <c r="Q29" s="1351"/>
      <c r="R29" s="704"/>
      <c r="S29" s="705"/>
      <c r="T29" s="704"/>
      <c r="U29" s="705"/>
      <c r="V29" s="704"/>
      <c r="W29" s="705"/>
      <c r="X29" s="1354"/>
      <c r="Y29" s="3687"/>
      <c r="Z29" s="1355"/>
      <c r="AA29" s="1352">
        <v>1</v>
      </c>
      <c r="AB29" s="1352">
        <v>1</v>
      </c>
      <c r="AC29" s="1352">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687"/>
      <c r="Q30" s="1351" t="str">
        <f t="shared" si="8"/>
        <v>土地级别</v>
      </c>
      <c r="R30" s="704" t="s">
        <v>14</v>
      </c>
      <c r="S30" s="705">
        <f t="shared" si="10"/>
        <v>100</v>
      </c>
      <c r="T30" s="704" t="s">
        <v>14</v>
      </c>
      <c r="U30" s="705">
        <f t="shared" si="11"/>
        <v>100</v>
      </c>
      <c r="V30" s="704" t="s">
        <v>14</v>
      </c>
      <c r="W30" s="705">
        <f t="shared" si="12"/>
        <v>100</v>
      </c>
      <c r="X30" s="1354"/>
      <c r="Y30" s="3687"/>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687"/>
      <c r="Q31" s="1351">
        <f t="shared" si="8"/>
        <v>111</v>
      </c>
      <c r="R31" s="704" t="s">
        <v>14</v>
      </c>
      <c r="S31" s="705">
        <f t="shared" si="10"/>
        <v>100</v>
      </c>
      <c r="T31" s="704" t="s">
        <v>14</v>
      </c>
      <c r="U31" s="705">
        <f t="shared" si="11"/>
        <v>100</v>
      </c>
      <c r="V31" s="704" t="s">
        <v>14</v>
      </c>
      <c r="W31" s="705">
        <f t="shared" si="12"/>
        <v>100</v>
      </c>
      <c r="X31" s="1354"/>
      <c r="Y31" s="3687"/>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42" t="s">
        <v>1696</v>
      </c>
      <c r="Q32" s="1351">
        <f t="shared" si="8"/>
        <v>111</v>
      </c>
      <c r="R32" s="704" t="s">
        <v>14</v>
      </c>
      <c r="S32" s="705">
        <f t="shared" si="10"/>
        <v>100</v>
      </c>
      <c r="T32" s="704" t="s">
        <v>14</v>
      </c>
      <c r="U32" s="705">
        <f t="shared" si="11"/>
        <v>100</v>
      </c>
      <c r="V32" s="704" t="s">
        <v>14</v>
      </c>
      <c r="W32" s="705">
        <f t="shared" si="12"/>
        <v>100</v>
      </c>
      <c r="X32" s="1354"/>
      <c r="Y32" s="3691" t="s">
        <v>1696</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691"/>
      <c r="Q33" s="1351">
        <f t="shared" si="8"/>
        <v>111</v>
      </c>
      <c r="R33" s="707" t="s">
        <v>14</v>
      </c>
      <c r="S33" s="708">
        <f t="shared" si="10"/>
        <v>100</v>
      </c>
      <c r="T33" s="707" t="s">
        <v>14</v>
      </c>
      <c r="U33" s="708">
        <f t="shared" si="11"/>
        <v>100</v>
      </c>
      <c r="V33" s="707" t="s">
        <v>14</v>
      </c>
      <c r="W33" s="708">
        <f t="shared" si="12"/>
        <v>100</v>
      </c>
      <c r="X33" s="709"/>
      <c r="Y33" s="3691"/>
      <c r="Z33" s="710">
        <f t="shared" si="13"/>
        <v>111</v>
      </c>
      <c r="AA33" s="1352">
        <f t="shared" si="3"/>
        <v>1</v>
      </c>
      <c r="AB33" s="1352">
        <f t="shared" si="4"/>
        <v>1</v>
      </c>
      <c r="AC33" s="1352">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691"/>
      <c r="Q34" s="1351" t="str">
        <f>B34</f>
        <v>宗地面积</v>
      </c>
      <c r="R34" s="704" t="s">
        <v>14</v>
      </c>
      <c r="S34" s="705" t="e">
        <f t="shared" si="10"/>
        <v>#N/A</v>
      </c>
      <c r="T34" s="704" t="s">
        <v>14</v>
      </c>
      <c r="U34" s="705" t="e">
        <f t="shared" si="11"/>
        <v>#N/A</v>
      </c>
      <c r="V34" s="704" t="s">
        <v>14</v>
      </c>
      <c r="W34" s="705" t="e">
        <f t="shared" si="12"/>
        <v>#N/A</v>
      </c>
      <c r="X34" s="1354"/>
      <c r="Y34" s="3691"/>
      <c r="Z34" s="1355" t="str">
        <f t="shared" si="13"/>
        <v>宗地面积</v>
      </c>
      <c r="AA34" s="1352" t="e">
        <f t="shared" si="3"/>
        <v>#N/A</v>
      </c>
      <c r="AB34" s="1352" t="e">
        <f t="shared" si="4"/>
        <v>#N/A</v>
      </c>
      <c r="AC34" s="1352" t="e">
        <f t="shared" si="5"/>
        <v>#N/A</v>
      </c>
    </row>
    <row r="35" spans="1:31" ht="15">
      <c r="A35" s="422"/>
      <c r="B35" s="374" t="s">
        <v>1875</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691"/>
      <c r="Q35" s="1351" t="str">
        <f t="shared" ref="Q35:Q40" si="14">B35</f>
        <v>宗地形状</v>
      </c>
      <c r="R35" s="704" t="s">
        <v>14</v>
      </c>
      <c r="S35" s="705">
        <f t="shared" si="10"/>
        <v>100</v>
      </c>
      <c r="T35" s="704" t="s">
        <v>14</v>
      </c>
      <c r="U35" s="705">
        <f t="shared" si="11"/>
        <v>100</v>
      </c>
      <c r="V35" s="704" t="s">
        <v>14</v>
      </c>
      <c r="W35" s="705">
        <f t="shared" si="12"/>
        <v>100</v>
      </c>
      <c r="X35" s="1354"/>
      <c r="Y35" s="3691"/>
      <c r="Z35" s="1355" t="str">
        <f t="shared" si="13"/>
        <v>宗地形状</v>
      </c>
      <c r="AA35" s="1352">
        <f t="shared" si="3"/>
        <v>1</v>
      </c>
      <c r="AB35" s="1352">
        <f t="shared" si="4"/>
        <v>1</v>
      </c>
      <c r="AC35" s="1352">
        <f t="shared" si="5"/>
        <v>1</v>
      </c>
    </row>
    <row r="36" spans="1:31" s="107" customFormat="1" ht="15">
      <c r="A36" s="423"/>
      <c r="B36" s="374" t="s">
        <v>1877</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691"/>
      <c r="Q36" s="1351" t="str">
        <f t="shared" si="14"/>
        <v>宗地开发程度</v>
      </c>
      <c r="R36" s="700" t="s">
        <v>14</v>
      </c>
      <c r="S36" s="701">
        <f t="shared" si="10"/>
        <v>100</v>
      </c>
      <c r="T36" s="700" t="s">
        <v>14</v>
      </c>
      <c r="U36" s="701">
        <f t="shared" si="11"/>
        <v>100</v>
      </c>
      <c r="V36" s="700" t="s">
        <v>14</v>
      </c>
      <c r="W36" s="701">
        <f t="shared" si="12"/>
        <v>100</v>
      </c>
      <c r="X36" s="702"/>
      <c r="Y36" s="3691"/>
      <c r="Z36" s="52" t="str">
        <f t="shared" si="13"/>
        <v>宗地开发程度</v>
      </c>
      <c r="AA36" s="703">
        <f t="shared" si="3"/>
        <v>1</v>
      </c>
      <c r="AB36" s="703">
        <f t="shared" si="4"/>
        <v>1</v>
      </c>
      <c r="AC36" s="703">
        <f t="shared" si="5"/>
        <v>1</v>
      </c>
    </row>
    <row r="37" spans="1:31" ht="15">
      <c r="A37" s="422"/>
      <c r="B37" s="374" t="s">
        <v>1878</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691" t="s">
        <v>1696</v>
      </c>
      <c r="Q37" s="1351" t="str">
        <f t="shared" si="14"/>
        <v>工程地质条件</v>
      </c>
      <c r="R37" s="704" t="s">
        <v>14</v>
      </c>
      <c r="S37" s="705">
        <f t="shared" si="10"/>
        <v>100</v>
      </c>
      <c r="T37" s="704" t="s">
        <v>14</v>
      </c>
      <c r="U37" s="705">
        <f t="shared" si="11"/>
        <v>100</v>
      </c>
      <c r="V37" s="704" t="s">
        <v>14</v>
      </c>
      <c r="W37" s="705">
        <f t="shared" si="12"/>
        <v>100</v>
      </c>
      <c r="X37" s="1354"/>
      <c r="Y37" s="3691" t="s">
        <v>1696</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691"/>
      <c r="Q38" s="1351">
        <f t="shared" si="14"/>
        <v>111</v>
      </c>
      <c r="R38" s="704" t="s">
        <v>14</v>
      </c>
      <c r="S38" s="705">
        <f t="shared" si="10"/>
        <v>100</v>
      </c>
      <c r="T38" s="704" t="s">
        <v>14</v>
      </c>
      <c r="U38" s="705">
        <f t="shared" si="11"/>
        <v>100</v>
      </c>
      <c r="V38" s="704" t="s">
        <v>14</v>
      </c>
      <c r="W38" s="705">
        <f t="shared" si="12"/>
        <v>100</v>
      </c>
      <c r="X38" s="1354"/>
      <c r="Y38" s="3691"/>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691"/>
      <c r="Q39" s="1351">
        <f t="shared" si="14"/>
        <v>111</v>
      </c>
      <c r="R39" s="704" t="s">
        <v>14</v>
      </c>
      <c r="S39" s="705">
        <f t="shared" si="10"/>
        <v>100</v>
      </c>
      <c r="T39" s="704" t="s">
        <v>14</v>
      </c>
      <c r="U39" s="705">
        <f t="shared" si="11"/>
        <v>100</v>
      </c>
      <c r="V39" s="704" t="s">
        <v>14</v>
      </c>
      <c r="W39" s="705">
        <f t="shared" si="12"/>
        <v>100</v>
      </c>
      <c r="X39" s="1354"/>
      <c r="Y39" s="3691"/>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691"/>
      <c r="Q40" s="1351">
        <f t="shared" si="14"/>
        <v>111</v>
      </c>
      <c r="R40" s="707" t="s">
        <v>14</v>
      </c>
      <c r="S40" s="708">
        <f t="shared" si="10"/>
        <v>100</v>
      </c>
      <c r="T40" s="707" t="s">
        <v>14</v>
      </c>
      <c r="U40" s="708">
        <f t="shared" si="11"/>
        <v>100</v>
      </c>
      <c r="V40" s="707" t="s">
        <v>14</v>
      </c>
      <c r="W40" s="708">
        <f t="shared" si="12"/>
        <v>100</v>
      </c>
      <c r="X40" s="709"/>
      <c r="Y40" s="3691"/>
      <c r="Z40" s="710">
        <f t="shared" si="13"/>
        <v>111</v>
      </c>
      <c r="AA40" s="1352">
        <f t="shared" si="3"/>
        <v>1</v>
      </c>
      <c r="AB40" s="1352">
        <f t="shared" si="4"/>
        <v>1</v>
      </c>
      <c r="AC40" s="1352">
        <f t="shared" si="5"/>
        <v>1</v>
      </c>
    </row>
    <row r="41" spans="1:31" ht="15">
      <c r="A41" s="429" t="s">
        <v>1844</v>
      </c>
      <c r="B41" s="1981" t="s">
        <v>1922</v>
      </c>
      <c r="C41" s="629" t="s">
        <v>0</v>
      </c>
      <c r="D41" s="431"/>
      <c r="E41" s="432"/>
      <c r="F41" s="433"/>
      <c r="G41" s="434"/>
      <c r="H41" s="435"/>
      <c r="I41" s="432"/>
      <c r="J41" s="435"/>
      <c r="K41" s="713"/>
      <c r="L41" s="2723"/>
      <c r="M41" s="2715"/>
      <c r="N41" s="2715"/>
      <c r="O41" s="2724"/>
      <c r="P41" s="3684" t="str">
        <f>A41</f>
        <v>成交单价</v>
      </c>
      <c r="Q41" s="3684"/>
      <c r="R41" s="3715">
        <f>E41</f>
        <v>0</v>
      </c>
      <c r="S41" s="3715"/>
      <c r="T41" s="3715">
        <f>G41</f>
        <v>0</v>
      </c>
      <c r="U41" s="3715"/>
      <c r="V41" s="3715">
        <f>I41</f>
        <v>0</v>
      </c>
      <c r="W41" s="3715"/>
      <c r="X41" s="689"/>
      <c r="Y41" s="711"/>
      <c r="Z41" s="689"/>
      <c r="AA41" s="689"/>
      <c r="AB41" s="689"/>
      <c r="AC41" s="689"/>
    </row>
    <row r="42" spans="1:31" ht="15.75" thickBot="1">
      <c r="A42" s="436" t="s">
        <v>1793</v>
      </c>
      <c r="B42" s="630"/>
      <c r="C42" s="439" t="e">
        <f>R43</f>
        <v>#DIV/0!</v>
      </c>
      <c r="D42" s="2316" t="s">
        <v>2138</v>
      </c>
      <c r="E42" s="439" t="e">
        <f>R42</f>
        <v>#DIV/0!</v>
      </c>
      <c r="F42" s="2317"/>
      <c r="G42" s="438" t="e">
        <f>T42</f>
        <v>#DIV/0!</v>
      </c>
      <c r="H42" s="2317"/>
      <c r="I42" s="439" t="e">
        <f>V42</f>
        <v>#DIV/0!</v>
      </c>
      <c r="J42" s="2317"/>
      <c r="K42" s="2319">
        <f>F42+H42+J42</f>
        <v>0</v>
      </c>
      <c r="L42" s="2723"/>
      <c r="M42" s="2715"/>
      <c r="N42" s="2715"/>
      <c r="O42" s="2724"/>
      <c r="P42" s="3684" t="str">
        <f>A42</f>
        <v>比较价值（元/平方米）</v>
      </c>
      <c r="Q42" s="3684"/>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3"/>
      <c r="M43" s="2715"/>
      <c r="N43" s="2715"/>
      <c r="O43" s="2724"/>
      <c r="P43" s="3681" t="str">
        <f>A43</f>
        <v>估价对象XX用房的比较价值（楼面单价，元/平方米）</v>
      </c>
      <c r="Q43" s="3682"/>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9"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91741.09</v>
      </c>
      <c r="F51" s="638" t="e">
        <f t="shared" ref="F51:F60" si="15">ROUND(B51*E51/10000,0)</f>
        <v>#DIV/0!</v>
      </c>
      <c r="G51" s="3695"/>
      <c r="H51" s="368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7" t="e">
        <f>ROUND($C$43*C52*D52,0)</f>
        <v>#DIV/0!</v>
      </c>
      <c r="C52" s="170">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7" t="e">
        <f t="shared" si="17"/>
        <v>#DIV/0!</v>
      </c>
      <c r="C56" s="170">
        <f t="shared" si="16"/>
        <v>0</v>
      </c>
      <c r="D56" s="944">
        <v>0.25</v>
      </c>
      <c r="E56" s="216">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7" t="e">
        <f t="shared" si="17"/>
        <v>#DIV/0!</v>
      </c>
      <c r="C59" s="170">
        <f t="shared" si="16"/>
        <v>0</v>
      </c>
      <c r="D59" s="944">
        <v>0.25</v>
      </c>
      <c r="E59" s="216">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7" t="e">
        <f t="shared" si="17"/>
        <v>#DIV/0!</v>
      </c>
      <c r="C60" s="170">
        <f t="shared" si="16"/>
        <v>0</v>
      </c>
      <c r="D60" s="944">
        <v>0.25</v>
      </c>
      <c r="E60" s="216">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497445.96</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1924</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75" thickBot="1">
      <c r="A67" s="463" t="s">
        <v>1716</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5">
      <c r="A68" s="469" t="s">
        <v>1681</v>
      </c>
      <c r="B68" s="458"/>
      <c r="C68" s="470" t="s">
        <v>1776</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1719</v>
      </c>
      <c r="B70" s="476" t="s">
        <v>1685</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1688</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1690</v>
      </c>
      <c r="B83" s="476" t="s">
        <v>1829</v>
      </c>
      <c r="C83" s="521" t="s">
        <v>1721</v>
      </c>
      <c r="D83" s="521" t="s">
        <v>1722</v>
      </c>
      <c r="E83" s="521" t="s">
        <v>1723</v>
      </c>
      <c r="F83" s="521" t="s">
        <v>1724</v>
      </c>
      <c r="G83" s="521" t="s">
        <v>1725</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1726</v>
      </c>
      <c r="C85" s="526" t="s">
        <v>1721</v>
      </c>
      <c r="D85" s="526" t="s">
        <v>1722</v>
      </c>
      <c r="E85" s="526" t="s">
        <v>1723</v>
      </c>
      <c r="F85" s="526" t="s">
        <v>1724</v>
      </c>
      <c r="G85" s="526" t="s">
        <v>1725</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1815</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1873</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1914</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1916</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1917</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8" sqref="E28"/>
      <selection pane="bottomLeft" activeCell="E28" sqref="E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754" t="s">
        <v>2084</v>
      </c>
      <c r="D1" s="3755"/>
      <c r="E1" s="3755"/>
      <c r="F1" s="3755"/>
      <c r="G1" s="3755"/>
      <c r="H1" s="3755"/>
      <c r="I1" s="3755"/>
      <c r="J1" s="3755"/>
      <c r="K1" s="3755"/>
      <c r="L1" s="3755"/>
      <c r="M1" s="3755"/>
      <c r="N1" s="3755"/>
      <c r="O1" s="3755"/>
      <c r="P1" s="3755"/>
      <c r="Q1" s="3755"/>
      <c r="R1" s="3755"/>
      <c r="S1" s="3756"/>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2095</v>
      </c>
      <c r="E19" s="1339"/>
      <c r="F19" s="1339"/>
      <c r="G19" s="1339"/>
      <c r="H19" s="1058"/>
      <c r="I19" s="158"/>
      <c r="J19" s="158"/>
      <c r="K19" s="158"/>
      <c r="L19" s="158"/>
      <c r="M19" s="158"/>
      <c r="N19" s="158"/>
      <c r="O19" s="158"/>
      <c r="P19" s="158"/>
      <c r="Q19" s="158"/>
      <c r="R19" s="717"/>
      <c r="S19" s="128"/>
    </row>
    <row r="20" spans="1:45" ht="16.5" thickBot="1">
      <c r="A20" s="661" t="s">
        <v>2096</v>
      </c>
      <c r="B20" s="293" t="e">
        <f ca="1">IF(D20="——",S22,S22-F20)</f>
        <v>#REF!</v>
      </c>
      <c r="C20" s="158"/>
      <c r="D20" s="2150"/>
      <c r="E20" s="1340"/>
      <c r="F20" s="982" t="e">
        <f ca="1">SUMIF(INDIRECT("'"&amp;H20&amp;"'"&amp;"!A:A"),"承租人权益价值",INDIRECT("'"&amp;H20&amp;"'"&amp;"!c:c"))</f>
        <v>#REF!</v>
      </c>
      <c r="G20" s="982" t="s">
        <v>2097</v>
      </c>
      <c r="H20" s="2151"/>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51" t="s">
        <v>27</v>
      </c>
      <c r="D22" s="3752"/>
      <c r="E22" s="3752"/>
      <c r="F22" s="3752"/>
      <c r="G22" s="3752"/>
      <c r="H22" s="3752"/>
      <c r="I22" s="3752"/>
      <c r="J22" s="3752"/>
      <c r="K22" s="3752"/>
      <c r="L22" s="3752"/>
      <c r="M22" s="3752"/>
      <c r="N22" s="3752"/>
      <c r="O22" s="3752"/>
      <c r="P22" s="3752"/>
      <c r="Q22" s="3753"/>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8" sqref="E2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171271</v>
      </c>
      <c r="C2" s="2144" t="s">
        <v>2074</v>
      </c>
      <c r="D2" s="2144" t="s">
        <v>2075</v>
      </c>
      <c r="E2" s="2611">
        <f ca="1">SUMIF(E6:E13,"&lt;&gt;#ref!",E6:E13)</f>
        <v>497445.96</v>
      </c>
      <c r="F2" s="2792"/>
      <c r="G2" s="2792"/>
      <c r="H2" s="2792"/>
      <c r="I2" s="2792"/>
      <c r="J2" s="2792"/>
      <c r="K2" s="2792"/>
      <c r="L2" s="2792"/>
      <c r="M2" s="2792"/>
      <c r="N2" s="2792"/>
      <c r="O2" s="2792"/>
      <c r="P2" s="2792"/>
    </row>
    <row r="3" spans="1:16" ht="15.75">
      <c r="A3" s="2144" t="s">
        <v>2076</v>
      </c>
      <c r="B3" s="2601">
        <f ca="1">ROUND(B2*10000/E2,0)</f>
        <v>3443</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171271</v>
      </c>
      <c r="C6" s="2144" t="s">
        <v>2074</v>
      </c>
      <c r="D6" s="2792"/>
      <c r="E6" s="2611">
        <f ca="1">SUMIF(INDIRECT("'"&amp;A6&amp;"'"&amp;"!C:C"),"建筑面积",INDIRECT("'"&amp;A6&amp;"'"&amp;"!D:D"))</f>
        <v>497445.96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1926</v>
      </c>
      <c r="B1" s="196"/>
      <c r="C1" s="200" t="s">
        <v>1927</v>
      </c>
      <c r="D1" s="341">
        <f>SUM(D33:D34,D37:D42)</f>
        <v>497445.96</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25.5">
      <c r="A2" s="200" t="s">
        <v>1934</v>
      </c>
      <c r="B2" s="203">
        <f>C30</f>
        <v>171271</v>
      </c>
      <c r="C2" s="1998" t="s">
        <v>1935</v>
      </c>
      <c r="D2" s="1999" t="s">
        <v>1936</v>
      </c>
      <c r="E2" s="3421" t="s">
        <v>3</v>
      </c>
      <c r="F2" s="1999" t="s">
        <v>1937</v>
      </c>
      <c r="G2" s="2000" t="str">
        <f>IF(E2="商业",项目基本情况!B37,IF(E2="办公",项目基本情况!C37,IF(E2="住宅",项目基本情况!D37,IF(E2="工业",项目基本情况!E37,项目基本情况!F37))))</f>
        <v>六级</v>
      </c>
      <c r="H2" s="1999" t="s">
        <v>1938</v>
      </c>
      <c r="I2" s="2000" t="str">
        <f>IF(E2="商业",项目基本情况!B38,IF(E2="办公",项目基本情况!C38,IF(E2="住宅",项目基本情况!D38,IF(E2="工业",项目基本情况!E38,项目基本情况!F38))))</f>
        <v>Ⅵ-天竺保税区北Ⅱ</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4886</v>
      </c>
      <c r="U2" s="1212"/>
      <c r="V2" s="3360">
        <f>ROUND(T2*U2/10000,0)</f>
        <v>0</v>
      </c>
      <c r="W2" s="1215"/>
      <c r="X2" s="1215"/>
      <c r="Y2" s="1215"/>
      <c r="Z2" s="1215"/>
      <c r="AA2" s="1215"/>
      <c r="AB2" s="1215"/>
      <c r="AC2" s="1216"/>
      <c r="AD2" s="1217"/>
      <c r="AE2" s="1217"/>
      <c r="AF2" s="1217"/>
      <c r="AG2" s="1217"/>
      <c r="AH2" s="1217"/>
      <c r="AI2" s="1217"/>
      <c r="AJ2" s="1218"/>
    </row>
    <row r="3" spans="1:36" ht="15.75">
      <c r="A3" s="202" t="s">
        <v>1940</v>
      </c>
      <c r="B3" s="203">
        <f>ROUND(B2*10000/D1,0)</f>
        <v>3443</v>
      </c>
      <c r="C3" s="1998" t="s">
        <v>1941</v>
      </c>
      <c r="D3" s="1999" t="s">
        <v>1942</v>
      </c>
      <c r="E3" s="3419" t="s">
        <v>2487</v>
      </c>
      <c r="F3" s="2003" t="s">
        <v>3430</v>
      </c>
      <c r="G3" s="751">
        <f>IF(F3="宗地容积率",'数据-汇总表'!I4,IF(F3="估价对象容积率",'数据-汇总表'!I6,'数据-汇总表'!I7))</f>
        <v>1</v>
      </c>
      <c r="H3" s="169"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3851</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3255</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2265</v>
      </c>
      <c r="D5" s="1338">
        <f>ROUND(C6*C17+C20,0)</f>
        <v>2265</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2871</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2340</v>
      </c>
      <c r="D6" s="2016"/>
      <c r="E6" s="2017"/>
      <c r="F6" s="2017"/>
      <c r="G6" s="2018"/>
      <c r="H6" s="2018"/>
      <c r="I6" s="2018"/>
      <c r="J6" s="2019"/>
      <c r="K6" s="1383"/>
      <c r="L6" s="2002" t="s">
        <v>1951</v>
      </c>
      <c r="M6" s="863">
        <f>SUMPRODUCT((区片价!B127:B189=I2)*(区片价!C3:G3=E2)*(区片价!C127:G189))</f>
        <v>2340</v>
      </c>
      <c r="N6" s="865">
        <f>SUMPRODUCT((因素修正幅度!B127:B189=I2)*(因素修正幅度!C3:G3=E2)*(因素修正幅度!C127:G189))</f>
        <v>0.05</v>
      </c>
      <c r="O6" s="1118"/>
      <c r="P6" s="1118"/>
      <c r="Q6" s="1118"/>
      <c r="R6" s="1211">
        <v>5</v>
      </c>
      <c r="S6" s="3360">
        <f>ROUND(SUMPRODUCT((B106:B110=R6)*(C105:N105=G2)*(C106:N110)),4)</f>
        <v>0.84799999999999998</v>
      </c>
      <c r="T6" s="3360">
        <f t="shared" si="0"/>
        <v>2759</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六级</v>
      </c>
      <c r="Y7" s="1213" t="s">
        <v>1956</v>
      </c>
      <c r="Z7" s="1214">
        <f>G3</f>
        <v>1</v>
      </c>
      <c r="AA7" s="1215"/>
      <c r="AB7" s="1215"/>
      <c r="AC7" s="1216"/>
      <c r="AD7" s="1217"/>
      <c r="AE7" s="1217"/>
      <c r="AF7" s="1217"/>
      <c r="AG7" s="1217"/>
      <c r="AH7" s="1217"/>
      <c r="AI7" s="1217"/>
      <c r="AJ7" s="1218"/>
    </row>
    <row r="8" spans="1:36" ht="25.5">
      <c r="A8" s="3298"/>
      <c r="B8" s="169" t="s">
        <v>1957</v>
      </c>
      <c r="C8" s="2025" t="s">
        <v>3431</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69" t="s">
        <v>1973</v>
      </c>
      <c r="C9" s="757">
        <f>SUMIF(修正!C71:C138,C8,修正!E71:E138)</f>
        <v>0</v>
      </c>
      <c r="D9" s="170" t="s">
        <v>113</v>
      </c>
      <c r="E9" s="170"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3"/>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1976</v>
      </c>
      <c r="C10" s="170">
        <f>SUMIF(修正!C71:C138,C8,修正!F71:F138)</f>
        <v>0</v>
      </c>
      <c r="D10" s="170" t="s">
        <v>114</v>
      </c>
      <c r="E10" s="170"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8" t="s">
        <v>3258</v>
      </c>
      <c r="B20" s="166" t="s">
        <v>1994</v>
      </c>
      <c r="C20" s="3324">
        <f>ROUND(IF(F21="与级别开发程度一致",0,(G21-E21)/C21),0)</f>
        <v>-75</v>
      </c>
      <c r="D20" s="3340" t="s">
        <v>1998</v>
      </c>
      <c r="E20" s="3341"/>
      <c r="F20" s="3774" t="s">
        <v>1995</v>
      </c>
      <c r="G20" s="3775"/>
      <c r="H20" s="3325" t="s">
        <v>3432</v>
      </c>
      <c r="I20" s="3325" t="s">
        <v>3433</v>
      </c>
      <c r="J20" s="3326" t="s">
        <v>3434</v>
      </c>
      <c r="K20" s="2046" t="s">
        <v>3436</v>
      </c>
      <c r="L20" s="2046" t="s">
        <v>3435</v>
      </c>
      <c r="M20" s="2046" t="s">
        <v>3437</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9"/>
      <c r="B21" s="2163" t="s">
        <v>1997</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3438</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1.5</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3" t="s">
        <v>2002</v>
      </c>
      <c r="E23" s="760">
        <v>44197</v>
      </c>
      <c r="F23" s="2053" t="s">
        <v>2003</v>
      </c>
      <c r="G23" s="761">
        <f>'数据-取费表'!B2</f>
        <v>45230</v>
      </c>
      <c r="H23" s="3342" t="s">
        <v>3260</v>
      </c>
      <c r="I23" s="3343" t="str">
        <f>IF(H23="季度增幅（自定义）",SUMIF(N25:N28,E2,O25:O28),"")</f>
        <v/>
      </c>
      <c r="J23" s="3445" t="s">
        <v>3259</v>
      </c>
      <c r="K23" s="1124"/>
      <c r="L23" s="2054" t="s">
        <v>2004</v>
      </c>
      <c r="M23" s="1327">
        <f>ROUND(SUMIF(地价!B2:G2,E2,地价!B16:G16),0)</f>
        <v>318</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0.88370000000000004</v>
      </c>
      <c r="D24" s="2059" t="s">
        <v>2007</v>
      </c>
      <c r="E24" s="1334">
        <f>存贷款利率!E24/100</f>
        <v>4.3499999999999997E-2</v>
      </c>
      <c r="F24" s="2059" t="s">
        <v>1999</v>
      </c>
      <c r="G24" s="767">
        <f>SUMIF(M30:Q30,E2,M33:Q33)</f>
        <v>0.05</v>
      </c>
      <c r="H24" s="2059" t="s">
        <v>2008</v>
      </c>
      <c r="I24" s="768">
        <f>SUMIF('数据-取费表'!C6:C15,E2,'数据-取费表'!F6:F15)/COUNTIF('数据-取费表'!C6:C15,E2)</f>
        <v>33.68</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1.0583</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1.0149999999999999</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171271</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4">
        <f>ROUND(C5*C22*C23*C24*C25*C28,0)</f>
        <v>3443</v>
      </c>
      <c r="D33" s="2097">
        <f>'数据-汇总表'!D3</f>
        <v>497445.96</v>
      </c>
      <c r="E33" s="772">
        <f>ROUND(C33*D33/10000,0)</f>
        <v>171271</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6">
        <f>ROUND(IF(E2="工业",C33*M42,IF(B25="楼层修正",SUM(V2:V16)*M41*10000/D34,C33*M41)),0)</f>
        <v>516</v>
      </c>
      <c r="D34" s="2102"/>
      <c r="E34" s="772">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2027</v>
      </c>
      <c r="D36" s="446" t="s">
        <v>2028</v>
      </c>
      <c r="E36" s="446" t="s">
        <v>2029</v>
      </c>
      <c r="F36" s="341" t="s">
        <v>2035</v>
      </c>
      <c r="G36" s="2111" t="s">
        <v>2027</v>
      </c>
      <c r="H36" s="2111" t="s">
        <v>2028</v>
      </c>
      <c r="I36" s="2111" t="s">
        <v>2029</v>
      </c>
      <c r="J36" s="242"/>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4">
        <f>ROUND(D5*C22*C23*C24*C28*F37,0)</f>
        <v>1952</v>
      </c>
      <c r="D37" s="2097"/>
      <c r="E37" s="170">
        <f>ROUND(C37*D37/10000,0)</f>
        <v>0</v>
      </c>
      <c r="F37" s="170">
        <f>SUMIF(修正!A57:A68,G2,修正!B57:B68)</f>
        <v>0.6</v>
      </c>
      <c r="G37" s="170">
        <f>ROUND(IF(E2="工业",C37*$M$42,C37*$M$41),0)</f>
        <v>293</v>
      </c>
      <c r="H37" s="170">
        <f>D37</f>
        <v>0</v>
      </c>
      <c r="I37" s="170">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4">
        <f>ROUND(D5*C22*C23*C24*C28*F38,0)</f>
        <v>976</v>
      </c>
      <c r="D38" s="2097"/>
      <c r="E38" s="170">
        <f t="shared" ref="E38:E42" si="4">ROUND(C38*D38/10000,0)</f>
        <v>0</v>
      </c>
      <c r="F38" s="170">
        <f>SUMIF(修正!A57:A68,G2,修正!C57:C68)</f>
        <v>0.3</v>
      </c>
      <c r="G38" s="170">
        <f>ROUND(IF(E2="工业",C38*$M$42,C38*$M$41),0)</f>
        <v>146</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73"/>
      <c r="B39" s="2040" t="s">
        <v>3263</v>
      </c>
      <c r="C39" s="174">
        <f>ROUND(D5*C22*C23*C24*C28*F39,0)</f>
        <v>813</v>
      </c>
      <c r="D39" s="2097"/>
      <c r="E39" s="170">
        <f t="shared" si="4"/>
        <v>0</v>
      </c>
      <c r="F39" s="170">
        <f>SUMIF(修正!A57:A68,G2,修正!D57:D68)</f>
        <v>0.25</v>
      </c>
      <c r="G39" s="170">
        <f>ROUND(IF(E2="工业",C39*$M$42,C39*$M$41),0)</f>
        <v>122</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0">
        <f>ROUND(D5*C22*C23*C24*C28*F40,0)</f>
        <v>813</v>
      </c>
      <c r="D40" s="2097"/>
      <c r="E40" s="170">
        <f t="shared" si="4"/>
        <v>0</v>
      </c>
      <c r="F40" s="174">
        <f>SUMIF(修正!A57:A68,G2,修正!E57:E68)</f>
        <v>0.25</v>
      </c>
      <c r="G40" s="170">
        <f>ROUND(IF(E2="工业",C40*$M$42,C40*$M$41),0)</f>
        <v>122</v>
      </c>
      <c r="H40" s="170">
        <f t="shared" si="5"/>
        <v>0</v>
      </c>
      <c r="I40" s="170">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1">
        <f>ROUND(POWER(1+E44,H44-G44)*(POWER(1+E44,G44)-1)/(POWER(1+E44,H44)-1),4)</f>
        <v>0</v>
      </c>
      <c r="D44" s="170" t="s">
        <v>1999</v>
      </c>
      <c r="E44" s="2152">
        <f>G24</f>
        <v>0.05</v>
      </c>
      <c r="F44" s="170" t="s">
        <v>2008</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1.0149999999999999</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1" t="s">
        <v>1721</v>
      </c>
      <c r="K82" s="551" t="s">
        <v>1722</v>
      </c>
      <c r="L82" s="551" t="s">
        <v>1723</v>
      </c>
      <c r="M82" s="551" t="s">
        <v>1724</v>
      </c>
      <c r="N82" s="551" t="s">
        <v>1725</v>
      </c>
      <c r="Z82" s="1997"/>
      <c r="AA82" s="2052"/>
      <c r="AG82" s="1120"/>
      <c r="AK82" s="2052"/>
    </row>
    <row r="83" spans="1:37" ht="38.25">
      <c r="A83" s="2129" t="s">
        <v>2070</v>
      </c>
      <c r="B83" s="2133" t="str">
        <f>估价对象房地状况!G15</f>
        <v>估价对象位于XX开发区，园区建设成熟度XX，产业集聚程度XX</v>
      </c>
      <c r="C83" s="2043" t="s">
        <v>3439</v>
      </c>
      <c r="D83" s="1064">
        <f t="shared" ref="D83:D90" si="22">SUMIF($J$82:$N$82,C83,J83:N83)</f>
        <v>6.4999999999999997E-3</v>
      </c>
      <c r="E83" s="743">
        <f>ROUND(SUM(D83:D90),4)</f>
        <v>1.4999999999999999E-2</v>
      </c>
      <c r="F83" s="1813">
        <f>IF(E2="工业",SUMIF(L1:L12,G2,N1:N12),"——")</f>
        <v>0.05</v>
      </c>
      <c r="G83" s="1062">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3440</v>
      </c>
      <c r="D84" s="1064">
        <f t="shared" si="22"/>
        <v>0</v>
      </c>
      <c r="E84" s="746"/>
      <c r="F84" s="1813"/>
      <c r="G84" s="1062">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3274</v>
      </c>
      <c r="B85" s="2133">
        <f>估价对象房地状况!G17</f>
        <v>0</v>
      </c>
      <c r="C85" s="2043" t="s">
        <v>3439</v>
      </c>
      <c r="D85" s="1064">
        <f t="shared" si="22"/>
        <v>2.5000000000000001E-3</v>
      </c>
      <c r="E85" s="746"/>
      <c r="F85" s="1813"/>
      <c r="G85" s="1062">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2067</v>
      </c>
      <c r="B86" s="2133">
        <f>估价对象房地状况!G22</f>
        <v>0</v>
      </c>
      <c r="C86" s="2043" t="s">
        <v>3440</v>
      </c>
      <c r="D86" s="1064">
        <f t="shared" si="22"/>
        <v>0</v>
      </c>
      <c r="E86" s="746"/>
      <c r="F86" s="1813"/>
      <c r="G86" s="1062">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2059</v>
      </c>
      <c r="B87" s="1325" t="str">
        <f>估价对象房地状况!G19</f>
        <v>估价对象所在区域公共配套设施齐备情况</v>
      </c>
      <c r="C87" s="2043" t="s">
        <v>3441</v>
      </c>
      <c r="D87" s="1064">
        <f t="shared" si="22"/>
        <v>-1.5E-3</v>
      </c>
      <c r="E87" s="746"/>
      <c r="F87" s="1813"/>
      <c r="G87" s="1062">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2060</v>
      </c>
      <c r="B88" s="1325" t="str">
        <f>估价对象房地状况!G20</f>
        <v>估价对象所在区域基础设施水平</v>
      </c>
      <c r="C88" s="2043" t="s">
        <v>3442</v>
      </c>
      <c r="D88" s="1064">
        <f t="shared" si="22"/>
        <v>6.0000000000000001E-3</v>
      </c>
      <c r="E88" s="746"/>
      <c r="F88" s="1813"/>
      <c r="G88" s="1062">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2057</v>
      </c>
      <c r="B89" s="2135" t="s">
        <v>2071</v>
      </c>
      <c r="C89" s="2043" t="s">
        <v>3439</v>
      </c>
      <c r="D89" s="1064">
        <f t="shared" si="22"/>
        <v>1.5E-3</v>
      </c>
      <c r="E89" s="746"/>
      <c r="F89" s="1813"/>
      <c r="G89" s="1062">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2072</v>
      </c>
      <c r="B90" s="2142" t="str">
        <f>估价对象房地状况!G18</f>
        <v>该园区内是否有污染型企业，绿化情况，卫生条件，整体环境状况判断</v>
      </c>
      <c r="C90" s="2043" t="s">
        <v>3440</v>
      </c>
      <c r="D90" s="1064">
        <f t="shared" si="22"/>
        <v>0</v>
      </c>
      <c r="E90" s="747"/>
      <c r="F90" s="1813"/>
      <c r="G90" s="1062">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3298</v>
      </c>
      <c r="B103" s="3770"/>
      <c r="C103" s="3770"/>
      <c r="D103" s="3770"/>
      <c r="E103" s="3770"/>
      <c r="F103" s="3770"/>
      <c r="G103" s="3770"/>
      <c r="H103" s="3770"/>
      <c r="I103" s="3770"/>
      <c r="J103" s="3770"/>
      <c r="K103" s="3389"/>
      <c r="L103" s="3389"/>
      <c r="M103" s="3389"/>
      <c r="N103" s="3389"/>
    </row>
    <row r="104" spans="1:14">
      <c r="A104" s="3771" t="s">
        <v>3299</v>
      </c>
      <c r="B104" s="3771" t="s">
        <v>3300</v>
      </c>
      <c r="C104" s="3390" t="s">
        <v>3301</v>
      </c>
      <c r="D104" s="3391"/>
      <c r="E104" s="3391"/>
      <c r="F104" s="3391"/>
      <c r="G104" s="3391"/>
      <c r="H104" s="3391"/>
      <c r="I104" s="3391"/>
      <c r="J104" s="3392"/>
      <c r="K104" s="3393"/>
      <c r="L104" s="3393"/>
      <c r="M104" s="3393"/>
      <c r="N104" s="3393"/>
    </row>
    <row r="105" spans="1:14">
      <c r="A105" s="3771"/>
      <c r="B105" s="3771"/>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57"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0" t="s">
        <v>3315</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0.64319999999999999</v>
      </c>
      <c r="E116" s="1999" t="s">
        <v>3318</v>
      </c>
      <c r="F116" s="3401" t="str">
        <f>E2</f>
        <v>工业</v>
      </c>
      <c r="G116" s="1999" t="s">
        <v>3319</v>
      </c>
      <c r="H116" s="3401" t="str">
        <f>G2</f>
        <v>六级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3333</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3334</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5" t="s">
        <v>2611</v>
      </c>
      <c r="B20" s="3780" t="s">
        <v>2632</v>
      </c>
      <c r="C20" s="3102" t="s">
        <v>2443</v>
      </c>
      <c r="D20" s="3103"/>
      <c r="E20" s="3104">
        <v>1</v>
      </c>
      <c r="F20" s="3105" t="s">
        <v>2444</v>
      </c>
      <c r="G20" s="3105"/>
    </row>
    <row r="21" spans="1:13" ht="19.5" customHeight="1">
      <c r="A21" s="3786"/>
      <c r="B21" s="3779"/>
      <c r="C21" s="3106" t="s">
        <v>2445</v>
      </c>
      <c r="D21" s="3107"/>
      <c r="E21" s="3108">
        <v>1</v>
      </c>
      <c r="F21" s="3105" t="s">
        <v>2446</v>
      </c>
      <c r="G21" s="3105"/>
    </row>
    <row r="22" spans="1:13" ht="19.5" customHeight="1">
      <c r="A22" s="3786"/>
      <c r="B22" s="3779"/>
      <c r="C22" s="3106" t="s">
        <v>2447</v>
      </c>
      <c r="D22" s="3107"/>
      <c r="E22" s="3108">
        <v>0.9</v>
      </c>
      <c r="F22" s="3105" t="s">
        <v>2448</v>
      </c>
      <c r="G22" s="3105"/>
    </row>
    <row r="23" spans="1:13" ht="19.5" customHeight="1">
      <c r="A23" s="3786"/>
      <c r="B23" s="3779"/>
      <c r="C23" s="3106" t="s">
        <v>2449</v>
      </c>
      <c r="D23" s="3107"/>
      <c r="E23" s="3108">
        <v>0.9</v>
      </c>
      <c r="F23" s="3105" t="s">
        <v>2450</v>
      </c>
      <c r="G23" s="3105"/>
    </row>
    <row r="24" spans="1:13" ht="19.5" customHeight="1">
      <c r="A24" s="3786"/>
      <c r="B24" s="3779"/>
      <c r="C24" s="3106" t="s">
        <v>2451</v>
      </c>
      <c r="D24" s="3107"/>
      <c r="E24" s="3108">
        <v>0.8</v>
      </c>
      <c r="F24" s="3105" t="s">
        <v>2452</v>
      </c>
      <c r="G24" s="3105"/>
    </row>
    <row r="25" spans="1:13" ht="19.5" customHeight="1" thickBot="1">
      <c r="A25" s="3787"/>
      <c r="B25" s="3781"/>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82" t="s">
        <v>2635</v>
      </c>
      <c r="B27" s="3780" t="s">
        <v>2616</v>
      </c>
      <c r="C27" s="3102" t="s">
        <v>2456</v>
      </c>
      <c r="D27" s="3103"/>
      <c r="E27" s="3104">
        <v>1</v>
      </c>
      <c r="F27" s="3105" t="s">
        <v>2457</v>
      </c>
      <c r="G27" s="3105"/>
    </row>
    <row r="28" spans="1:13" ht="19.5" customHeight="1">
      <c r="A28" s="3783"/>
      <c r="B28" s="3779"/>
      <c r="C28" s="3106" t="s">
        <v>2458</v>
      </c>
      <c r="D28" s="3107"/>
      <c r="E28" s="3108">
        <v>1</v>
      </c>
      <c r="F28" s="3105" t="s">
        <v>2459</v>
      </c>
      <c r="G28" s="3105"/>
    </row>
    <row r="29" spans="1:13" ht="19.5" customHeight="1">
      <c r="A29" s="3783"/>
      <c r="B29" s="3779"/>
      <c r="C29" s="3106" t="s">
        <v>2460</v>
      </c>
      <c r="D29" s="3107"/>
      <c r="E29" s="3108">
        <v>0.8</v>
      </c>
      <c r="F29" s="3105" t="s">
        <v>2461</v>
      </c>
      <c r="G29" s="3105"/>
    </row>
    <row r="30" spans="1:13" ht="19.5" customHeight="1">
      <c r="A30" s="3783"/>
      <c r="B30" s="3779"/>
      <c r="C30" s="3106" t="s">
        <v>2462</v>
      </c>
      <c r="D30" s="3107"/>
      <c r="E30" s="3108">
        <v>0.8</v>
      </c>
      <c r="F30" s="3105" t="s">
        <v>2463</v>
      </c>
      <c r="G30" s="3105"/>
    </row>
    <row r="31" spans="1:13" ht="19.5" customHeight="1">
      <c r="A31" s="3783"/>
      <c r="B31" s="3779"/>
      <c r="C31" s="3106" t="s">
        <v>2464</v>
      </c>
      <c r="D31" s="3107"/>
      <c r="E31" s="3108">
        <v>0.8</v>
      </c>
      <c r="F31" s="3105" t="s">
        <v>2465</v>
      </c>
      <c r="G31" s="3105"/>
    </row>
    <row r="32" spans="1:13" ht="19.5" customHeight="1">
      <c r="A32" s="3783"/>
      <c r="B32" s="3779"/>
      <c r="C32" s="3106" t="s">
        <v>2466</v>
      </c>
      <c r="D32" s="3107"/>
      <c r="E32" s="3108">
        <v>0.7</v>
      </c>
      <c r="F32" s="3105" t="s">
        <v>2467</v>
      </c>
      <c r="G32" s="3105"/>
    </row>
    <row r="33" spans="1:7" ht="19.5" customHeight="1">
      <c r="A33" s="3783"/>
      <c r="B33" s="3779"/>
      <c r="C33" s="3106" t="s">
        <v>2468</v>
      </c>
      <c r="D33" s="3107"/>
      <c r="E33" s="3108">
        <v>0.8</v>
      </c>
      <c r="F33" s="3105" t="s">
        <v>2469</v>
      </c>
      <c r="G33" s="3105"/>
    </row>
    <row r="34" spans="1:7" ht="19.5" customHeight="1">
      <c r="A34" s="3783"/>
      <c r="B34" s="3779"/>
      <c r="C34" s="3106" t="s">
        <v>2470</v>
      </c>
      <c r="D34" s="3107"/>
      <c r="E34" s="3108">
        <v>0.6</v>
      </c>
      <c r="F34" s="3105" t="s">
        <v>2471</v>
      </c>
      <c r="G34" s="3105"/>
    </row>
    <row r="35" spans="1:7" ht="19.5" customHeight="1">
      <c r="A35" s="3783"/>
      <c r="B35" s="3779"/>
      <c r="C35" s="3106" t="s">
        <v>2472</v>
      </c>
      <c r="D35" s="3107"/>
      <c r="E35" s="3108">
        <v>0.2</v>
      </c>
      <c r="F35" s="3105" t="s">
        <v>2473</v>
      </c>
      <c r="G35" s="3105"/>
    </row>
    <row r="36" spans="1:7" ht="19.5" customHeight="1">
      <c r="A36" s="3783"/>
      <c r="B36" s="3779"/>
      <c r="C36" s="3106" t="s">
        <v>2474</v>
      </c>
      <c r="D36" s="3107"/>
      <c r="E36" s="3108">
        <v>0.2</v>
      </c>
      <c r="F36" s="3105" t="s">
        <v>2475</v>
      </c>
      <c r="G36" s="3105"/>
    </row>
    <row r="37" spans="1:7" ht="19.5" customHeight="1">
      <c r="A37" s="3783"/>
      <c r="B37" s="3777" t="s">
        <v>2636</v>
      </c>
      <c r="C37" s="3106" t="s">
        <v>2476</v>
      </c>
      <c r="D37" s="3107"/>
      <c r="E37" s="3108">
        <v>0.6</v>
      </c>
      <c r="F37" s="3105" t="s">
        <v>2477</v>
      </c>
      <c r="G37" s="3105"/>
    </row>
    <row r="38" spans="1:7" ht="19.5" customHeight="1">
      <c r="A38" s="3783"/>
      <c r="B38" s="3779"/>
      <c r="C38" s="3106" t="s">
        <v>2478</v>
      </c>
      <c r="D38" s="3107"/>
      <c r="E38" s="3108">
        <v>0.6</v>
      </c>
      <c r="F38" s="3105" t="s">
        <v>2479</v>
      </c>
      <c r="G38" s="3105"/>
    </row>
    <row r="39" spans="1:7" ht="19.5" customHeight="1" thickBot="1">
      <c r="A39" s="3784"/>
      <c r="B39" s="3781"/>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5" t="s">
        <v>2614</v>
      </c>
      <c r="B41" s="3780" t="s">
        <v>2638</v>
      </c>
      <c r="C41" s="3102" t="s">
        <v>2483</v>
      </c>
      <c r="D41" s="3103"/>
      <c r="E41" s="3104">
        <v>1</v>
      </c>
      <c r="F41" s="3105" t="s">
        <v>2484</v>
      </c>
      <c r="G41" s="3105"/>
    </row>
    <row r="42" spans="1:7" ht="19.5" customHeight="1">
      <c r="A42" s="3786"/>
      <c r="B42" s="3779"/>
      <c r="C42" s="3106" t="s">
        <v>2485</v>
      </c>
      <c r="D42" s="3107"/>
      <c r="E42" s="3108">
        <v>1</v>
      </c>
      <c r="F42" s="3105" t="s">
        <v>2486</v>
      </c>
      <c r="G42" s="3105"/>
    </row>
    <row r="43" spans="1:7" ht="19.5" customHeight="1">
      <c r="A43" s="3786"/>
      <c r="B43" s="3778"/>
      <c r="C43" s="3106" t="s">
        <v>2487</v>
      </c>
      <c r="D43" s="3107"/>
      <c r="E43" s="3108">
        <v>1.5</v>
      </c>
      <c r="F43" s="3105" t="s">
        <v>2488</v>
      </c>
      <c r="G43" s="3105"/>
    </row>
    <row r="44" spans="1:7" ht="19.5" customHeight="1">
      <c r="A44" s="3786"/>
      <c r="B44" s="3117" t="s">
        <v>2639</v>
      </c>
      <c r="C44" s="3106" t="s">
        <v>2640</v>
      </c>
      <c r="D44" s="3107"/>
      <c r="E44" s="3108">
        <v>2</v>
      </c>
      <c r="F44" s="3105" t="s">
        <v>2489</v>
      </c>
      <c r="G44" s="3105"/>
    </row>
    <row r="45" spans="1:7" ht="19.5" customHeight="1">
      <c r="A45" s="3786"/>
      <c r="B45" s="3777" t="s">
        <v>2641</v>
      </c>
      <c r="C45" s="3106" t="s">
        <v>2490</v>
      </c>
      <c r="D45" s="3107"/>
      <c r="E45" s="3108">
        <v>1</v>
      </c>
      <c r="F45" s="3105" t="s">
        <v>2491</v>
      </c>
      <c r="G45" s="3105"/>
    </row>
    <row r="46" spans="1:7" ht="19.5" customHeight="1">
      <c r="A46" s="3786"/>
      <c r="B46" s="3779"/>
      <c r="C46" s="3106" t="s">
        <v>2492</v>
      </c>
      <c r="D46" s="3107"/>
      <c r="E46" s="3108">
        <v>1</v>
      </c>
      <c r="F46" s="3105" t="s">
        <v>2493</v>
      </c>
      <c r="G46" s="3105"/>
    </row>
    <row r="47" spans="1:7" ht="19.5" customHeight="1">
      <c r="A47" s="3786"/>
      <c r="B47" s="3779"/>
      <c r="C47" s="3106" t="s">
        <v>2494</v>
      </c>
      <c r="D47" s="3107"/>
      <c r="E47" s="3108">
        <v>1</v>
      </c>
      <c r="F47" s="3105" t="s">
        <v>2495</v>
      </c>
      <c r="G47" s="3105"/>
    </row>
    <row r="48" spans="1:7" ht="19.5" customHeight="1">
      <c r="A48" s="3786"/>
      <c r="B48" s="3779"/>
      <c r="C48" s="3106" t="s">
        <v>2496</v>
      </c>
      <c r="D48" s="3107"/>
      <c r="E48" s="3108">
        <v>1</v>
      </c>
      <c r="F48" s="3105" t="s">
        <v>2497</v>
      </c>
      <c r="G48" s="3105"/>
    </row>
    <row r="49" spans="1:7" ht="19.5" customHeight="1">
      <c r="A49" s="3786"/>
      <c r="B49" s="3779"/>
      <c r="C49" s="3106" t="s">
        <v>2498</v>
      </c>
      <c r="D49" s="3107"/>
      <c r="E49" s="3108">
        <v>1</v>
      </c>
      <c r="F49" s="3105" t="s">
        <v>2499</v>
      </c>
      <c r="G49" s="3105"/>
    </row>
    <row r="50" spans="1:7" ht="19.5" customHeight="1">
      <c r="A50" s="3786"/>
      <c r="B50" s="3779"/>
      <c r="C50" s="3106" t="s">
        <v>2500</v>
      </c>
      <c r="D50" s="3107"/>
      <c r="E50" s="3108">
        <v>1</v>
      </c>
      <c r="F50" s="3105" t="s">
        <v>2501</v>
      </c>
      <c r="G50" s="3105"/>
    </row>
    <row r="51" spans="1:7" ht="19.5" customHeight="1" thickBot="1">
      <c r="A51" s="3787"/>
      <c r="B51" s="3781"/>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7" t="s">
        <v>2655</v>
      </c>
      <c r="C73" s="3091" t="s">
        <v>2656</v>
      </c>
      <c r="D73" s="3091" t="s">
        <v>2657</v>
      </c>
      <c r="E73" s="3117">
        <v>0.2</v>
      </c>
      <c r="F73" s="3117">
        <v>25</v>
      </c>
    </row>
    <row r="74" spans="1:7" ht="24">
      <c r="A74" s="3117">
        <v>2</v>
      </c>
      <c r="B74" s="3779"/>
      <c r="C74" s="3091" t="s">
        <v>2658</v>
      </c>
      <c r="D74" s="3091" t="s">
        <v>2659</v>
      </c>
      <c r="E74" s="3117">
        <v>0.2</v>
      </c>
      <c r="F74" s="3117">
        <v>25</v>
      </c>
    </row>
    <row r="75" spans="1:7" ht="24">
      <c r="A75" s="3117">
        <v>3</v>
      </c>
      <c r="B75" s="3779"/>
      <c r="C75" s="3091" t="s">
        <v>2660</v>
      </c>
      <c r="D75" s="3091" t="s">
        <v>2661</v>
      </c>
      <c r="E75" s="3117">
        <v>0.2</v>
      </c>
      <c r="F75" s="3117">
        <v>25</v>
      </c>
    </row>
    <row r="76" spans="1:7" ht="13.5">
      <c r="A76" s="3117">
        <v>4</v>
      </c>
      <c r="B76" s="3779"/>
      <c r="C76" s="3091" t="s">
        <v>2662</v>
      </c>
      <c r="D76" s="3091" t="s">
        <v>2663</v>
      </c>
      <c r="E76" s="3117">
        <v>0.15</v>
      </c>
      <c r="F76" s="3117">
        <v>20</v>
      </c>
    </row>
    <row r="77" spans="1:7" ht="24">
      <c r="A77" s="3117">
        <v>5</v>
      </c>
      <c r="B77" s="3779"/>
      <c r="C77" s="3091" t="s">
        <v>2664</v>
      </c>
      <c r="D77" s="3091" t="s">
        <v>2665</v>
      </c>
      <c r="E77" s="3117">
        <v>0.15</v>
      </c>
      <c r="F77" s="3117">
        <v>20</v>
      </c>
    </row>
    <row r="78" spans="1:7" ht="24">
      <c r="A78" s="3117">
        <v>6</v>
      </c>
      <c r="B78" s="3779"/>
      <c r="C78" s="3091" t="s">
        <v>2666</v>
      </c>
      <c r="D78" s="3091" t="s">
        <v>2667</v>
      </c>
      <c r="E78" s="3117">
        <v>0.15</v>
      </c>
      <c r="F78" s="3117">
        <v>20</v>
      </c>
    </row>
    <row r="79" spans="1:7" ht="24">
      <c r="A79" s="3117">
        <v>7</v>
      </c>
      <c r="B79" s="3779"/>
      <c r="C79" s="3091" t="s">
        <v>2668</v>
      </c>
      <c r="D79" s="3091" t="s">
        <v>2669</v>
      </c>
      <c r="E79" s="3117">
        <v>0.15</v>
      </c>
      <c r="F79" s="3117">
        <v>20</v>
      </c>
    </row>
    <row r="80" spans="1:7" ht="24">
      <c r="A80" s="3117">
        <v>8</v>
      </c>
      <c r="B80" s="3779"/>
      <c r="C80" s="3091" t="s">
        <v>2670</v>
      </c>
      <c r="D80" s="3091" t="s">
        <v>2671</v>
      </c>
      <c r="E80" s="3117">
        <v>0.1</v>
      </c>
      <c r="F80" s="3117">
        <v>15</v>
      </c>
    </row>
    <row r="81" spans="1:6" ht="24">
      <c r="A81" s="3117">
        <v>9</v>
      </c>
      <c r="B81" s="3779"/>
      <c r="C81" s="3091" t="s">
        <v>2672</v>
      </c>
      <c r="D81" s="3091" t="s">
        <v>2673</v>
      </c>
      <c r="E81" s="3117">
        <v>0.1</v>
      </c>
      <c r="F81" s="3117">
        <v>15</v>
      </c>
    </row>
    <row r="82" spans="1:6" ht="24">
      <c r="A82" s="3117">
        <v>10</v>
      </c>
      <c r="B82" s="3779"/>
      <c r="C82" s="3091" t="s">
        <v>2674</v>
      </c>
      <c r="D82" s="3091" t="s">
        <v>2675</v>
      </c>
      <c r="E82" s="3117">
        <v>0.1</v>
      </c>
      <c r="F82" s="3117">
        <v>15</v>
      </c>
    </row>
    <row r="83" spans="1:6" ht="24">
      <c r="A83" s="3117">
        <v>11</v>
      </c>
      <c r="B83" s="3779"/>
      <c r="C83" s="3091" t="s">
        <v>2676</v>
      </c>
      <c r="D83" s="3091" t="s">
        <v>2677</v>
      </c>
      <c r="E83" s="3117">
        <v>0.1</v>
      </c>
      <c r="F83" s="3117">
        <v>15</v>
      </c>
    </row>
    <row r="84" spans="1:6" ht="24">
      <c r="A84" s="3117">
        <v>12</v>
      </c>
      <c r="B84" s="3779"/>
      <c r="C84" s="3091" t="s">
        <v>2678</v>
      </c>
      <c r="D84" s="3091" t="s">
        <v>2679</v>
      </c>
      <c r="E84" s="3117">
        <v>0.1</v>
      </c>
      <c r="F84" s="3117">
        <v>15</v>
      </c>
    </row>
    <row r="85" spans="1:6" ht="13.5">
      <c r="A85" s="3117">
        <v>13</v>
      </c>
      <c r="B85" s="3779"/>
      <c r="C85" s="3091" t="s">
        <v>2680</v>
      </c>
      <c r="D85" s="3091" t="s">
        <v>2681</v>
      </c>
      <c r="E85" s="3117">
        <v>0.1</v>
      </c>
      <c r="F85" s="3117">
        <v>15</v>
      </c>
    </row>
    <row r="86" spans="1:6" ht="13.5">
      <c r="A86" s="3117">
        <v>14</v>
      </c>
      <c r="B86" s="3779"/>
      <c r="C86" s="3091" t="s">
        <v>2682</v>
      </c>
      <c r="D86" s="3091" t="s">
        <v>2683</v>
      </c>
      <c r="E86" s="3117">
        <v>0.1</v>
      </c>
      <c r="F86" s="3117">
        <v>15</v>
      </c>
    </row>
    <row r="87" spans="1:6" ht="13.5">
      <c r="A87" s="3117">
        <v>15</v>
      </c>
      <c r="B87" s="3779"/>
      <c r="C87" s="3091" t="s">
        <v>2684</v>
      </c>
      <c r="D87" s="3091" t="s">
        <v>2685</v>
      </c>
      <c r="E87" s="3117">
        <v>0.1</v>
      </c>
      <c r="F87" s="3117">
        <v>15</v>
      </c>
    </row>
    <row r="88" spans="1:6" ht="24">
      <c r="A88" s="3117">
        <v>16</v>
      </c>
      <c r="B88" s="3779"/>
      <c r="C88" s="3091" t="s">
        <v>2686</v>
      </c>
      <c r="D88" s="3091" t="s">
        <v>2687</v>
      </c>
      <c r="E88" s="3117">
        <v>0.1</v>
      </c>
      <c r="F88" s="3117">
        <v>15</v>
      </c>
    </row>
    <row r="89" spans="1:6" ht="24">
      <c r="A89" s="3117">
        <v>17</v>
      </c>
      <c r="B89" s="3778"/>
      <c r="C89" s="3091" t="s">
        <v>2688</v>
      </c>
      <c r="D89" s="3091" t="s">
        <v>2689</v>
      </c>
      <c r="E89" s="3117">
        <v>0.1</v>
      </c>
      <c r="F89" s="3117">
        <v>15</v>
      </c>
    </row>
    <row r="90" spans="1:6" ht="13.5">
      <c r="A90" s="3117">
        <v>18</v>
      </c>
      <c r="B90" s="3777" t="s">
        <v>2690</v>
      </c>
      <c r="C90" s="3091" t="s">
        <v>2691</v>
      </c>
      <c r="D90" s="3091" t="s">
        <v>2692</v>
      </c>
      <c r="E90" s="3117">
        <v>0.2</v>
      </c>
      <c r="F90" s="3117">
        <v>25</v>
      </c>
    </row>
    <row r="91" spans="1:6" ht="24">
      <c r="A91" s="3117">
        <v>19</v>
      </c>
      <c r="B91" s="3779"/>
      <c r="C91" s="3091" t="s">
        <v>2693</v>
      </c>
      <c r="D91" s="3091" t="s">
        <v>2694</v>
      </c>
      <c r="E91" s="3117">
        <v>0.2</v>
      </c>
      <c r="F91" s="3117">
        <v>25</v>
      </c>
    </row>
    <row r="92" spans="1:6" ht="13.5">
      <c r="A92" s="3117">
        <v>20</v>
      </c>
      <c r="B92" s="3779"/>
      <c r="C92" s="3091" t="s">
        <v>2695</v>
      </c>
      <c r="D92" s="3091" t="s">
        <v>2696</v>
      </c>
      <c r="E92" s="3117">
        <v>0.15</v>
      </c>
      <c r="F92" s="3117">
        <v>20</v>
      </c>
    </row>
    <row r="93" spans="1:6" ht="13.5">
      <c r="A93" s="3117">
        <v>21</v>
      </c>
      <c r="B93" s="3779"/>
      <c r="C93" s="3091" t="s">
        <v>2697</v>
      </c>
      <c r="D93" s="3091" t="s">
        <v>2698</v>
      </c>
      <c r="E93" s="3117">
        <v>0.15</v>
      </c>
      <c r="F93" s="3117">
        <v>20</v>
      </c>
    </row>
    <row r="94" spans="1:6" ht="13.5">
      <c r="A94" s="3117">
        <v>22</v>
      </c>
      <c r="B94" s="3779"/>
      <c r="C94" s="3091" t="s">
        <v>2699</v>
      </c>
      <c r="D94" s="3091" t="s">
        <v>2700</v>
      </c>
      <c r="E94" s="3117">
        <v>0.15</v>
      </c>
      <c r="F94" s="3117">
        <v>20</v>
      </c>
    </row>
    <row r="95" spans="1:6" ht="36">
      <c r="A95" s="3117">
        <v>23</v>
      </c>
      <c r="B95" s="3779"/>
      <c r="C95" s="3091" t="s">
        <v>2701</v>
      </c>
      <c r="D95" s="3091" t="s">
        <v>2702</v>
      </c>
      <c r="E95" s="3117">
        <v>0.15</v>
      </c>
      <c r="F95" s="3117">
        <v>20</v>
      </c>
    </row>
    <row r="96" spans="1:6" ht="13.5">
      <c r="A96" s="3117">
        <v>24</v>
      </c>
      <c r="B96" s="3779"/>
      <c r="C96" s="3091" t="s">
        <v>2703</v>
      </c>
      <c r="D96" s="3091" t="s">
        <v>2704</v>
      </c>
      <c r="E96" s="3117">
        <v>0.1</v>
      </c>
      <c r="F96" s="3117">
        <v>15</v>
      </c>
    </row>
    <row r="97" spans="1:6" ht="13.5">
      <c r="A97" s="3117">
        <v>25</v>
      </c>
      <c r="B97" s="3779"/>
      <c r="C97" s="3091" t="s">
        <v>2705</v>
      </c>
      <c r="D97" s="3091" t="s">
        <v>2706</v>
      </c>
      <c r="E97" s="3117">
        <v>0.1</v>
      </c>
      <c r="F97" s="3117">
        <v>15</v>
      </c>
    </row>
    <row r="98" spans="1:6" ht="24">
      <c r="A98" s="3117">
        <v>26</v>
      </c>
      <c r="B98" s="3779"/>
      <c r="C98" s="3091" t="s">
        <v>2707</v>
      </c>
      <c r="D98" s="3091" t="s">
        <v>2708</v>
      </c>
      <c r="E98" s="3117">
        <v>0.1</v>
      </c>
      <c r="F98" s="3117">
        <v>15</v>
      </c>
    </row>
    <row r="99" spans="1:6" ht="24">
      <c r="A99" s="3117">
        <v>27</v>
      </c>
      <c r="B99" s="3779"/>
      <c r="C99" s="3091" t="s">
        <v>2709</v>
      </c>
      <c r="D99" s="3091" t="s">
        <v>2710</v>
      </c>
      <c r="E99" s="3117">
        <v>0.1</v>
      </c>
      <c r="F99" s="3117">
        <v>15</v>
      </c>
    </row>
    <row r="100" spans="1:6" ht="13.5">
      <c r="A100" s="3117">
        <v>28</v>
      </c>
      <c r="B100" s="3779"/>
      <c r="C100" s="3091" t="s">
        <v>2711</v>
      </c>
      <c r="D100" s="3091" t="s">
        <v>2712</v>
      </c>
      <c r="E100" s="3117">
        <v>0.1</v>
      </c>
      <c r="F100" s="3117">
        <v>15</v>
      </c>
    </row>
    <row r="101" spans="1:6" ht="13.5">
      <c r="A101" s="3117">
        <v>29</v>
      </c>
      <c r="B101" s="3779"/>
      <c r="C101" s="3091" t="s">
        <v>2713</v>
      </c>
      <c r="D101" s="3091" t="s">
        <v>2714</v>
      </c>
      <c r="E101" s="3117">
        <v>0.1</v>
      </c>
      <c r="F101" s="3117">
        <v>15</v>
      </c>
    </row>
    <row r="102" spans="1:6" ht="13.5">
      <c r="A102" s="3117">
        <v>30</v>
      </c>
      <c r="B102" s="3779"/>
      <c r="C102" s="3091" t="s">
        <v>2715</v>
      </c>
      <c r="D102" s="3091" t="s">
        <v>2716</v>
      </c>
      <c r="E102" s="3117">
        <v>0.1</v>
      </c>
      <c r="F102" s="3117">
        <v>15</v>
      </c>
    </row>
    <row r="103" spans="1:6" ht="24">
      <c r="A103" s="3117">
        <v>31</v>
      </c>
      <c r="B103" s="3779"/>
      <c r="C103" s="3091" t="s">
        <v>2717</v>
      </c>
      <c r="D103" s="3091" t="s">
        <v>2718</v>
      </c>
      <c r="E103" s="3117">
        <v>0.1</v>
      </c>
      <c r="F103" s="3117">
        <v>15</v>
      </c>
    </row>
    <row r="104" spans="1:6" ht="24">
      <c r="A104" s="3117">
        <v>32</v>
      </c>
      <c r="B104" s="3779"/>
      <c r="C104" s="3091" t="s">
        <v>2719</v>
      </c>
      <c r="D104" s="3091" t="s">
        <v>2720</v>
      </c>
      <c r="E104" s="3117">
        <v>0.1</v>
      </c>
      <c r="F104" s="3117">
        <v>15</v>
      </c>
    </row>
    <row r="105" spans="1:6" ht="24">
      <c r="A105" s="3117">
        <v>33</v>
      </c>
      <c r="B105" s="3779"/>
      <c r="C105" s="3091" t="s">
        <v>2721</v>
      </c>
      <c r="D105" s="3091" t="s">
        <v>2722</v>
      </c>
      <c r="E105" s="3117">
        <v>0.1</v>
      </c>
      <c r="F105" s="3117">
        <v>15</v>
      </c>
    </row>
    <row r="106" spans="1:6" ht="24">
      <c r="A106" s="3117">
        <v>34</v>
      </c>
      <c r="B106" s="3778"/>
      <c r="C106" s="3091" t="s">
        <v>2723</v>
      </c>
      <c r="D106" s="3091" t="s">
        <v>2724</v>
      </c>
      <c r="E106" s="3117">
        <v>0.1</v>
      </c>
      <c r="F106" s="3117">
        <v>15</v>
      </c>
    </row>
    <row r="107" spans="1:6" ht="24">
      <c r="A107" s="3117">
        <v>35</v>
      </c>
      <c r="B107" s="3777" t="s">
        <v>2725</v>
      </c>
      <c r="C107" s="3117" t="s">
        <v>2726</v>
      </c>
      <c r="D107" s="3091" t="s">
        <v>2727</v>
      </c>
      <c r="E107" s="3117">
        <v>0.15</v>
      </c>
      <c r="F107" s="3117">
        <v>20</v>
      </c>
    </row>
    <row r="108" spans="1:6" ht="13.5">
      <c r="A108" s="3117">
        <v>36</v>
      </c>
      <c r="B108" s="3779"/>
      <c r="C108" s="3117" t="s">
        <v>2728</v>
      </c>
      <c r="D108" s="3091" t="s">
        <v>2729</v>
      </c>
      <c r="E108" s="3117">
        <v>0.15</v>
      </c>
      <c r="F108" s="3117">
        <v>20</v>
      </c>
    </row>
    <row r="109" spans="1:6" ht="13.5">
      <c r="A109" s="3117">
        <v>37</v>
      </c>
      <c r="B109" s="3779"/>
      <c r="C109" s="3117" t="s">
        <v>2730</v>
      </c>
      <c r="D109" s="3091" t="s">
        <v>2731</v>
      </c>
      <c r="E109" s="3117">
        <v>0.15</v>
      </c>
      <c r="F109" s="3117">
        <v>20</v>
      </c>
    </row>
    <row r="110" spans="1:6" ht="13.5">
      <c r="A110" s="3117">
        <v>38</v>
      </c>
      <c r="B110" s="3779"/>
      <c r="C110" s="3117" t="s">
        <v>2732</v>
      </c>
      <c r="D110" s="3091" t="s">
        <v>2733</v>
      </c>
      <c r="E110" s="3117">
        <v>0.1</v>
      </c>
      <c r="F110" s="3117">
        <v>15</v>
      </c>
    </row>
    <row r="111" spans="1:6" ht="24">
      <c r="A111" s="3117">
        <v>39</v>
      </c>
      <c r="B111" s="3779"/>
      <c r="C111" s="3117" t="s">
        <v>2734</v>
      </c>
      <c r="D111" s="3091" t="s">
        <v>2735</v>
      </c>
      <c r="E111" s="3117">
        <v>0.1</v>
      </c>
      <c r="F111" s="3117">
        <v>15</v>
      </c>
    </row>
    <row r="112" spans="1:6" ht="24">
      <c r="A112" s="3117">
        <v>40</v>
      </c>
      <c r="B112" s="3778"/>
      <c r="C112" s="3117" t="s">
        <v>2736</v>
      </c>
      <c r="D112" s="3091" t="s">
        <v>2737</v>
      </c>
      <c r="E112" s="3117">
        <v>0.1</v>
      </c>
      <c r="F112" s="3117">
        <v>15</v>
      </c>
    </row>
    <row r="113" spans="1:6" ht="13.5">
      <c r="A113" s="3117">
        <v>41</v>
      </c>
      <c r="B113" s="3776" t="s">
        <v>2738</v>
      </c>
      <c r="C113" s="3117" t="s">
        <v>2739</v>
      </c>
      <c r="D113" s="3091" t="s">
        <v>2740</v>
      </c>
      <c r="E113" s="3117">
        <v>0.1</v>
      </c>
      <c r="F113" s="3117">
        <v>15</v>
      </c>
    </row>
    <row r="114" spans="1:6" ht="13.5">
      <c r="A114" s="3117">
        <v>42</v>
      </c>
      <c r="B114" s="3776"/>
      <c r="C114" s="3117" t="s">
        <v>2741</v>
      </c>
      <c r="D114" s="3091" t="s">
        <v>2742</v>
      </c>
      <c r="E114" s="3117">
        <v>0.1</v>
      </c>
      <c r="F114" s="3117">
        <v>15</v>
      </c>
    </row>
    <row r="115" spans="1:6" ht="24">
      <c r="A115" s="3117">
        <v>43</v>
      </c>
      <c r="B115" s="3776"/>
      <c r="C115" s="3117" t="s">
        <v>2743</v>
      </c>
      <c r="D115" s="3091" t="s">
        <v>2744</v>
      </c>
      <c r="E115" s="3117">
        <v>0.1</v>
      </c>
      <c r="F115" s="3117">
        <v>15</v>
      </c>
    </row>
    <row r="116" spans="1:6" ht="13.5">
      <c r="A116" s="3117">
        <v>44</v>
      </c>
      <c r="B116" s="3777" t="s">
        <v>2745</v>
      </c>
      <c r="C116" s="3117" t="s">
        <v>2746</v>
      </c>
      <c r="D116" s="3091" t="s">
        <v>2747</v>
      </c>
      <c r="E116" s="3117">
        <v>0.1</v>
      </c>
      <c r="F116" s="3117">
        <v>15</v>
      </c>
    </row>
    <row r="117" spans="1:6" ht="24">
      <c r="A117" s="3117">
        <v>45</v>
      </c>
      <c r="B117" s="3778"/>
      <c r="C117" s="3091" t="s">
        <v>2748</v>
      </c>
      <c r="D117" s="3091" t="s">
        <v>2749</v>
      </c>
      <c r="E117" s="3117">
        <v>0.1</v>
      </c>
      <c r="F117" s="3117">
        <v>15</v>
      </c>
    </row>
    <row r="118" spans="1:6" ht="24">
      <c r="A118" s="3117">
        <v>46</v>
      </c>
      <c r="B118" s="3777" t="s">
        <v>2750</v>
      </c>
      <c r="C118" s="3117" t="s">
        <v>2751</v>
      </c>
      <c r="D118" s="3091" t="s">
        <v>2752</v>
      </c>
      <c r="E118" s="3117">
        <v>0.1</v>
      </c>
      <c r="F118" s="3117">
        <v>15</v>
      </c>
    </row>
    <row r="119" spans="1:6" ht="24">
      <c r="A119" s="3117">
        <v>47</v>
      </c>
      <c r="B119" s="3778"/>
      <c r="C119" s="3117" t="s">
        <v>2753</v>
      </c>
      <c r="D119" s="3091" t="s">
        <v>2754</v>
      </c>
      <c r="E119" s="3117">
        <v>0.1</v>
      </c>
      <c r="F119" s="3117">
        <v>15</v>
      </c>
    </row>
    <row r="120" spans="1:6" ht="13.5">
      <c r="A120" s="3117">
        <v>48</v>
      </c>
      <c r="B120" s="3777" t="s">
        <v>2755</v>
      </c>
      <c r="C120" s="3117" t="s">
        <v>2756</v>
      </c>
      <c r="D120" s="3091" t="s">
        <v>2757</v>
      </c>
      <c r="E120" s="3117">
        <v>0.1</v>
      </c>
      <c r="F120" s="3117">
        <v>15</v>
      </c>
    </row>
    <row r="121" spans="1:6" ht="13.5">
      <c r="A121" s="3117">
        <v>49</v>
      </c>
      <c r="B121" s="3778"/>
      <c r="C121" s="3117" t="s">
        <v>2758</v>
      </c>
      <c r="D121" s="3091" t="s">
        <v>2759</v>
      </c>
      <c r="E121" s="3117">
        <v>0.1</v>
      </c>
      <c r="F121" s="3117">
        <v>15</v>
      </c>
    </row>
    <row r="122" spans="1:6" ht="24">
      <c r="A122" s="3117">
        <v>50</v>
      </c>
      <c r="B122" s="3776" t="s">
        <v>2760</v>
      </c>
      <c r="C122" s="3117" t="s">
        <v>2761</v>
      </c>
      <c r="D122" s="3091" t="s">
        <v>2762</v>
      </c>
      <c r="E122" s="3117">
        <v>0.1</v>
      </c>
      <c r="F122" s="3117">
        <v>15</v>
      </c>
    </row>
    <row r="123" spans="1:6" ht="24">
      <c r="A123" s="3117">
        <v>51</v>
      </c>
      <c r="B123" s="3776"/>
      <c r="C123" s="3117" t="s">
        <v>2763</v>
      </c>
      <c r="D123" s="3091" t="s">
        <v>2764</v>
      </c>
      <c r="E123" s="3117">
        <v>0.1</v>
      </c>
      <c r="F123" s="3117">
        <v>15</v>
      </c>
    </row>
    <row r="124" spans="1:6" ht="24">
      <c r="A124" s="3117">
        <v>52</v>
      </c>
      <c r="B124" s="3776" t="s">
        <v>2765</v>
      </c>
      <c r="C124" s="3117" t="s">
        <v>2766</v>
      </c>
      <c r="D124" s="3091" t="s">
        <v>2767</v>
      </c>
      <c r="E124" s="3117">
        <v>0.1</v>
      </c>
      <c r="F124" s="3117">
        <v>15</v>
      </c>
    </row>
    <row r="125" spans="1:6" ht="24">
      <c r="A125" s="3117">
        <v>53</v>
      </c>
      <c r="B125" s="3776"/>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76" t="s">
        <v>2773</v>
      </c>
      <c r="C127" s="3117" t="s">
        <v>2774</v>
      </c>
      <c r="D127" s="3091" t="s">
        <v>2775</v>
      </c>
      <c r="E127" s="3117">
        <v>0.1</v>
      </c>
      <c r="F127" s="3117">
        <v>15</v>
      </c>
    </row>
    <row r="128" spans="1:6" ht="13.5">
      <c r="A128" s="3117">
        <v>56</v>
      </c>
      <c r="B128" s="3776"/>
      <c r="C128" s="3117" t="s">
        <v>2776</v>
      </c>
      <c r="D128" s="3091" t="s">
        <v>2777</v>
      </c>
      <c r="E128" s="3117">
        <v>0.1</v>
      </c>
      <c r="F128" s="3117">
        <v>15</v>
      </c>
    </row>
    <row r="129" spans="1:6" ht="24">
      <c r="A129" s="3117">
        <v>57</v>
      </c>
      <c r="B129" s="3776"/>
      <c r="C129" s="3117" t="s">
        <v>2778</v>
      </c>
      <c r="D129" s="3091" t="s">
        <v>2779</v>
      </c>
      <c r="E129" s="3117">
        <v>0.1</v>
      </c>
      <c r="F129" s="3117">
        <v>15</v>
      </c>
    </row>
    <row r="130" spans="1:6" ht="24">
      <c r="A130" s="3117">
        <v>58</v>
      </c>
      <c r="B130" s="3776" t="s">
        <v>2780</v>
      </c>
      <c r="C130" s="3117" t="s">
        <v>2781</v>
      </c>
      <c r="D130" s="3091" t="s">
        <v>2782</v>
      </c>
      <c r="E130" s="3117">
        <v>0.1</v>
      </c>
      <c r="F130" s="3117">
        <v>15</v>
      </c>
    </row>
    <row r="131" spans="1:6" ht="13.5">
      <c r="A131" s="3117">
        <v>59</v>
      </c>
      <c r="B131" s="3776"/>
      <c r="C131" s="3117" t="s">
        <v>2783</v>
      </c>
      <c r="D131" s="3091" t="s">
        <v>2784</v>
      </c>
      <c r="E131" s="3117">
        <v>0.1</v>
      </c>
      <c r="F131" s="3117">
        <v>15</v>
      </c>
    </row>
    <row r="132" spans="1:6" ht="13.5">
      <c r="A132" s="3117">
        <v>60</v>
      </c>
      <c r="B132" s="3777" t="s">
        <v>2785</v>
      </c>
      <c r="C132" s="3117" t="s">
        <v>2786</v>
      </c>
      <c r="D132" s="3091" t="s">
        <v>2787</v>
      </c>
      <c r="E132" s="3117">
        <v>0.1</v>
      </c>
      <c r="F132" s="3117">
        <v>15</v>
      </c>
    </row>
    <row r="133" spans="1:6" ht="13.5">
      <c r="A133" s="3117">
        <v>61</v>
      </c>
      <c r="B133" s="3778"/>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76" t="s">
        <v>2793</v>
      </c>
      <c r="C135" s="3117" t="s">
        <v>2794</v>
      </c>
      <c r="D135" s="3091" t="s">
        <v>2795</v>
      </c>
      <c r="E135" s="3117">
        <v>0.1</v>
      </c>
      <c r="F135" s="3117">
        <v>15</v>
      </c>
    </row>
    <row r="136" spans="1:6" ht="13.5">
      <c r="A136" s="3117">
        <v>64</v>
      </c>
      <c r="B136" s="3776"/>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1.2158</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1.1565000000000001</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2"/>
      <c r="B4" s="3470" t="s">
        <v>917</v>
      </c>
      <c r="C4" s="3470"/>
      <c r="D4" s="3470"/>
      <c r="E4" s="1492"/>
    </row>
    <row r="5" spans="1:5" ht="16.5" thickTop="1">
      <c r="A5" s="1490"/>
      <c r="B5" s="3468" t="s">
        <v>909</v>
      </c>
      <c r="C5" s="1493" t="s">
        <v>910</v>
      </c>
      <c r="D5" s="849">
        <f ca="1">结果表!H101</f>
        <v>201837</v>
      </c>
      <c r="E5" s="1490"/>
    </row>
    <row r="6" spans="1:5" ht="15.75">
      <c r="A6" s="1490"/>
      <c r="B6" s="3468"/>
      <c r="C6" s="1493" t="s">
        <v>911</v>
      </c>
      <c r="D6" s="849" t="str">
        <f ca="1">NUMBERSTRING(INT(D5*10000),2)&amp;"元整"</f>
        <v>贰拾亿壹仟捌佰叁拾柒万元整</v>
      </c>
      <c r="E6" s="1490"/>
    </row>
    <row r="7" spans="1:5" ht="15.75">
      <c r="A7" s="1490"/>
      <c r="B7" s="3473"/>
      <c r="C7" s="1494" t="s">
        <v>912</v>
      </c>
      <c r="D7" s="850">
        <f ca="1">结果表!H102</f>
        <v>19896</v>
      </c>
      <c r="E7" s="1490"/>
    </row>
    <row r="8" spans="1:5" ht="15.75">
      <c r="A8" s="1490"/>
      <c r="B8" s="3474" t="str">
        <f>结果表!E103</f>
        <v>2.估价师知悉的法定优先受偿款</v>
      </c>
      <c r="C8" s="1495" t="s">
        <v>913</v>
      </c>
      <c r="D8" s="850">
        <f>结果表!H103</f>
        <v>0</v>
      </c>
      <c r="E8" s="1490"/>
    </row>
    <row r="9" spans="1:5" ht="15.75">
      <c r="A9" s="1490"/>
      <c r="B9" s="347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7" t="str">
        <f>结果表!E107</f>
        <v>3.房地产抵押价值</v>
      </c>
      <c r="C13" s="1498" t="s">
        <v>910</v>
      </c>
      <c r="D13" s="852">
        <f ca="1">结果表!H107</f>
        <v>201837</v>
      </c>
      <c r="E13" s="1490"/>
    </row>
    <row r="14" spans="1:5" ht="15.75">
      <c r="A14" s="1490"/>
      <c r="B14" s="3468"/>
      <c r="C14" s="1493" t="s">
        <v>911</v>
      </c>
      <c r="D14" s="849" t="str">
        <f ca="1">NUMBERSTRING(INT(D13*10000),2)&amp;"元整"</f>
        <v>贰拾亿壹仟捌佰叁拾柒万元整</v>
      </c>
      <c r="E14" s="1490"/>
    </row>
    <row r="15" spans="1:5" ht="15">
      <c r="A15" s="1490"/>
      <c r="B15" s="3473"/>
      <c r="C15" s="1494" t="s">
        <v>921</v>
      </c>
      <c r="D15" s="858">
        <f ca="1">结果表!H108</f>
        <v>19896</v>
      </c>
      <c r="E15" s="1490"/>
    </row>
    <row r="16" spans="1:5" ht="15">
      <c r="A16" s="1490"/>
      <c r="B16" s="3474" t="str">
        <f>结果表!E109</f>
        <v>——</v>
      </c>
      <c r="C16" s="1498" t="s">
        <v>922</v>
      </c>
      <c r="D16" s="1499" t="str">
        <f>结果表!H109</f>
        <v>——</v>
      </c>
      <c r="E16" s="1490"/>
    </row>
    <row r="17" spans="1:5" ht="15.75">
      <c r="A17" s="1490"/>
      <c r="B17" s="3475"/>
      <c r="C17" s="1493" t="s">
        <v>923</v>
      </c>
      <c r="D17" s="849" t="e">
        <f>NUMBERSTRING(INT(D16*10000),2)&amp;"元整"</f>
        <v>#VALUE!</v>
      </c>
      <c r="E17" s="1490"/>
    </row>
    <row r="18" spans="1:5" ht="15">
      <c r="A18" s="1490"/>
      <c r="B18" s="3476"/>
      <c r="C18" s="1494" t="s">
        <v>912</v>
      </c>
      <c r="D18" s="858" t="str">
        <f>结果表!H110</f>
        <v>——</v>
      </c>
      <c r="E18" s="1490"/>
    </row>
    <row r="19" spans="1:5" ht="15.75">
      <c r="A19" s="1490"/>
      <c r="B19" s="3467" t="str">
        <f>结果表!E111</f>
        <v>——</v>
      </c>
      <c r="C19" s="1498" t="s">
        <v>910</v>
      </c>
      <c r="D19" s="850" t="str">
        <f>结果表!H111</f>
        <v>——</v>
      </c>
      <c r="E19" s="1490"/>
    </row>
    <row r="20" spans="1:5" ht="15.75">
      <c r="A20" s="1490"/>
      <c r="B20" s="3468"/>
      <c r="C20" s="1493" t="s">
        <v>923</v>
      </c>
      <c r="D20" s="849" t="e">
        <f>NUMBERSTRING(INT(D19*10000),2)&amp;"元整"</f>
        <v>#VALUE!</v>
      </c>
      <c r="E20" s="1490"/>
    </row>
    <row r="21" spans="1:5" ht="15.75" thickBot="1">
      <c r="A21" s="1490"/>
      <c r="B21" s="346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69716</v>
      </c>
      <c r="C2" s="2" t="s">
        <v>106</v>
      </c>
      <c r="D2" s="198"/>
      <c r="E2" s="198"/>
      <c r="F2" s="198"/>
      <c r="G2" s="198"/>
    </row>
    <row r="3" spans="1:7" s="199" customFormat="1" ht="18" customHeight="1" thickBot="1">
      <c r="A3" s="202" t="s">
        <v>58</v>
      </c>
      <c r="B3" s="203">
        <f ca="1">ROUND(B2*10000/'数据-汇总表'!E3,0)</f>
        <v>6872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0</v>
      </c>
      <c r="D10" s="844">
        <f>'数据-汇总表'!E6</f>
        <v>101448.13</v>
      </c>
      <c r="E10" s="224">
        <f>'数据-取费表'!B28</f>
        <v>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2029</v>
      </c>
      <c r="D19" s="848">
        <f>'数据-汇总表'!E3</f>
        <v>101448.13</v>
      </c>
      <c r="E19" s="210">
        <f>'数据-取费表'!B31</f>
        <v>200</v>
      </c>
      <c r="F19" s="230"/>
      <c r="G19" s="1" t="s">
        <v>436</v>
      </c>
    </row>
    <row r="20" spans="1:7" s="213" customFormat="1" ht="13.5" customHeight="1">
      <c r="A20" s="776" t="s">
        <v>419</v>
      </c>
      <c r="B20" s="209" t="s">
        <v>77</v>
      </c>
      <c r="C20" s="231">
        <f>ROUND((C5+C19)*F20,0)</f>
        <v>453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1605</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142</v>
      </c>
      <c r="D24" s="237"/>
      <c r="E24" s="237"/>
      <c r="F24" s="238"/>
      <c r="G24" s="239" t="s">
        <v>82</v>
      </c>
    </row>
    <row r="25" spans="1:7" s="213" customFormat="1" ht="24">
      <c r="A25" s="779" t="s">
        <v>348</v>
      </c>
      <c r="B25" s="214" t="s">
        <v>420</v>
      </c>
      <c r="C25" s="1104">
        <f ca="1">ROUND(IF('数据-取费表'!B22&lt;=1,C20*F22*'数据-取费表'!B23/2,C20*(POWER((1+F22),'数据-取费表'!B23/2)-1)),0)</f>
        <v>16</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3464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3464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30480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32972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29611</v>
      </c>
      <c r="D34" s="216"/>
      <c r="E34" s="219"/>
      <c r="F34" s="256">
        <f>IF('数据-取费表'!B24=0,1,'数据-取费表'!N16)</f>
        <v>1</v>
      </c>
      <c r="G34" s="218" t="s">
        <v>89</v>
      </c>
    </row>
    <row r="35" spans="1:7" ht="13.5" customHeight="1">
      <c r="A35" s="779" t="s">
        <v>351</v>
      </c>
      <c r="B35" s="214" t="s">
        <v>33</v>
      </c>
      <c r="C35" s="219">
        <f>ROUND(C34*F35,0)</f>
        <v>888</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2029</v>
      </c>
      <c r="D37" s="216">
        <f>'数据-汇总表'!E3</f>
        <v>101448.13</v>
      </c>
      <c r="E37" s="248">
        <f>'数据-取费表'!B35</f>
        <v>200</v>
      </c>
      <c r="F37" s="258"/>
      <c r="G37" s="260" t="s">
        <v>92</v>
      </c>
    </row>
    <row r="38" spans="1:7" ht="13.5" customHeight="1">
      <c r="A38" s="779" t="s">
        <v>354</v>
      </c>
      <c r="B38" s="214" t="s">
        <v>36</v>
      </c>
      <c r="C38" s="219">
        <f>ROUND(C34*F38,0)</f>
        <v>444</v>
      </c>
      <c r="D38" s="219"/>
      <c r="E38" s="219"/>
      <c r="F38" s="258">
        <f>'数据-取费表'!B36</f>
        <v>1.4999999999999999E-2</v>
      </c>
      <c r="G38" s="218" t="s">
        <v>90</v>
      </c>
    </row>
    <row r="39" spans="1:7" s="213" customFormat="1" ht="13.5" customHeight="1">
      <c r="A39" s="776" t="s">
        <v>338</v>
      </c>
      <c r="B39" s="209" t="s">
        <v>77</v>
      </c>
      <c r="C39" s="231">
        <f>ROUND(C33*F20,0)</f>
        <v>659</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1161</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1138</v>
      </c>
      <c r="D42" s="237"/>
      <c r="E42" s="237"/>
      <c r="F42" s="238"/>
      <c r="G42" s="3652" t="s">
        <v>94</v>
      </c>
    </row>
    <row r="43" spans="1:7" ht="13.5" customHeight="1">
      <c r="A43" s="779" t="s">
        <v>347</v>
      </c>
      <c r="B43" s="214" t="s">
        <v>426</v>
      </c>
      <c r="C43" s="237">
        <f ca="1">ROUND(IF('数据-取费表'!B22&lt;=1,C39*F22*'数据-取费表'!B21/2,C39*(POWER((1+F22),'数据-取费表'!B21/2)-1)),0)</f>
        <v>23</v>
      </c>
      <c r="D43" s="237"/>
      <c r="E43" s="237"/>
      <c r="F43" s="238"/>
      <c r="G43" s="3653"/>
    </row>
    <row r="44" spans="1:7" ht="13.5" customHeight="1">
      <c r="A44" s="779" t="s">
        <v>348</v>
      </c>
      <c r="B44" s="214" t="s">
        <v>428</v>
      </c>
      <c r="C44" s="237">
        <f ca="1">ROUND(IF('数据-取费表'!B22&lt;=1,C40*F22*'数据-取费表'!B21/2,C40*(POWER((1+F22),'数据-取费表'!B21/2)-1)),4)</f>
        <v>6.9999999999999999E-4</v>
      </c>
      <c r="D44" s="237"/>
      <c r="E44" s="237"/>
      <c r="F44" s="238"/>
      <c r="G44" s="3654"/>
    </row>
    <row r="45" spans="1:7" s="213" customFormat="1" ht="13.5" customHeight="1">
      <c r="A45" s="776" t="s">
        <v>341</v>
      </c>
      <c r="B45" s="243" t="s">
        <v>85</v>
      </c>
      <c r="C45" s="244">
        <f>C46</f>
        <v>5045</v>
      </c>
      <c r="D45" s="234">
        <f>C47</f>
        <v>3.0000000000000001E-3</v>
      </c>
      <c r="E45" s="235" t="s">
        <v>102</v>
      </c>
      <c r="F45" s="245"/>
      <c r="G45" s="246" t="s">
        <v>434</v>
      </c>
    </row>
    <row r="46" spans="1:7" s="213" customFormat="1" ht="13.5" customHeight="1">
      <c r="A46" s="779" t="s">
        <v>349</v>
      </c>
      <c r="B46" s="247" t="s">
        <v>427</v>
      </c>
      <c r="C46" s="248">
        <f>ROUND((C33+C39)*F27,0)</f>
        <v>5045</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43117</v>
      </c>
      <c r="D49" s="231"/>
      <c r="E49" s="231"/>
      <c r="F49" s="263"/>
      <c r="G49" s="233" t="s">
        <v>435</v>
      </c>
    </row>
    <row r="50" spans="1:7" s="257" customFormat="1" ht="24">
      <c r="A50" s="776" t="s">
        <v>344</v>
      </c>
      <c r="B50" s="209" t="s">
        <v>97</v>
      </c>
      <c r="C50" s="231"/>
      <c r="D50" s="231"/>
      <c r="E50" s="231"/>
      <c r="F50" s="263">
        <f>IF('数据-取费表'!B24=0,'数据-取费表'!N16,1)</f>
        <v>0.91</v>
      </c>
      <c r="G50" s="246" t="s">
        <v>98</v>
      </c>
    </row>
    <row r="51" spans="1:7" ht="16.5" customHeight="1">
      <c r="A51" s="776" t="s">
        <v>345</v>
      </c>
      <c r="B51" s="209" t="s">
        <v>105</v>
      </c>
      <c r="C51" s="231">
        <f ca="1">ROUND(C49*F50,0)</f>
        <v>39236</v>
      </c>
      <c r="D51" s="231"/>
      <c r="E51" s="231"/>
      <c r="F51" s="263"/>
      <c r="G51" s="233" t="s">
        <v>37</v>
      </c>
    </row>
    <row r="52" spans="1:7" s="207" customFormat="1" ht="16.5" thickBot="1">
      <c r="A52" s="264" t="s">
        <v>38</v>
      </c>
      <c r="B52" s="265"/>
      <c r="C52" s="266">
        <f ca="1">C31+C51</f>
        <v>69716</v>
      </c>
      <c r="D52" s="265"/>
      <c r="E52" s="265"/>
      <c r="F52" s="265"/>
      <c r="G52" s="267"/>
    </row>
    <row r="55" spans="1:7" ht="15">
      <c r="B55" s="269" t="s">
        <v>39</v>
      </c>
      <c r="C55" s="270"/>
    </row>
    <row r="56" spans="1:7">
      <c r="B56" s="272" t="s">
        <v>40</v>
      </c>
      <c r="C56" s="273">
        <f ca="1">ROUND(C51/C52,3)</f>
        <v>0.56299999999999994</v>
      </c>
    </row>
    <row r="57" spans="1:7">
      <c r="B57" s="272" t="s">
        <v>41</v>
      </c>
      <c r="C57" s="274">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8" sqref="E2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28" sqref="E28"/>
    </sheetView>
  </sheetViews>
  <sheetFormatPr defaultRowHeight="13.5"/>
  <cols>
    <col min="1" max="1" width="13.875" customWidth="1"/>
    <col min="11" max="17" width="0" hidden="1" customWidth="1"/>
    <col min="25" max="30" width="0" hidden="1" customWidth="1"/>
  </cols>
  <sheetData>
    <row r="1" spans="1:30">
      <c r="A1" s="3220">
        <f>基准地价修正!G23</f>
        <v>45230</v>
      </c>
      <c r="B1" s="3209" t="s">
        <v>3376</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3380</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3381</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4" t="s">
        <v>3382</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3374</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3375</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3377</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3380</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3381</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4" t="s">
        <v>3382</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3378</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3379</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8" sqref="E2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45230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0" sqref="J2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101448.13</v>
      </c>
      <c r="C4" s="853">
        <f>项目基本情况!C18</f>
        <v>497445.96</v>
      </c>
      <c r="D4" s="853">
        <f ca="1">结果表!D118</f>
        <v>173176</v>
      </c>
      <c r="E4" s="853">
        <f ca="1">结果表!E118</f>
        <v>17071</v>
      </c>
      <c r="F4" s="853">
        <f ca="1">结果表!F118</f>
        <v>28661</v>
      </c>
      <c r="G4" s="853">
        <f ca="1">结果表!G118</f>
        <v>2825</v>
      </c>
      <c r="H4" s="853">
        <f ca="1">结果表!H118</f>
        <v>201837</v>
      </c>
      <c r="I4" s="853">
        <f ca="1">结果表!I118</f>
        <v>19896</v>
      </c>
    </row>
    <row r="5" spans="1:9" ht="30" customHeight="1">
      <c r="A5" s="3480" t="s">
        <v>927</v>
      </c>
      <c r="B5" s="3480"/>
      <c r="C5" s="3480"/>
      <c r="D5" s="3480" t="str">
        <f ca="1">结果表!D119</f>
        <v>壹拾柒亿叁仟壹佰柒拾陆万元整</v>
      </c>
      <c r="E5" s="3480"/>
      <c r="F5" s="3480" t="str">
        <f ca="1">结果表!F119</f>
        <v>贰亿捌仟陆佰陆拾壹万元整</v>
      </c>
      <c r="G5" s="3480"/>
      <c r="H5" s="3480" t="str">
        <f ca="1">结果表!H119</f>
        <v>贰拾亿壹仟捌佰叁拾柒万元整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201837</v>
      </c>
      <c r="E8" s="3479"/>
      <c r="F8" s="3479"/>
      <c r="G8" s="3479"/>
      <c r="H8" s="3479"/>
      <c r="I8" s="3479"/>
    </row>
    <row r="9" spans="1:9" ht="15">
      <c r="A9" s="3480" t="s">
        <v>927</v>
      </c>
      <c r="B9" s="3480"/>
      <c r="C9" s="3480"/>
      <c r="D9" s="3480" t="str">
        <f ca="1">结果表!D123</f>
        <v>贰拾亿壹仟捌佰叁拾柒万元整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2" t="s">
        <v>949</v>
      </c>
      <c r="B1" s="3492"/>
      <c r="C1" s="3492"/>
      <c r="D1" s="3492"/>
    </row>
    <row r="2" spans="1:4" ht="18">
      <c r="A2" s="3493" t="s">
        <v>933</v>
      </c>
      <c r="B2" s="3493"/>
      <c r="C2" s="3493"/>
      <c r="D2" s="3493"/>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f>项目基本情况!D4</f>
        <v>0</v>
      </c>
      <c r="B5" s="1510">
        <f>项目基本情况!E4</f>
        <v>0</v>
      </c>
      <c r="C5" s="1513"/>
      <c r="D5" s="1512" t="s">
        <v>938</v>
      </c>
    </row>
    <row r="6" spans="1:4" ht="18">
      <c r="A6" s="3493" t="s">
        <v>939</v>
      </c>
      <c r="B6" s="3493"/>
      <c r="C6" s="3493"/>
      <c r="D6" s="349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8" sqref="E28"/>
      <selection pane="bottomLeft" activeCell="E28" sqref="E28"/>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0" t="s">
        <v>956</v>
      </c>
      <c r="B15" s="3495" t="s">
        <v>109</v>
      </c>
      <c r="C15" s="3496"/>
    </row>
    <row r="16" spans="1:7" ht="13.5">
      <c r="A16" s="3501"/>
      <c r="B16" s="3495" t="s">
        <v>42</v>
      </c>
      <c r="C16" s="3496"/>
    </row>
    <row r="17" spans="1:3" ht="13.5">
      <c r="A17" s="3501"/>
      <c r="B17" s="3498" t="s">
        <v>957</v>
      </c>
      <c r="C17" s="1531" t="s">
        <v>956</v>
      </c>
    </row>
    <row r="18" spans="1:3" ht="13.5">
      <c r="A18" s="3501"/>
      <c r="B18" s="3498"/>
      <c r="C18" s="1531" t="s">
        <v>958</v>
      </c>
    </row>
    <row r="19" spans="1:3" ht="13.5">
      <c r="A19" s="3501"/>
      <c r="B19" s="3498"/>
      <c r="C19" s="1531" t="s">
        <v>959</v>
      </c>
    </row>
    <row r="20" spans="1:3" ht="13.5">
      <c r="A20" s="3502"/>
      <c r="B20" s="3497" t="s">
        <v>960</v>
      </c>
      <c r="C20" s="3496"/>
    </row>
    <row r="21" spans="1:3" ht="13.5">
      <c r="A21" s="1532" t="s">
        <v>961</v>
      </c>
      <c r="B21" s="1533"/>
      <c r="C21" s="1534"/>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1" t="s">
        <v>967</v>
      </c>
    </row>
    <row r="26" spans="1:3" ht="13.5">
      <c r="A26" s="3499"/>
      <c r="B26" s="3498"/>
      <c r="C26" s="1531" t="s">
        <v>968</v>
      </c>
    </row>
    <row r="27" spans="1:3" ht="13.5">
      <c r="A27" s="3499"/>
      <c r="B27" s="3498"/>
      <c r="C27" s="1531" t="s">
        <v>969</v>
      </c>
    </row>
    <row r="28" spans="1:3" ht="13.5">
      <c r="A28" s="3499"/>
      <c r="B28" s="3498"/>
      <c r="C28" s="1531" t="s">
        <v>970</v>
      </c>
    </row>
    <row r="29" spans="1:3" ht="13.5">
      <c r="A29" s="3499"/>
      <c r="B29" s="3498"/>
      <c r="C29" s="1531" t="s">
        <v>971</v>
      </c>
    </row>
    <row r="30" spans="1:3" ht="13.5">
      <c r="A30" s="3499"/>
      <c r="B30" s="3498"/>
      <c r="C30" s="1531" t="s">
        <v>972</v>
      </c>
    </row>
    <row r="31" spans="1:3" ht="13.5">
      <c r="A31" s="3499"/>
      <c r="B31" s="3498"/>
      <c r="C31" s="1531" t="s">
        <v>973</v>
      </c>
    </row>
    <row r="32" spans="1:3" ht="13.5">
      <c r="A32" s="3499"/>
      <c r="B32" s="3498"/>
      <c r="C32" s="1531" t="s">
        <v>974</v>
      </c>
    </row>
    <row r="33" spans="1:3" ht="13.5">
      <c r="A33" s="3499"/>
      <c r="B33" s="349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8" sqref="E28"/>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45236</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2"/>
      <c r="E18" s="3505" t="s">
        <v>2162</v>
      </c>
      <c r="F18" s="3504"/>
      <c r="G18" s="350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2023-11-06T05:58:49Z</dcterms:modified>
</cp:coreProperties>
</file>