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99" firstSheet="15"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<sst xmlns="http://schemas.openxmlformats.org/spreadsheetml/2006/main" count="8247" uniqueCount="2802">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</sst>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0.0_);[Red]\(0.0\)"/>
    <numFmt numFmtId="179" formatCode="0.00_);[Red]\(0.00\)"/>
    <numFmt numFmtId="180" formatCode="[$-F800]dddd\,\ mmmm\ dd\,\ yyyy"/>
    <numFmt numFmtId="181" formatCode="0.000_);[Red]\(0.000\)"/>
    <numFmt numFmtId="182" formatCode="0_);[Red]\(0\)"/>
    <numFmt numFmtId="183" formatCode="yyyy&quot;年&quot;m&quot;月&quot;d&quot;日&quot;;@"/>
    <numFmt numFmtId="184" formatCode="0;_쐀"/>
    <numFmt numFmtId="185" formatCode="[DBNum2][$RMB]General;[Red][DBNum2][$RMB]General"/>
    <numFmt numFmtId="186" formatCode="yyyy&quot;年&quot;m&quot;月&quot;;@"/>
    <numFmt numFmtId="187" formatCode="yyyy/m/d;@"/>
    <numFmt numFmtId="188" formatCode="0_ "/>
    <numFmt numFmtId="189" formatCode="0.00_ "/>
    <numFmt numFmtId="190" formatCode="0.000_ "/>
    <numFmt numFmtId="191" formatCode="0_ ;[Red]\-0\ "/>
    <numFmt numFmtId="192" formatCode="0.0_ "/>
    <numFmt numFmtId="193" formatCode="0.0000_ "/>
    <numFmt numFmtId="194" formatCode="0.0000%"/>
    <numFmt numFmtId="195" formatCode="0.000%"/>
    <numFmt numFmtId="196" formatCode="0.0000_);[Red]\(0.0000\)"/>
  </numFmts>
  <fonts count="255">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1"/>
      <name val="宋体"/>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b/>
      <sz val="12"/>
      <name val="宋体"/>
      <charset val="134"/>
    </font>
    <font>
      <sz val="12"/>
      <name val="宋体"/>
      <charset val="0"/>
      <scheme val="minor"/>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115"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115" fillId="0" borderId="0"/>
    <xf numFmtId="9" fontId="99"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115" fillId="0" borderId="0">
      <alignment vertical="center"/>
    </xf>
    <xf numFmtId="0" fontId="115"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115"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115" fillId="0" borderId="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176" fontId="115" fillId="0" borderId="0">
      <alignment vertical="center"/>
    </xf>
    <xf numFmtId="0" fontId="115" fillId="0" borderId="0">
      <alignment vertical="center"/>
    </xf>
    <xf numFmtId="0" fontId="115" fillId="0" borderId="0"/>
    <xf numFmtId="0" fontId="99" fillId="0" borderId="0"/>
    <xf numFmtId="0" fontId="115" fillId="0" borderId="0">
      <alignment vertical="center"/>
    </xf>
    <xf numFmtId="0" fontId="115" fillId="0" borderId="0">
      <alignment vertical="center"/>
    </xf>
    <xf numFmtId="0" fontId="159" fillId="0" borderId="0">
      <alignment vertical="center"/>
    </xf>
    <xf numFmtId="0" fontId="115" fillId="0" borderId="0"/>
  </cellStyleXfs>
  <cellXfs count="3745">
    <xf numFmtId="0" fontId="0" fillId="0" borderId="0" xfId="0">
      <alignment vertical="center"/>
    </xf>
    <xf numFmtId="179" fontId="0" fillId="0" borderId="0" xfId="0" applyNumberFormat="1">
      <alignment vertical="center"/>
    </xf>
    <xf numFmtId="179" fontId="0" fillId="0" borderId="0" xfId="0" applyNumberFormat="1" applyFont="1">
      <alignment vertical="center"/>
    </xf>
    <xf numFmtId="179" fontId="1" fillId="2" borderId="1" xfId="0" applyNumberFormat="1" applyFont="1" applyFill="1" applyBorder="1" applyAlignment="1">
      <alignment horizontal="left" vertical="center"/>
    </xf>
    <xf numFmtId="179" fontId="0" fillId="0" borderId="1" xfId="0" applyNumberFormat="1" applyBorder="1" applyAlignment="1">
      <alignment horizontal="left" vertical="center"/>
    </xf>
    <xf numFmtId="179"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81" fontId="0" fillId="0" borderId="1" xfId="0" applyNumberFormat="1" applyBorder="1" applyAlignment="1">
      <alignment horizontal="left" vertical="center"/>
    </xf>
    <xf numFmtId="179"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2"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83"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83"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79"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79"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77"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77" fontId="7" fillId="3" borderId="21" xfId="0" applyNumberFormat="1" applyFont="1" applyFill="1" applyBorder="1" applyAlignment="1" applyProtection="1">
      <alignment horizontal="center" vertical="center"/>
    </xf>
    <xf numFmtId="177"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86" fontId="3" fillId="3" borderId="16" xfId="0" applyNumberFormat="1" applyFont="1" applyFill="1" applyBorder="1" applyAlignment="1" applyProtection="1">
      <alignment horizontal="center" vertical="center" wrapText="1"/>
    </xf>
    <xf numFmtId="186"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78" fontId="9" fillId="3" borderId="5" xfId="0" applyNumberFormat="1" applyFont="1" applyFill="1" applyBorder="1" applyAlignment="1" applyProtection="1">
      <alignment horizontal="center" vertical="center"/>
    </xf>
    <xf numFmtId="177"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77"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78" fontId="9" fillId="3" borderId="0" xfId="0" applyNumberFormat="1" applyFont="1" applyFill="1" applyBorder="1" applyAlignment="1" applyProtection="1">
      <alignment horizontal="center" vertical="center"/>
      <protection locked="0"/>
    </xf>
    <xf numFmtId="178" fontId="3" fillId="3" borderId="20" xfId="0" applyNumberFormat="1" applyFont="1" applyFill="1" applyBorder="1" applyAlignment="1" applyProtection="1">
      <alignment horizontal="center" vertical="center" wrapText="1"/>
    </xf>
    <xf numFmtId="177"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77"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77"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77"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77"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78" fontId="7" fillId="3" borderId="20" xfId="0" applyNumberFormat="1" applyFont="1" applyFill="1" applyBorder="1" applyAlignment="1" applyProtection="1">
      <alignment horizontal="center" vertical="center"/>
    </xf>
    <xf numFmtId="177"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79" fontId="7" fillId="3" borderId="62"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center" vertical="center" wrapText="1"/>
    </xf>
    <xf numFmtId="178" fontId="7" fillId="7"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78" fontId="7" fillId="3" borderId="0" xfId="0" applyNumberFormat="1" applyFont="1" applyFill="1" applyBorder="1" applyAlignment="1" applyProtection="1">
      <alignment horizontal="center"/>
    </xf>
    <xf numFmtId="177"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81"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81"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1"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7"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88"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89"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7" applyFont="1" applyFill="1" applyBorder="1" applyAlignment="1" applyProtection="1">
      <alignment horizontal="left" vertical="center"/>
    </xf>
    <xf numFmtId="0" fontId="46" fillId="3" borderId="73" xfId="37"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2"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2"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2" fontId="40" fillId="10" borderId="78" xfId="21" applyNumberFormat="1" applyFont="1" applyFill="1" applyBorder="1" applyAlignment="1" applyProtection="1">
      <alignment horizontal="left" vertical="center" wrapText="1"/>
    </xf>
    <xf numFmtId="182"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2" fontId="40" fillId="10" borderId="78" xfId="21" applyNumberFormat="1" applyFont="1" applyFill="1" applyBorder="1" applyAlignment="1">
      <alignment horizontal="left" vertical="center" wrapText="1"/>
    </xf>
    <xf numFmtId="182"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2" fontId="40" fillId="10" borderId="77" xfId="21" applyNumberFormat="1" applyFont="1" applyFill="1" applyBorder="1" applyAlignment="1">
      <alignment horizontal="left" vertical="center" wrapText="1"/>
    </xf>
    <xf numFmtId="182"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2"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2" fontId="40" fillId="10" borderId="84" xfId="21" applyNumberFormat="1" applyFont="1" applyFill="1" applyBorder="1" applyAlignment="1">
      <alignment horizontal="left" vertical="center" wrapText="1"/>
    </xf>
    <xf numFmtId="182" fontId="40" fillId="10" borderId="86" xfId="21" applyNumberFormat="1" applyFont="1" applyFill="1" applyBorder="1" applyAlignment="1">
      <alignment horizontal="left" vertical="center" wrapText="1"/>
    </xf>
    <xf numFmtId="182" fontId="42" fillId="9" borderId="0" xfId="21" applyNumberFormat="1" applyFont="1" applyFill="1" applyAlignment="1">
      <alignment horizontal="left" vertical="center"/>
    </xf>
    <xf numFmtId="182"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88"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77" fontId="42" fillId="0" borderId="74" xfId="21" applyNumberFormat="1" applyFont="1" applyBorder="1" applyAlignment="1">
      <alignment horizontal="left" vertical="center"/>
    </xf>
    <xf numFmtId="177" fontId="42" fillId="0" borderId="0" xfId="21" applyNumberFormat="1" applyFont="1" applyAlignment="1">
      <alignment horizontal="left" vertical="center"/>
    </xf>
    <xf numFmtId="188"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88"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88"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90" fontId="42" fillId="0" borderId="0" xfId="21" applyNumberFormat="1" applyFont="1" applyAlignment="1">
      <alignment horizontal="left" vertical="center"/>
    </xf>
    <xf numFmtId="190" fontId="42" fillId="0" borderId="74" xfId="21" applyNumberFormat="1" applyFont="1" applyBorder="1" applyAlignment="1">
      <alignment horizontal="left" vertical="center"/>
    </xf>
    <xf numFmtId="190"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90" fontId="43" fillId="0" borderId="0" xfId="21" applyNumberFormat="1" applyFont="1" applyAlignment="1">
      <alignment horizontal="left" vertical="center"/>
    </xf>
    <xf numFmtId="190" fontId="43" fillId="0" borderId="74" xfId="21" applyNumberFormat="1" applyFont="1" applyBorder="1" applyAlignment="1">
      <alignment horizontal="left" vertical="center"/>
    </xf>
    <xf numFmtId="192" fontId="42" fillId="0" borderId="0" xfId="21" applyNumberFormat="1" applyFont="1" applyAlignment="1">
      <alignment horizontal="left" vertical="center"/>
    </xf>
    <xf numFmtId="192" fontId="42" fillId="0" borderId="23" xfId="21" applyNumberFormat="1" applyFont="1" applyBorder="1" applyAlignment="1">
      <alignment horizontal="left" vertical="center"/>
    </xf>
    <xf numFmtId="192"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7" applyNumberFormat="1" applyFont="1" applyFill="1" applyBorder="1" applyAlignment="1" applyProtection="1">
      <alignment horizontal="left" vertical="center"/>
    </xf>
    <xf numFmtId="0" fontId="46" fillId="3" borderId="73" xfId="37"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6"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88"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88"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88" fontId="47" fillId="0" borderId="1" xfId="59" applyNumberFormat="1" applyFont="1" applyFill="1" applyBorder="1" applyAlignment="1" applyProtection="1">
      <alignment horizontal="center"/>
      <protection locked="0"/>
    </xf>
    <xf numFmtId="189"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88"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88"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88"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92"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92"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89"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88"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88"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89"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88" fontId="12" fillId="3" borderId="1" xfId="0" applyNumberFormat="1" applyFont="1" applyFill="1" applyBorder="1" applyAlignment="1" applyProtection="1">
      <alignment horizontal="center" vertical="center"/>
    </xf>
    <xf numFmtId="177"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94"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88"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77" fontId="47" fillId="3" borderId="1" xfId="0" applyNumberFormat="1" applyFont="1" applyFill="1" applyBorder="1" applyAlignment="1" applyProtection="1">
      <alignment horizontal="center"/>
    </xf>
    <xf numFmtId="177" fontId="72" fillId="3" borderId="1" xfId="0" applyNumberFormat="1" applyFont="1" applyFill="1" applyBorder="1" applyAlignment="1" applyProtection="1">
      <alignment horizontal="center"/>
    </xf>
    <xf numFmtId="179" fontId="65" fillId="0" borderId="0" xfId="0" applyNumberFormat="1" applyFont="1" applyAlignment="1" applyProtection="1">
      <alignment horizontal="left" vertical="center"/>
    </xf>
    <xf numFmtId="0" fontId="0" fillId="0" borderId="0" xfId="0" applyNumberFormat="1" applyProtection="1">
      <alignment vertical="center"/>
    </xf>
    <xf numFmtId="179" fontId="73" fillId="0" borderId="0" xfId="47" applyNumberFormat="1" applyFont="1" applyBorder="1" applyAlignment="1" applyProtection="1">
      <alignment horizontal="left" vertical="center"/>
    </xf>
    <xf numFmtId="179" fontId="74" fillId="3" borderId="14" xfId="47" applyNumberFormat="1" applyFont="1" applyFill="1" applyBorder="1" applyAlignment="1" applyProtection="1">
      <alignment horizontal="left" vertical="center"/>
    </xf>
    <xf numFmtId="179" fontId="74" fillId="3" borderId="56" xfId="47" applyNumberFormat="1" applyFont="1" applyFill="1" applyBorder="1" applyAlignment="1" applyProtection="1">
      <alignment horizontal="left" vertical="center"/>
    </xf>
    <xf numFmtId="179" fontId="74" fillId="3" borderId="56" xfId="47" applyNumberFormat="1" applyFont="1" applyFill="1" applyBorder="1" applyAlignment="1" applyProtection="1">
      <alignment horizontal="left" vertical="center" wrapText="1"/>
    </xf>
    <xf numFmtId="179" fontId="74" fillId="3" borderId="18" xfId="47" applyNumberFormat="1" applyFont="1" applyFill="1" applyBorder="1" applyAlignment="1" applyProtection="1">
      <alignment horizontal="left" vertical="center"/>
    </xf>
    <xf numFmtId="179" fontId="75" fillId="3" borderId="1" xfId="47" applyNumberFormat="1" applyFont="1" applyFill="1" applyBorder="1" applyAlignment="1" applyProtection="1">
      <alignment horizontal="left" vertical="center"/>
    </xf>
    <xf numFmtId="179"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79" fontId="74" fillId="3" borderId="59" xfId="47" applyNumberFormat="1" applyFont="1" applyFill="1" applyBorder="1" applyAlignment="1" applyProtection="1">
      <alignment horizontal="left" vertical="center"/>
    </xf>
    <xf numFmtId="179" fontId="74" fillId="3" borderId="45" xfId="47" applyNumberFormat="1" applyFont="1" applyFill="1" applyBorder="1" applyAlignment="1" applyProtection="1">
      <alignment horizontal="left" vertical="center"/>
    </xf>
    <xf numFmtId="179"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79" fontId="65" fillId="3" borderId="1" xfId="0" applyNumberFormat="1" applyFont="1" applyFill="1" applyBorder="1" applyAlignment="1" applyProtection="1">
      <alignment horizontal="left" vertical="center"/>
    </xf>
    <xf numFmtId="179" fontId="74" fillId="3" borderId="72" xfId="47" applyNumberFormat="1" applyFont="1" applyFill="1" applyBorder="1" applyAlignment="1" applyProtection="1">
      <alignment horizontal="left" vertical="center" wrapText="1"/>
    </xf>
    <xf numFmtId="179" fontId="75" fillId="3" borderId="69" xfId="47" applyNumberFormat="1" applyFont="1" applyFill="1" applyBorder="1" applyAlignment="1" applyProtection="1">
      <alignment horizontal="left" vertical="center"/>
    </xf>
    <xf numFmtId="179" fontId="75" fillId="3" borderId="43" xfId="47" applyNumberFormat="1" applyFont="1" applyFill="1" applyBorder="1" applyAlignment="1" applyProtection="1">
      <alignment horizontal="left" vertical="center"/>
    </xf>
    <xf numFmtId="179"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89"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3"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3"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77"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3" fontId="47" fillId="3" borderId="65" xfId="0" applyNumberFormat="1" applyFont="1" applyFill="1" applyBorder="1" applyAlignment="1" applyProtection="1">
      <alignment horizontal="center" vertical="center" wrapText="1"/>
    </xf>
    <xf numFmtId="193"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77"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3"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3"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88"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89"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89"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88"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83"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2" fontId="13" fillId="3" borderId="53" xfId="0" applyNumberFormat="1" applyFont="1" applyFill="1" applyBorder="1" applyAlignment="1" applyProtection="1">
      <alignment vertical="center" wrapText="1"/>
    </xf>
    <xf numFmtId="182" fontId="13" fillId="3" borderId="42" xfId="0" applyNumberFormat="1" applyFont="1" applyFill="1" applyBorder="1" applyAlignment="1" applyProtection="1">
      <alignment vertical="center" wrapText="1"/>
    </xf>
    <xf numFmtId="182"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79"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79"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2"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88"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89"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88"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79"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78" fontId="9" fillId="3" borderId="93" xfId="0" applyNumberFormat="1" applyFont="1" applyFill="1" applyBorder="1" applyAlignment="1" applyProtection="1">
      <alignment horizontal="center" vertical="center"/>
    </xf>
    <xf numFmtId="177"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7"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xf numFmtId="0" fontId="7" fillId="7" borderId="0" xfId="0" applyFont="1" applyFill="1" applyBorder="1" applyAlignment="1" applyProtection="1">
      <protection locked="0"/>
    </xf>
    <xf numFmtId="182" fontId="7" fillId="3" borderId="1" xfId="0" applyNumberFormat="1" applyFont="1" applyFill="1" applyBorder="1" applyAlignment="1" applyProtection="1">
      <alignment horizontal="center" vertical="center"/>
    </xf>
    <xf numFmtId="182"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88"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78"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77"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78" fontId="9" fillId="3" borderId="5" xfId="0" applyNumberFormat="1" applyFont="1" applyFill="1" applyBorder="1" applyAlignment="1" applyProtection="1">
      <alignment horizontal="center" vertical="center"/>
      <protection locked="0"/>
    </xf>
    <xf numFmtId="177"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78" fontId="7" fillId="5" borderId="20" xfId="0" applyNumberFormat="1" applyFont="1" applyFill="1" applyBorder="1" applyAlignment="1" applyProtection="1">
      <alignment horizontal="center" vertical="center"/>
      <protection locked="0"/>
    </xf>
    <xf numFmtId="178"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7" fontId="9" fillId="3" borderId="0" xfId="0" applyNumberFormat="1" applyFont="1" applyFill="1" applyBorder="1" applyAlignment="1" applyProtection="1">
      <alignment vertical="center"/>
      <protection locked="0"/>
    </xf>
    <xf numFmtId="177"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77"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77"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77"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77"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77" fontId="7" fillId="3" borderId="0" xfId="0" applyNumberFormat="1" applyFont="1" applyFill="1" applyBorder="1" applyAlignment="1" applyProtection="1">
      <alignment vertical="center" wrapText="1"/>
      <protection locked="0"/>
    </xf>
    <xf numFmtId="177"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3"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86"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78" fontId="11" fillId="3" borderId="0" xfId="0" applyNumberFormat="1" applyFont="1" applyFill="1" applyBorder="1" applyAlignment="1" applyProtection="1">
      <alignment horizontal="center" vertical="center"/>
      <protection locked="0"/>
    </xf>
    <xf numFmtId="177"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78" fontId="3" fillId="3" borderId="52" xfId="0" applyNumberFormat="1" applyFont="1" applyFill="1" applyBorder="1" applyAlignment="1" applyProtection="1">
      <alignment horizontal="center" vertical="center" wrapText="1"/>
    </xf>
    <xf numFmtId="178"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78" fontId="7" fillId="3" borderId="62" xfId="0" applyNumberFormat="1" applyFont="1" applyFill="1" applyBorder="1" applyAlignment="1" applyProtection="1">
      <alignment horizontal="center" vertical="center"/>
    </xf>
    <xf numFmtId="179" fontId="7" fillId="6" borderId="62" xfId="0" applyNumberFormat="1" applyFont="1" applyFill="1" applyBorder="1" applyAlignment="1" applyProtection="1">
      <alignment horizontal="left" vertical="center" wrapText="1"/>
    </xf>
    <xf numFmtId="178"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3"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92" fontId="23" fillId="3" borderId="19" xfId="0" applyNumberFormat="1" applyFont="1" applyFill="1" applyBorder="1" applyAlignment="1" applyProtection="1">
      <alignment horizontal="center" vertical="center"/>
    </xf>
    <xf numFmtId="192"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2"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2"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79"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2"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2" fontId="12" fillId="3" borderId="38" xfId="61" applyNumberFormat="1" applyFont="1" applyFill="1" applyBorder="1" applyAlignment="1">
      <alignment horizontal="left" vertical="center"/>
    </xf>
    <xf numFmtId="182"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2"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77"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2" fontId="47" fillId="3" borderId="1" xfId="61" applyNumberFormat="1" applyFont="1" applyFill="1" applyBorder="1" applyAlignment="1">
      <alignment horizontal="left" vertical="center"/>
    </xf>
    <xf numFmtId="177"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79" fontId="47" fillId="0" borderId="1" xfId="61" applyNumberFormat="1" applyFont="1" applyFill="1" applyBorder="1" applyAlignment="1" applyProtection="1">
      <alignment horizontal="left" vertical="center"/>
      <protection locked="0"/>
    </xf>
    <xf numFmtId="177" fontId="47" fillId="3" borderId="20" xfId="61" applyNumberFormat="1" applyFont="1" applyFill="1" applyBorder="1" applyAlignment="1">
      <alignment horizontal="right" vertical="center"/>
    </xf>
    <xf numFmtId="188" fontId="47" fillId="0" borderId="1" xfId="61" applyNumberFormat="1" applyFont="1" applyFill="1" applyBorder="1" applyAlignment="1" applyProtection="1">
      <alignment horizontal="left" vertical="center"/>
      <protection locked="0"/>
    </xf>
    <xf numFmtId="182" fontId="47" fillId="0" borderId="1" xfId="61" applyNumberFormat="1" applyFont="1" applyFill="1" applyBorder="1" applyAlignment="1" applyProtection="1">
      <alignment horizontal="left" vertical="center"/>
      <protection locked="0"/>
    </xf>
    <xf numFmtId="177"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2" fontId="12" fillId="3" borderId="69" xfId="61" applyNumberFormat="1" applyFont="1" applyFill="1" applyBorder="1" applyAlignment="1">
      <alignment horizontal="left" vertical="center"/>
    </xf>
    <xf numFmtId="177"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2" fontId="12" fillId="3" borderId="94" xfId="61" applyNumberFormat="1" applyFont="1" applyFill="1" applyBorder="1" applyAlignment="1">
      <alignment horizontal="left" vertical="center"/>
    </xf>
    <xf numFmtId="177"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2" fontId="47" fillId="3" borderId="21" xfId="61" applyNumberFormat="1" applyFont="1" applyFill="1" applyBorder="1" applyAlignment="1">
      <alignment horizontal="left" vertical="center"/>
    </xf>
    <xf numFmtId="182" fontId="47" fillId="3" borderId="155" xfId="61" applyNumberFormat="1" applyFont="1" applyFill="1" applyBorder="1" applyAlignment="1">
      <alignment horizontal="left" vertical="center"/>
    </xf>
    <xf numFmtId="182"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2" fontId="47" fillId="3" borderId="21" xfId="61" applyNumberFormat="1" applyFont="1" applyFill="1" applyBorder="1" applyAlignment="1">
      <alignment horizontal="right" vertical="center"/>
    </xf>
    <xf numFmtId="177" fontId="47" fillId="0" borderId="155" xfId="61" applyNumberFormat="1" applyFont="1" applyFill="1" applyBorder="1" applyAlignment="1" applyProtection="1">
      <alignment horizontal="right" vertical="center"/>
      <protection locked="0"/>
    </xf>
    <xf numFmtId="177"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77"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77" fontId="47" fillId="3" borderId="155" xfId="61" applyNumberFormat="1" applyFont="1" applyFill="1" applyBorder="1" applyAlignment="1">
      <alignment horizontal="right" vertical="center"/>
    </xf>
    <xf numFmtId="177"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77" fontId="47" fillId="0" borderId="21" xfId="61" applyNumberFormat="1" applyFont="1" applyFill="1" applyBorder="1" applyAlignment="1" applyProtection="1">
      <alignment horizontal="left" vertical="center"/>
      <protection locked="0"/>
    </xf>
    <xf numFmtId="177" fontId="47" fillId="0" borderId="155" xfId="61" applyNumberFormat="1" applyFont="1" applyFill="1" applyBorder="1" applyAlignment="1" applyProtection="1">
      <alignment horizontal="left" vertical="center"/>
      <protection locked="0"/>
    </xf>
    <xf numFmtId="177" fontId="47" fillId="0" borderId="20" xfId="61" applyNumberFormat="1" applyFont="1" applyFill="1" applyBorder="1" applyAlignment="1" applyProtection="1">
      <alignment horizontal="left" vertical="center"/>
      <protection locked="0"/>
    </xf>
    <xf numFmtId="179"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79" fontId="47" fillId="0" borderId="41" xfId="61" applyNumberFormat="1" applyFont="1" applyFill="1" applyBorder="1" applyAlignment="1" applyProtection="1">
      <alignment horizontal="left" vertical="center"/>
      <protection locked="0"/>
    </xf>
    <xf numFmtId="179" fontId="47" fillId="0" borderId="156" xfId="61" applyNumberFormat="1" applyFont="1" applyFill="1" applyBorder="1" applyAlignment="1" applyProtection="1">
      <alignment horizontal="left" vertical="center"/>
      <protection locked="0"/>
    </xf>
    <xf numFmtId="179" fontId="47" fillId="0" borderId="121" xfId="61" applyNumberFormat="1" applyFont="1" applyFill="1" applyBorder="1" applyAlignment="1" applyProtection="1">
      <alignment horizontal="left" vertical="center"/>
      <protection locked="0"/>
    </xf>
    <xf numFmtId="179"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2"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2"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88"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88"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88" fontId="42" fillId="0" borderId="19" xfId="59" applyNumberFormat="1" applyFont="1" applyBorder="1" applyAlignment="1" applyProtection="1">
      <alignment horizontal="left" vertical="center"/>
      <protection locked="0" hidden="1"/>
    </xf>
    <xf numFmtId="188"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88" fontId="12" fillId="3" borderId="1" xfId="61" applyNumberFormat="1" applyFont="1" applyFill="1" applyBorder="1" applyAlignment="1" applyProtection="1">
      <alignment horizontal="left" vertical="center"/>
      <protection locked="0"/>
    </xf>
    <xf numFmtId="188"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77"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88"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88"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3"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88"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77"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77"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77"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77"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77"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89"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77"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77"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77"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77"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95"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89"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89"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89"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77"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77"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77"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89"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91"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77"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77"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2" fontId="47" fillId="3" borderId="1" xfId="0" applyNumberFormat="1" applyFont="1" applyFill="1" applyBorder="1" applyAlignment="1" applyProtection="1">
      <alignment horizontal="center"/>
    </xf>
    <xf numFmtId="177"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91" fontId="42" fillId="3" borderId="55" xfId="0" applyNumberFormat="1" applyFont="1" applyFill="1" applyBorder="1" applyAlignment="1" applyProtection="1">
      <alignment vertical="center" wrapText="1"/>
    </xf>
    <xf numFmtId="0" fontId="17" fillId="6" borderId="8" xfId="0" applyNumberFormat="1" applyFont="1" applyFill="1" applyBorder="1" applyAlignment="1" applyProtection="1">
      <alignment horizontal="center" vertical="center" wrapText="1"/>
      <protection locked="0"/>
    </xf>
    <xf numFmtId="0" fontId="3" fillId="6" borderId="1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protection locked="0"/>
    </xf>
    <xf numFmtId="0" fontId="7" fillId="6" borderId="7"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80" fontId="103" fillId="3" borderId="21" xfId="0" applyNumberFormat="1" applyFont="1" applyFill="1" applyBorder="1" applyAlignment="1" applyProtection="1">
      <alignment horizontal="center" vertical="center" wrapText="1"/>
    </xf>
    <xf numFmtId="180"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88"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88"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85"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88"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88"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84"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77"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88"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88"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88"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88"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80"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185" fontId="0" fillId="0" borderId="0" xfId="0" applyNumberFormat="1">
      <alignment vertical="center"/>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88"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2"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2"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2"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2" fontId="72" fillId="0" borderId="1" xfId="0" applyNumberFormat="1" applyFont="1" applyFill="1" applyBorder="1" applyAlignment="1" applyProtection="1">
      <alignment horizontal="center" vertical="center"/>
      <protection locked="0"/>
    </xf>
    <xf numFmtId="179"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2" fontId="42" fillId="0" borderId="11" xfId="0" applyNumberFormat="1" applyFont="1" applyFill="1" applyBorder="1" applyAlignment="1" applyProtection="1">
      <alignment horizontal="center" vertical="center"/>
      <protection locked="0"/>
    </xf>
    <xf numFmtId="182"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88" fontId="72" fillId="3" borderId="1" xfId="0" applyNumberFormat="1" applyFont="1" applyFill="1" applyBorder="1" applyAlignment="1" applyProtection="1">
      <alignment horizontal="center" vertical="center"/>
    </xf>
    <xf numFmtId="189"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88" fontId="72" fillId="3" borderId="1" xfId="59" applyNumberFormat="1" applyFont="1" applyFill="1" applyBorder="1" applyAlignment="1" applyProtection="1">
      <alignment horizontal="center" vertical="center"/>
    </xf>
    <xf numFmtId="188"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88"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88"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88" fontId="16" fillId="3" borderId="0" xfId="0" applyNumberFormat="1" applyFont="1" applyFill="1" applyBorder="1" applyAlignment="1" applyProtection="1">
      <alignment horizontal="center" vertical="center"/>
    </xf>
    <xf numFmtId="188"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3" fontId="72" fillId="3" borderId="20" xfId="0" applyNumberFormat="1" applyFont="1" applyFill="1" applyBorder="1" applyAlignment="1" applyProtection="1">
      <alignment horizontal="center" vertical="center"/>
    </xf>
    <xf numFmtId="193" fontId="72" fillId="3" borderId="1" xfId="0" applyNumberFormat="1" applyFont="1" applyFill="1" applyBorder="1" applyAlignment="1" applyProtection="1">
      <alignment horizontal="center" vertical="center"/>
    </xf>
    <xf numFmtId="188"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88"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88"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88"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88"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88"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88" fontId="16" fillId="3" borderId="41" xfId="0" applyNumberFormat="1" applyFont="1" applyFill="1" applyBorder="1" applyAlignment="1" applyProtection="1">
      <alignment vertical="center"/>
    </xf>
    <xf numFmtId="188"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2"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2"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79" fontId="42" fillId="3" borderId="19" xfId="0" applyNumberFormat="1" applyFont="1" applyFill="1" applyBorder="1" applyAlignment="1" applyProtection="1">
      <alignment horizontal="center" vertical="center"/>
    </xf>
    <xf numFmtId="182"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88"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3"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89"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77"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77"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77"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80"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77"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88"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84"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77"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3" borderId="1"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3" borderId="1" xfId="65" applyNumberFormat="1" applyFont="1" applyFill="1" applyBorder="1" applyAlignment="1" applyProtection="1">
      <alignment horizontal="left" vertical="center" wrapText="1"/>
    </xf>
    <xf numFmtId="0" fontId="116" fillId="0" borderId="1" xfId="65" applyFont="1" applyFill="1" applyBorder="1" applyAlignment="1" applyProtection="1">
      <alignment horizontal="left" vertical="center" wrapText="1"/>
      <protection locked="0"/>
    </xf>
    <xf numFmtId="0" fontId="116" fillId="7" borderId="1" xfId="65" applyFont="1" applyFill="1" applyBorder="1" applyAlignment="1" applyProtection="1">
      <alignment horizontal="left" vertical="center" wrapText="1"/>
      <protection locked="0"/>
    </xf>
    <xf numFmtId="0" fontId="115" fillId="3" borderId="1" xfId="65" applyFill="1" applyBorder="1" applyAlignment="1" applyProtection="1">
      <alignment horizontal="left"/>
    </xf>
    <xf numFmtId="9" fontId="115" fillId="7" borderId="1" xfId="65" applyNumberFormat="1" applyFill="1" applyBorder="1" applyAlignment="1" applyProtection="1">
      <alignment horizontal="left"/>
      <protection locked="0"/>
    </xf>
    <xf numFmtId="0" fontId="115" fillId="3" borderId="1" xfId="65" applyFill="1" applyBorder="1" applyAlignment="1" applyProtection="1">
      <alignment horizontal="left" vertical="center"/>
    </xf>
    <xf numFmtId="0" fontId="116"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6" fillId="0" borderId="11" xfId="65" applyFont="1" applyFill="1" applyBorder="1" applyAlignment="1" applyProtection="1">
      <alignment horizontal="left" vertical="center" wrapText="1"/>
      <protection locked="0"/>
    </xf>
    <xf numFmtId="0" fontId="115" fillId="0" borderId="1" xfId="65" applyBorder="1" applyAlignment="1" applyProtection="1">
      <alignment horizontal="left"/>
      <protection locked="0"/>
    </xf>
    <xf numFmtId="0" fontId="116" fillId="0" borderId="1" xfId="65" applyFont="1" applyBorder="1" applyAlignment="1" applyProtection="1">
      <alignment horizontal="left" vertical="center" wrapText="1"/>
      <protection locked="0"/>
    </xf>
    <xf numFmtId="185" fontId="115"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8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89"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9"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89"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90"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89" fontId="3" fillId="3" borderId="56" xfId="0" applyNumberFormat="1" applyFont="1" applyFill="1" applyBorder="1" applyAlignment="1" applyProtection="1">
      <alignment horizontal="center" vertical="center" wrapText="1"/>
    </xf>
    <xf numFmtId="188" fontId="72" fillId="3" borderId="18" xfId="59" applyNumberFormat="1" applyFont="1" applyFill="1" applyBorder="1" applyAlignment="1" applyProtection="1">
      <alignment horizontal="left" vertical="center"/>
    </xf>
    <xf numFmtId="188" fontId="3" fillId="3" borderId="1" xfId="59" applyNumberFormat="1" applyFont="1" applyFill="1" applyBorder="1" applyAlignment="1" applyProtection="1">
      <alignment vertical="center"/>
    </xf>
    <xf numFmtId="188" fontId="3" fillId="4" borderId="21" xfId="59" applyNumberFormat="1" applyFont="1" applyFill="1" applyBorder="1" applyAlignment="1" applyProtection="1">
      <alignment vertical="center"/>
      <protection locked="0"/>
    </xf>
    <xf numFmtId="188" fontId="72" fillId="3" borderId="18" xfId="59" applyNumberFormat="1" applyFont="1" applyFill="1" applyBorder="1" applyAlignment="1" applyProtection="1">
      <alignment horizontal="center" vertical="center"/>
    </xf>
    <xf numFmtId="183" fontId="72" fillId="3" borderId="1" xfId="0" applyNumberFormat="1" applyFont="1" applyFill="1" applyBorder="1" applyAlignment="1" applyProtection="1">
      <alignment horizontal="center" vertical="center"/>
    </xf>
    <xf numFmtId="189" fontId="7" fillId="3" borderId="1" xfId="59" applyNumberFormat="1" applyFont="1" applyFill="1" applyBorder="1" applyAlignment="1" applyProtection="1">
      <alignment horizontal="center" vertical="center"/>
    </xf>
    <xf numFmtId="190" fontId="7" fillId="3" borderId="1" xfId="59" applyNumberFormat="1" applyFont="1" applyFill="1" applyBorder="1" applyAlignment="1" applyProtection="1">
      <alignment horizontal="center" vertical="center"/>
    </xf>
    <xf numFmtId="177" fontId="42" fillId="0" borderId="1" xfId="0" applyNumberFormat="1" applyFont="1" applyFill="1" applyBorder="1" applyAlignment="1" applyProtection="1">
      <alignment horizontal="center" vertical="center"/>
      <protection locked="0"/>
    </xf>
    <xf numFmtId="177" fontId="3" fillId="0" borderId="1" xfId="0" applyNumberFormat="1" applyFont="1" applyFill="1" applyBorder="1" applyAlignment="1" applyProtection="1">
      <alignment horizontal="center" vertical="center"/>
      <protection locked="0"/>
    </xf>
    <xf numFmtId="188" fontId="3" fillId="3" borderId="18" xfId="59" applyNumberFormat="1" applyFont="1" applyFill="1" applyBorder="1" applyAlignment="1" applyProtection="1">
      <alignment horizontal="left" vertical="center" wrapText="1"/>
      <protection locked="0"/>
    </xf>
    <xf numFmtId="188" fontId="3" fillId="3" borderId="21" xfId="59" applyNumberFormat="1" applyFont="1" applyFill="1" applyBorder="1" applyAlignment="1" applyProtection="1">
      <alignment vertical="center"/>
    </xf>
    <xf numFmtId="177"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77"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89"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9" fontId="3" fillId="7" borderId="0" xfId="0" applyNumberFormat="1" applyFont="1" applyFill="1" applyAlignment="1" applyProtection="1">
      <alignment vertical="center"/>
      <protection locked="0"/>
    </xf>
    <xf numFmtId="179" fontId="7" fillId="3" borderId="14" xfId="59" applyNumberFormat="1" applyFont="1" applyFill="1" applyBorder="1" applyAlignment="1" applyProtection="1">
      <alignment vertical="center" wrapText="1"/>
    </xf>
    <xf numFmtId="179"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9" fontId="7" fillId="3" borderId="18" xfId="59" applyNumberFormat="1" applyFont="1" applyFill="1" applyBorder="1" applyAlignment="1" applyProtection="1">
      <alignment vertical="center" wrapText="1"/>
    </xf>
    <xf numFmtId="179"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9" fontId="3" fillId="3" borderId="18" xfId="59" applyNumberFormat="1" applyFont="1" applyFill="1" applyBorder="1" applyAlignment="1" applyProtection="1">
      <alignment vertical="center" wrapText="1"/>
    </xf>
    <xf numFmtId="179" fontId="7" fillId="3" borderId="19" xfId="59" applyNumberFormat="1" applyFont="1" applyFill="1" applyBorder="1" applyAlignment="1" applyProtection="1">
      <alignment horizontal="center" vertical="center"/>
    </xf>
    <xf numFmtId="179" fontId="7" fillId="3" borderId="72" xfId="59" applyNumberFormat="1" applyFont="1" applyFill="1" applyBorder="1" applyAlignment="1" applyProtection="1">
      <alignment vertical="center" wrapText="1"/>
    </xf>
    <xf numFmtId="179"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9"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77"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77" fontId="72" fillId="0" borderId="19" xfId="0" applyNumberFormat="1" applyFont="1" applyFill="1" applyBorder="1" applyAlignment="1" applyProtection="1">
      <alignment horizontal="center" vertical="center"/>
      <protection locked="0"/>
    </xf>
    <xf numFmtId="189" fontId="94" fillId="7" borderId="0" xfId="0" applyNumberFormat="1" applyFont="1" applyFill="1" applyAlignment="1" applyProtection="1">
      <alignment vertical="center"/>
      <protection locked="0"/>
    </xf>
    <xf numFmtId="177" fontId="72" fillId="0" borderId="43" xfId="0" applyNumberFormat="1" applyFont="1" applyFill="1" applyBorder="1" applyAlignment="1" applyProtection="1">
      <alignment horizontal="center" vertical="center"/>
      <protection locked="0"/>
    </xf>
    <xf numFmtId="177" fontId="72" fillId="0" borderId="47" xfId="0" applyNumberFormat="1" applyFont="1" applyFill="1" applyBorder="1" applyAlignment="1" applyProtection="1">
      <alignment horizontal="center" vertical="center"/>
      <protection locked="0"/>
    </xf>
    <xf numFmtId="177"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5"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92"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88"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89"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89" fontId="72" fillId="3" borderId="18" xfId="59" applyNumberFormat="1" applyFont="1" applyFill="1" applyBorder="1" applyAlignment="1" applyProtection="1">
      <alignment horizontal="center" vertical="center"/>
    </xf>
    <xf numFmtId="188"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88"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88"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79"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89" fontId="3" fillId="3" borderId="18" xfId="59" applyNumberFormat="1" applyFont="1" applyFill="1" applyBorder="1" applyAlignment="1" applyProtection="1">
      <alignment horizontal="center" vertical="center"/>
    </xf>
    <xf numFmtId="189"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89" fontId="3" fillId="0" borderId="18" xfId="0" applyNumberFormat="1" applyFont="1" applyBorder="1" applyAlignment="1" applyProtection="1">
      <alignment horizontal="center" vertical="center"/>
      <protection locked="0"/>
    </xf>
    <xf numFmtId="177" fontId="3" fillId="0" borderId="1" xfId="0" applyNumberFormat="1" applyFont="1" applyBorder="1" applyAlignment="1" applyProtection="1">
      <alignment vertical="center"/>
      <protection locked="0"/>
    </xf>
    <xf numFmtId="177" fontId="3" fillId="3" borderId="21" xfId="0" applyNumberFormat="1" applyFont="1" applyFill="1" applyBorder="1" applyAlignment="1" applyProtection="1">
      <alignment horizontal="center" vertical="center"/>
    </xf>
    <xf numFmtId="189" fontId="72" fillId="0" borderId="18" xfId="0" applyNumberFormat="1" applyFont="1" applyBorder="1" applyAlignment="1" applyProtection="1">
      <alignment horizontal="center" vertical="center"/>
      <protection locked="0"/>
    </xf>
    <xf numFmtId="177"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9"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77" fontId="3" fillId="3" borderId="1" xfId="0" applyNumberFormat="1" applyFont="1" applyFill="1" applyBorder="1" applyAlignment="1" applyProtection="1">
      <alignment vertical="center"/>
    </xf>
    <xf numFmtId="177"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89" fontId="3" fillId="3" borderId="72" xfId="59" applyNumberFormat="1" applyFont="1" applyFill="1" applyBorder="1" applyAlignment="1" applyProtection="1">
      <alignment horizontal="center" vertical="center"/>
    </xf>
    <xf numFmtId="189"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77"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77"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77"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77"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5" fontId="3" fillId="0" borderId="1" xfId="0" applyNumberFormat="1" applyFont="1" applyBorder="1" applyAlignment="1" applyProtection="1">
      <alignment horizontal="center" vertical="center"/>
      <protection locked="0"/>
    </xf>
    <xf numFmtId="177"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5" fontId="72" fillId="0" borderId="1" xfId="0" applyNumberFormat="1" applyFont="1" applyBorder="1" applyAlignment="1" applyProtection="1">
      <alignment horizontal="center" vertical="center"/>
      <protection locked="0"/>
    </xf>
    <xf numFmtId="177"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5" fontId="3" fillId="0" borderId="1" xfId="0" applyNumberFormat="1" applyFont="1" applyFill="1" applyBorder="1" applyAlignment="1" applyProtection="1">
      <alignment horizontal="center" vertical="center"/>
      <protection locked="0"/>
    </xf>
    <xf numFmtId="177"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5" fontId="3" fillId="3" borderId="1" xfId="0" applyNumberFormat="1" applyFont="1" applyFill="1" applyBorder="1" applyAlignment="1" applyProtection="1">
      <alignment horizontal="center" vertical="center"/>
    </xf>
    <xf numFmtId="177"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8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89"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79"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79"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79"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79"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79" fontId="13" fillId="3" borderId="44" xfId="59" applyNumberFormat="1" applyFont="1" applyFill="1" applyBorder="1" applyAlignment="1" applyProtection="1">
      <alignment horizontal="center" vertical="center"/>
    </xf>
    <xf numFmtId="179" fontId="13" fillId="3" borderId="51" xfId="59" applyNumberFormat="1" applyFont="1" applyFill="1" applyBorder="1" applyAlignment="1" applyProtection="1">
      <alignment horizontal="center" vertical="center"/>
    </xf>
    <xf numFmtId="179"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79"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88" fontId="83" fillId="0" borderId="1" xfId="59" applyNumberFormat="1" applyFont="1" applyFill="1" applyBorder="1" applyAlignment="1" applyProtection="1">
      <alignment vertical="center"/>
      <protection locked="0" hidden="1"/>
    </xf>
    <xf numFmtId="179"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88"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8" fontId="3" fillId="0" borderId="20" xfId="59" applyNumberFormat="1" applyFont="1" applyFill="1" applyBorder="1" applyAlignment="1" applyProtection="1">
      <alignment vertical="center"/>
      <protection locked="0"/>
    </xf>
    <xf numFmtId="179" fontId="16" fillId="3" borderId="1" xfId="0" applyNumberFormat="1" applyFont="1" applyFill="1" applyBorder="1" applyAlignment="1" applyProtection="1">
      <alignment vertical="center"/>
    </xf>
    <xf numFmtId="179" fontId="16" fillId="3" borderId="1" xfId="0" applyNumberFormat="1" applyFont="1" applyFill="1" applyBorder="1" applyAlignment="1" applyProtection="1">
      <alignment horizontal="center" vertical="center"/>
    </xf>
    <xf numFmtId="179" fontId="16" fillId="3" borderId="19" xfId="0" applyNumberFormat="1" applyFont="1" applyFill="1" applyBorder="1" applyAlignment="1" applyProtection="1">
      <alignment vertical="center"/>
    </xf>
    <xf numFmtId="179"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89" fontId="16" fillId="3" borderId="121" xfId="0" applyNumberFormat="1" applyFont="1" applyFill="1" applyBorder="1" applyAlignment="1" applyProtection="1">
      <alignment vertical="center"/>
    </xf>
    <xf numFmtId="189" fontId="16" fillId="3" borderId="69" xfId="0" applyNumberFormat="1" applyFont="1" applyFill="1" applyBorder="1" applyAlignment="1" applyProtection="1">
      <alignment vertical="center"/>
    </xf>
    <xf numFmtId="189"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89" fontId="3" fillId="3" borderId="8" xfId="0" applyNumberFormat="1" applyFont="1" applyFill="1" applyBorder="1" applyProtection="1">
      <alignment vertical="center"/>
    </xf>
    <xf numFmtId="179"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89"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9"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79"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79"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79"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89" fontId="72" fillId="0" borderId="1" xfId="0" applyNumberFormat="1" applyFont="1" applyBorder="1" applyAlignment="1" applyProtection="1">
      <alignment horizontal="center" vertical="center" wrapText="1"/>
      <protection locked="0"/>
    </xf>
    <xf numFmtId="189"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89" fontId="72" fillId="3" borderId="0" xfId="0" applyNumberFormat="1" applyFont="1" applyFill="1" applyBorder="1" applyAlignment="1" applyProtection="1">
      <alignment horizontal="center" vertical="center" wrapText="1"/>
    </xf>
    <xf numFmtId="189" fontId="82" fillId="3" borderId="0" xfId="0" applyNumberFormat="1" applyFont="1" applyFill="1" applyBorder="1" applyAlignment="1" applyProtection="1">
      <alignment horizontal="center" vertical="center" wrapText="1"/>
    </xf>
    <xf numFmtId="179" fontId="72" fillId="3" borderId="1" xfId="0" applyNumberFormat="1" applyFont="1" applyFill="1" applyBorder="1" applyAlignment="1" applyProtection="1">
      <alignment horizontal="center" vertical="center" wrapText="1"/>
    </xf>
    <xf numFmtId="179" fontId="72" fillId="3" borderId="66" xfId="0" applyNumberFormat="1" applyFont="1" applyFill="1" applyBorder="1" applyAlignment="1" applyProtection="1">
      <alignment horizontal="center" vertical="center" wrapText="1"/>
    </xf>
    <xf numFmtId="179" fontId="72" fillId="3" borderId="20" xfId="0" applyNumberFormat="1" applyFont="1" applyFill="1" applyBorder="1" applyAlignment="1" applyProtection="1">
      <alignment horizontal="center" vertical="center" wrapText="1"/>
    </xf>
    <xf numFmtId="179"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89" fontId="72" fillId="3" borderId="21" xfId="0" applyNumberFormat="1" applyFont="1" applyFill="1" applyBorder="1" applyAlignment="1" applyProtection="1">
      <alignment horizontal="left" vertical="center"/>
    </xf>
    <xf numFmtId="189"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89"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89"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79" fontId="72" fillId="0" borderId="8" xfId="0" applyNumberFormat="1" applyFont="1" applyFill="1" applyBorder="1" applyAlignment="1" applyProtection="1">
      <alignment horizontal="center" vertical="center" wrapText="1"/>
      <protection locked="0"/>
    </xf>
    <xf numFmtId="179"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79" fontId="3" fillId="3" borderId="1" xfId="0" applyNumberFormat="1" applyFont="1" applyFill="1" applyBorder="1" applyAlignment="1" applyProtection="1">
      <alignment horizontal="center" vertical="center" wrapText="1"/>
    </xf>
    <xf numFmtId="179" fontId="3" fillId="0" borderId="8" xfId="0" applyNumberFormat="1" applyFont="1" applyFill="1" applyBorder="1" applyAlignment="1" applyProtection="1">
      <alignment horizontal="center" vertical="center" wrapText="1"/>
      <protection locked="0"/>
    </xf>
    <xf numFmtId="179" fontId="3" fillId="3" borderId="8" xfId="0" applyNumberFormat="1" applyFont="1" applyFill="1" applyBorder="1" applyAlignment="1" applyProtection="1">
      <alignment horizontal="center" vertical="center" wrapText="1"/>
    </xf>
    <xf numFmtId="179"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79" fontId="72" fillId="0" borderId="1" xfId="0" applyNumberFormat="1" applyFont="1" applyBorder="1" applyAlignment="1" applyProtection="1">
      <alignment vertical="center" wrapText="1"/>
      <protection locked="0"/>
    </xf>
    <xf numFmtId="179" fontId="3" fillId="0" borderId="1" xfId="0" applyNumberFormat="1" applyFont="1" applyBorder="1" applyAlignment="1" applyProtection="1">
      <alignment vertical="center" wrapText="1"/>
      <protection locked="0"/>
    </xf>
    <xf numFmtId="189"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89"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89" fontId="72" fillId="3" borderId="8" xfId="0" applyNumberFormat="1" applyFont="1" applyFill="1" applyBorder="1" applyAlignment="1" applyProtection="1">
      <alignment horizontal="center" vertical="center" wrapText="1"/>
    </xf>
    <xf numFmtId="179" fontId="72" fillId="0" borderId="1" xfId="0" applyNumberFormat="1" applyFont="1" applyBorder="1" applyAlignment="1" applyProtection="1">
      <alignment horizontal="center" vertical="center" wrapText="1"/>
      <protection locked="0"/>
    </xf>
    <xf numFmtId="179" fontId="3" fillId="0" borderId="1" xfId="0" applyNumberFormat="1" applyFont="1" applyBorder="1" applyAlignment="1" applyProtection="1">
      <alignment horizontal="center" vertical="center" wrapText="1"/>
      <protection locked="0"/>
    </xf>
    <xf numFmtId="0" fontId="119"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79"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89"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79"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79"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79" fontId="72" fillId="0" borderId="1" xfId="0" applyNumberFormat="1" applyFont="1" applyFill="1" applyBorder="1" applyAlignment="1" applyProtection="1">
      <alignment horizontal="center" vertical="center" wrapText="1"/>
      <protection locked="0"/>
    </xf>
    <xf numFmtId="179"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79" fontId="72" fillId="3" borderId="56" xfId="0" applyNumberFormat="1" applyFont="1" applyFill="1" applyBorder="1" applyAlignment="1" applyProtection="1">
      <alignment horizontal="center" vertical="center" wrapText="1"/>
    </xf>
    <xf numFmtId="179" fontId="72" fillId="3" borderId="18" xfId="0" applyNumberFormat="1" applyFont="1" applyFill="1" applyBorder="1" applyAlignment="1" applyProtection="1">
      <alignment horizontal="center" vertical="center" wrapText="1"/>
    </xf>
    <xf numFmtId="189"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89"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89" fontId="72" fillId="3" borderId="10" xfId="0" applyNumberFormat="1" applyFont="1" applyFill="1" applyBorder="1" applyAlignment="1" applyProtection="1">
      <alignment horizontal="center" vertical="center"/>
    </xf>
    <xf numFmtId="179" fontId="72" fillId="3" borderId="15" xfId="0" applyNumberFormat="1" applyFont="1" applyFill="1" applyBorder="1" applyAlignment="1" applyProtection="1">
      <alignment horizontal="center" vertical="center" wrapText="1"/>
    </xf>
    <xf numFmtId="179"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79" fontId="3" fillId="3" borderId="19" xfId="0" applyNumberFormat="1"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79"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83" fontId="72" fillId="0" borderId="1" xfId="0" applyNumberFormat="1" applyFont="1" applyFill="1" applyBorder="1" applyAlignment="1" applyProtection="1">
      <alignment horizontal="center" vertical="center" shrinkToFit="1"/>
      <protection locked="0"/>
    </xf>
    <xf numFmtId="188"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89"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83"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83"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88" fontId="72" fillId="3" borderId="65" xfId="0" applyNumberFormat="1" applyFont="1" applyFill="1" applyBorder="1" applyAlignment="1" applyProtection="1">
      <alignment horizontal="center" vertical="center" wrapText="1"/>
      <protection locked="0"/>
    </xf>
    <xf numFmtId="189"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89"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89"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2" borderId="11" xfId="62" applyFont="1" applyFill="1" applyBorder="1" applyAlignment="1">
      <alignment horizontal="left" vertical="center"/>
    </xf>
    <xf numFmtId="0" fontId="127" fillId="0" borderId="1" xfId="62" applyFont="1" applyBorder="1" applyAlignment="1">
      <alignment horizontal="left" vertical="center"/>
    </xf>
    <xf numFmtId="0" fontId="127" fillId="0" borderId="21" xfId="62" applyFont="1" applyBorder="1" applyAlignment="1">
      <alignment horizontal="left" vertical="center"/>
    </xf>
    <xf numFmtId="0" fontId="126" fillId="2" borderId="173" xfId="62" applyFont="1" applyFill="1" applyBorder="1" applyAlignment="1">
      <alignment horizontal="left" vertical="center"/>
    </xf>
    <xf numFmtId="0" fontId="127" fillId="0" borderId="1" xfId="62" applyFont="1" applyFill="1" applyBorder="1" applyAlignment="1">
      <alignment horizontal="left" vertical="center"/>
    </xf>
    <xf numFmtId="180" fontId="127" fillId="0" borderId="1" xfId="62" applyNumberFormat="1" applyFont="1" applyFill="1" applyBorder="1" applyAlignment="1">
      <alignment horizontal="left" vertical="center"/>
    </xf>
    <xf numFmtId="180" fontId="128" fillId="0" borderId="21" xfId="62" applyNumberFormat="1" applyFont="1" applyFill="1" applyBorder="1" applyAlignment="1">
      <alignment horizontal="left" vertical="center"/>
    </xf>
    <xf numFmtId="0" fontId="127" fillId="0" borderId="174" xfId="62" applyFont="1" applyFill="1" applyBorder="1" applyAlignment="1">
      <alignment horizontal="left" vertical="center"/>
    </xf>
    <xf numFmtId="183"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80" fontId="127" fillId="0" borderId="21" xfId="62" applyNumberFormat="1" applyFont="1" applyFill="1" applyBorder="1" applyAlignment="1">
      <alignment horizontal="left" vertical="center"/>
    </xf>
    <xf numFmtId="0" fontId="128" fillId="0" borderId="0" xfId="62" applyFont="1" applyFill="1" applyAlignment="1">
      <alignment horizontal="left" vertical="center"/>
    </xf>
    <xf numFmtId="0" fontId="126" fillId="2" borderId="1" xfId="62" applyFont="1" applyFill="1" applyBorder="1" applyAlignment="1">
      <alignment horizontal="left" vertical="center"/>
    </xf>
    <xf numFmtId="0" fontId="127" fillId="0" borderId="174"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3" fontId="127" fillId="0" borderId="21"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1" xfId="62" applyFont="1" applyBorder="1" applyAlignment="1">
      <alignment horizontal="left" vertical="center"/>
    </xf>
    <xf numFmtId="183" fontId="129"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1"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9"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20"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8"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3"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115"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2"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1" xfId="6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176" fontId="121" fillId="0" borderId="7" xfId="0" applyNumberFormat="1" applyFont="1" applyBorder="1" applyAlignment="1" applyProtection="1">
      <alignment horizontal="left" vertical="center"/>
    </xf>
    <xf numFmtId="0" fontId="121" fillId="0" borderId="8" xfId="64" applyFont="1" applyBorder="1" applyAlignment="1" applyProtection="1">
      <alignment vertical="center" wrapText="1"/>
    </xf>
    <xf numFmtId="14" fontId="121" fillId="0" borderId="8"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07720"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58520"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6&#26531;&#22253;&#23567;&#21306;&#24213;&#21830;4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4&#26531;&#22253;&#23567;&#21306;&#24213;&#21830;4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05&#26531;&#22253;&#23567;&#21306;&#24213;&#21830;4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587.51</v>
          </cell>
        </row>
        <row r="14">
          <cell r="I14">
            <v>531.1527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640.8209</v>
          </cell>
        </row>
        <row r="14">
          <cell r="I14">
            <v>634.081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G14">
            <v>750.3687</v>
          </cell>
        </row>
        <row r="14">
          <cell r="I14">
            <v>650.4424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978.5968</v>
          </cell>
        </row>
        <row r="14">
          <cell r="I14">
            <v>928.242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1026.0769</v>
          </cell>
        </row>
        <row r="14">
          <cell r="I14">
            <v>893.5871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（注册号：0)、崔锴（注册号：1120100036)</v>
      </c>
    </row>
    <row r="5" s="3727" customFormat="1" ht="16.35" spans="1:2">
      <c r="A5" s="3739" t="s">
        <v>5</v>
      </c>
      <c r="B5" s="3740" t="str">
        <f>'预评函-封皮'!B49</f>
        <v>康正预评字号</v>
      </c>
    </row>
    <row r="6" s="3728" customFormat="1" ht="16.3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估价对象为北京市房地产，为所有。根据《国有土地使用证》[]，估价对象（分摊）出让国有建设用地使用权面积为0平方米，建筑面积为444.98平方米。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估价对象为北京市房地产,属开发建设的，该项目尚在开发建设中。根据《国有土地使用证》[]，估价对象（分摊）出让国有建设用地使用权面积为0平方米，规划建筑面积为444.98平方米。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2023年4月26日</v>
      </c>
    </row>
    <row r="13" s="3729" customFormat="1" spans="1:2">
      <c r="A13" s="3737" t="s">
        <v>13</v>
      </c>
      <c r="B13" s="3738"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本次评估采用的主估价方法为比较法和收益法。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1416</v>
      </c>
    </row>
    <row r="21" s="3729" customFormat="1" spans="1:2">
      <c r="A21" s="3737" t="s">
        <v>21</v>
      </c>
      <c r="B21" s="3738">
        <f ca="1">'预评函-2'!D7</f>
        <v>31829</v>
      </c>
    </row>
    <row r="22" s="3729" customFormat="1" spans="1:2">
      <c r="A22" s="3737" t="s">
        <v>22</v>
      </c>
      <c r="B22" s="3738" t="str">
        <f ca="1">'预评函-2'!D6</f>
        <v>壹仟肆佰壹拾陆万元整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1416</v>
      </c>
    </row>
    <row r="31" s="3729" customFormat="1" spans="1:2">
      <c r="A31" s="3737" t="s">
        <v>31</v>
      </c>
      <c r="B31" s="3738">
        <f ca="1">'预评函-2'!D15</f>
        <v>31829</v>
      </c>
    </row>
    <row r="32" s="3729" customFormat="1" spans="1:2">
      <c r="A32" s="3737" t="s">
        <v>32</v>
      </c>
      <c r="B32" s="3738" t="str">
        <f ca="1">'预评函-2'!D14</f>
        <v>壹仟肆佰壹拾陆万元整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4.抵押净值</v>
      </c>
    </row>
    <row r="38" s="3729" customFormat="1" spans="1:2">
      <c r="A38" s="3737" t="s">
        <v>38</v>
      </c>
      <c r="B38" s="3738">
        <f ca="1">'预评函-2'!D19</f>
        <v>1247</v>
      </c>
    </row>
    <row r="39" s="3729" customFormat="1" spans="1:2">
      <c r="A39" s="3737" t="s">
        <v>39</v>
      </c>
      <c r="B39" s="3738">
        <f ca="1">'预评函-2'!D21</f>
        <v>28024</v>
      </c>
    </row>
    <row r="40" s="3729" customFormat="1" spans="1:2">
      <c r="A40" s="3737" t="s">
        <v>40</v>
      </c>
      <c r="B40" s="3738" t="str">
        <f ca="1">'预评函-2'!D20</f>
        <v>壹仟贰佰肆拾柒万元整</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444.98</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抵押净值</v>
      </c>
    </row>
    <row r="57" s="3727" customFormat="1" ht="16.35" spans="1:2">
      <c r="A57" s="3739" t="s">
        <v>57</v>
      </c>
      <c r="B57" s="3740" t="str">
        <f>'预评函-3'!A6</f>
        <v>估价师知悉的法定优先受偿款</v>
      </c>
    </row>
    <row r="58" s="3728" customFormat="1" ht="16.3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t="str">
        <f>'预评函-4'!A5</f>
        <v>崔锴</v>
      </c>
    </row>
    <row r="73" s="3727" customFormat="1" ht="16.35" spans="1:2">
      <c r="A73" s="3739" t="s">
        <v>73</v>
      </c>
      <c r="B73" s="3740">
        <f ca="1">'预评函-4'!B5</f>
        <v>1120100036</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0" customWidth="1"/>
    <col min="2" max="2" width="23.2222222222222" style="3571" customWidth="1"/>
    <col min="3" max="3" width="13" style="3572" customWidth="1"/>
    <col min="4" max="4" width="5.77777777777778" style="3573" customWidth="1"/>
    <col min="5" max="5" width="7.11111111111111" style="3573" customWidth="1"/>
    <col min="6" max="6" width="10.6666666666667" style="3573" customWidth="1"/>
    <col min="7" max="7" width="7.44444444444444" style="3573" customWidth="1"/>
    <col min="8" max="8" width="11.8888888888889" style="3572" customWidth="1"/>
    <col min="9" max="9" width="11.6666666666667" style="3572" customWidth="1"/>
    <col min="10" max="10" width="9" style="3572" customWidth="1"/>
    <col min="11" max="19" width="9" style="3573" customWidth="1"/>
    <col min="20" max="23" width="9" style="3572" customWidth="1"/>
    <col min="24" max="24" width="21.1111111111111" style="3571" customWidth="1"/>
    <col min="25" max="16384" width="9" style="3571"/>
  </cols>
  <sheetData>
    <row r="1" s="3569" customFormat="1" ht="43.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222222222222" defaultRowHeight="14.4"/>
  <cols>
    <col min="1" max="7" width="15.2222222222222" style="3518"/>
    <col min="8" max="8" width="5.44444444444444" style="3518" customWidth="1"/>
    <col min="9" max="13" width="9.44444444444444" style="3519" customWidth="1"/>
    <col min="14" max="18" width="9.44444444444444" style="3518" customWidth="1"/>
    <col min="19" max="16384" width="15.2222222222222" style="3518"/>
  </cols>
  <sheetData>
    <row r="1" spans="1:18">
      <c r="A1" s="3520" t="s">
        <v>338</v>
      </c>
      <c r="B1" s="3521"/>
      <c r="C1" s="3521"/>
      <c r="D1" s="3521"/>
      <c r="E1" s="3521"/>
      <c r="F1" s="3522"/>
      <c r="I1" s="3563" t="s">
        <v>339</v>
      </c>
      <c r="J1" s="734"/>
      <c r="K1" s="734"/>
      <c r="L1" s="734"/>
      <c r="M1" s="734"/>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888" t="s">
        <v>341</v>
      </c>
      <c r="B3" s="3526">
        <f>项目基本情况!D3</f>
        <v>45042</v>
      </c>
      <c r="C3" s="889"/>
      <c r="D3" s="889"/>
      <c r="E3" s="889"/>
      <c r="F3" s="3525"/>
      <c r="I3" s="3566"/>
      <c r="J3" s="3566" t="s">
        <v>342</v>
      </c>
      <c r="K3" s="3566" t="s">
        <v>343</v>
      </c>
      <c r="L3" s="3566" t="s">
        <v>344</v>
      </c>
      <c r="M3" s="3566" t="s">
        <v>345</v>
      </c>
      <c r="N3" s="3567" t="s">
        <v>346</v>
      </c>
      <c r="O3" s="3567" t="s">
        <v>347</v>
      </c>
      <c r="P3" s="3567" t="s">
        <v>348</v>
      </c>
      <c r="Q3" s="3567" t="s">
        <v>349</v>
      </c>
      <c r="R3" s="3567" t="s">
        <v>350</v>
      </c>
    </row>
    <row r="4" spans="1:18">
      <c r="A4" s="888" t="s">
        <v>351</v>
      </c>
      <c r="B4" s="889" t="s">
        <v>352</v>
      </c>
      <c r="C4" s="889" t="s">
        <v>353</v>
      </c>
      <c r="D4" s="889" t="s">
        <v>354</v>
      </c>
      <c r="E4" s="889" t="s">
        <v>355</v>
      </c>
      <c r="F4" s="3525"/>
      <c r="I4" s="3566" t="s">
        <v>356</v>
      </c>
      <c r="J4" s="3566">
        <v>80</v>
      </c>
      <c r="K4" s="3566">
        <v>70</v>
      </c>
      <c r="L4" s="3566">
        <v>20</v>
      </c>
      <c r="M4" s="3566">
        <v>30</v>
      </c>
      <c r="N4" s="889">
        <v>45</v>
      </c>
      <c r="O4" s="889">
        <v>60</v>
      </c>
      <c r="P4" s="889">
        <v>50</v>
      </c>
      <c r="Q4" s="889">
        <v>20</v>
      </c>
      <c r="R4" s="889">
        <v>375</v>
      </c>
    </row>
    <row r="5" spans="1:18">
      <c r="A5" s="3527">
        <v>40</v>
      </c>
      <c r="B5" s="3526">
        <v>46375</v>
      </c>
      <c r="C5" s="889">
        <f>ROUNDDOWN(MIN((B5-B3)/365,A5),2)</f>
        <v>3.65</v>
      </c>
      <c r="D5" s="3528">
        <f>IF(ISERROR(ROUND(POWER(1+E5,A5-C5)*(POWER(1+E5,C5)-1)/(POWER(1+E5,A5)-1),3)),0,ROUND(POWER(1+E5,A5-C5)*(POWER(1+E5,C5)-1)/(POWER(1+E5,A5)-1),4))</f>
        <v>0.1685</v>
      </c>
      <c r="E5" s="3529">
        <v>0.04</v>
      </c>
      <c r="F5" s="3525"/>
      <c r="I5" s="3566" t="s">
        <v>357</v>
      </c>
      <c r="J5" s="3566">
        <v>70</v>
      </c>
      <c r="K5" s="3566">
        <v>60</v>
      </c>
      <c r="L5" s="3566">
        <v>15</v>
      </c>
      <c r="M5" s="3566">
        <v>25</v>
      </c>
      <c r="N5" s="889">
        <v>40</v>
      </c>
      <c r="O5" s="889">
        <v>50</v>
      </c>
      <c r="P5" s="889">
        <v>40</v>
      </c>
      <c r="Q5" s="889">
        <v>15</v>
      </c>
      <c r="R5" s="889">
        <v>315</v>
      </c>
    </row>
    <row r="6" spans="1:18">
      <c r="A6" s="3527">
        <v>50</v>
      </c>
      <c r="B6" s="3526">
        <v>50028</v>
      </c>
      <c r="C6" s="889">
        <f>ROUNDDOWN(MIN((B6-B3)/365,A6),2)</f>
        <v>13.66</v>
      </c>
      <c r="D6" s="3528">
        <f>IF(ISERROR(ROUND(POWER(1+E6,A6-C6)*(POWER(1+E6,C6)-1)/(POWER(1+E6,A6)-1),3)),0,ROUND(POWER(1+E6,A6-C6)*(POWER(1+E6,C6)-1)/(POWER(1+E6,A6)-1),4))</f>
        <v>0.4827</v>
      </c>
      <c r="E6" s="3529">
        <v>0.04</v>
      </c>
      <c r="F6" s="3525"/>
      <c r="I6" s="3566" t="s">
        <v>358</v>
      </c>
      <c r="J6" s="3566">
        <v>60</v>
      </c>
      <c r="K6" s="3566">
        <v>50</v>
      </c>
      <c r="L6" s="3566">
        <v>10</v>
      </c>
      <c r="M6" s="3566">
        <v>20</v>
      </c>
      <c r="N6" s="889">
        <v>35</v>
      </c>
      <c r="O6" s="889">
        <v>40</v>
      </c>
      <c r="P6" s="889">
        <v>30</v>
      </c>
      <c r="Q6" s="889">
        <v>10</v>
      </c>
      <c r="R6" s="889">
        <v>255</v>
      </c>
    </row>
    <row r="7" spans="1:6">
      <c r="A7" s="3527">
        <v>70</v>
      </c>
      <c r="B7" s="3526">
        <v>57333</v>
      </c>
      <c r="C7" s="889">
        <f>ROUNDDOWN(MIN((B7-B3)/365,A7),2)</f>
        <v>33.67</v>
      </c>
      <c r="D7" s="3528">
        <f>IF(ISERROR(ROUND(POWER(1+E7,A7-C7)*(POWER(1+E7,C7)-1)/(POWER(1+E7,A7)-1),3)),0,ROUND(POWER(1+E7,A7-C7)*(POWER(1+E7,C7)-1)/(POWER(1+E7,A7)-1),4))</f>
        <v>0.7833</v>
      </c>
      <c r="E7" s="3529">
        <v>0.04</v>
      </c>
      <c r="F7" s="3525"/>
    </row>
    <row r="8" spans="1:6">
      <c r="A8" s="3523"/>
      <c r="B8" s="3524"/>
      <c r="C8" s="3524"/>
      <c r="D8" s="3524"/>
      <c r="E8" s="3524"/>
      <c r="F8" s="3525"/>
    </row>
    <row r="9" spans="1:6">
      <c r="A9" s="888" t="s">
        <v>359</v>
      </c>
      <c r="B9" s="889"/>
      <c r="C9" s="889"/>
      <c r="D9" s="889"/>
      <c r="E9" s="889"/>
      <c r="F9" s="941"/>
    </row>
    <row r="10" spans="1:6">
      <c r="A10" s="888" t="s">
        <v>360</v>
      </c>
      <c r="B10" s="889"/>
      <c r="C10" s="889"/>
      <c r="D10" s="889" t="s">
        <v>355</v>
      </c>
      <c r="E10" s="889"/>
      <c r="F10" s="941" t="s">
        <v>354</v>
      </c>
    </row>
    <row r="11" spans="1:6">
      <c r="A11" s="888" t="s">
        <v>361</v>
      </c>
      <c r="B11" s="3530">
        <v>70</v>
      </c>
      <c r="C11" s="889" t="s">
        <v>362</v>
      </c>
      <c r="D11" s="3531">
        <v>0.045</v>
      </c>
      <c r="E11" s="889" t="s">
        <v>363</v>
      </c>
      <c r="F11" s="3532">
        <f>ROUND(1-(1/(POWER(1+D11,B11))),4)</f>
        <v>0.9541</v>
      </c>
    </row>
    <row r="12" spans="1:6">
      <c r="A12" s="888" t="s">
        <v>364</v>
      </c>
      <c r="B12" s="3530">
        <v>40</v>
      </c>
      <c r="C12" s="889" t="s">
        <v>365</v>
      </c>
      <c r="D12" s="3531">
        <v>0.045</v>
      </c>
      <c r="E12" s="889" t="s">
        <v>366</v>
      </c>
      <c r="F12" s="3532">
        <f>ROUND(1-(1/(POWER(1+D12,B12))),4)</f>
        <v>0.8281</v>
      </c>
    </row>
    <row r="13" spans="1:6">
      <c r="A13" s="888" t="s">
        <v>367</v>
      </c>
      <c r="B13" s="889"/>
      <c r="C13" s="889"/>
      <c r="D13" s="3524"/>
      <c r="E13" s="3524"/>
      <c r="F13" s="3525"/>
    </row>
    <row r="14" spans="1:6">
      <c r="A14" s="888" t="s">
        <v>368</v>
      </c>
      <c r="B14" s="3530">
        <v>5000</v>
      </c>
      <c r="C14" s="3533"/>
      <c r="D14" s="3524"/>
      <c r="E14" s="3524"/>
      <c r="F14" s="3525"/>
    </row>
    <row r="15" spans="1:6">
      <c r="A15" s="888" t="s">
        <v>369</v>
      </c>
      <c r="B15" s="889">
        <f>ROUND(B14*F12/F11,2)</f>
        <v>4339.69</v>
      </c>
      <c r="C15" s="889">
        <f>ROUND(F12/F11,4)</f>
        <v>0.8679</v>
      </c>
      <c r="D15" s="3524"/>
      <c r="E15" s="3524"/>
      <c r="F15" s="3525"/>
    </row>
    <row r="16" spans="1:6">
      <c r="A16" s="888" t="s">
        <v>370</v>
      </c>
      <c r="B16" s="889"/>
      <c r="C16" s="889"/>
      <c r="D16" s="3524"/>
      <c r="E16" s="3524"/>
      <c r="F16" s="3525"/>
    </row>
    <row r="17" spans="1:6">
      <c r="A17" s="888" t="s">
        <v>369</v>
      </c>
      <c r="B17" s="3531">
        <v>4810</v>
      </c>
      <c r="C17" s="3533"/>
      <c r="D17" s="3524"/>
      <c r="E17" s="3524"/>
      <c r="F17" s="3525"/>
    </row>
    <row r="18" ht="15.15" spans="1:6">
      <c r="A18" s="3534" t="s">
        <v>368</v>
      </c>
      <c r="B18" s="944">
        <f>ROUND(B17*F11/F12,2)</f>
        <v>5541.87</v>
      </c>
      <c r="C18" s="944">
        <f>ROUND(F11/F12,4)</f>
        <v>1.1522</v>
      </c>
      <c r="D18" s="3535"/>
      <c r="E18" s="3535"/>
      <c r="F18" s="3536"/>
    </row>
    <row r="19" ht="15.15"/>
    <row r="20" s="3517" customFormat="1" ht="15.1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40</v>
      </c>
      <c r="C22" s="3543">
        <v>6</v>
      </c>
      <c r="D22" s="3544">
        <v>0.055</v>
      </c>
      <c r="E22" s="3541">
        <f>ROUND(POWER(1+D22,B22-C22)*(POWER(1+D22,C22)-1)/(POWER(1+D22,B22)-1),3)</f>
        <v>0.311</v>
      </c>
      <c r="F22" s="3544">
        <v>0.7</v>
      </c>
      <c r="G22" s="3542">
        <f>ROUND(100*(1-(1-E22)*F22),1)</f>
        <v>51.8</v>
      </c>
      <c r="I22" s="3519">
        <v>10</v>
      </c>
      <c r="J22" s="3519">
        <v>65.4</v>
      </c>
      <c r="K22" s="3519">
        <f>J22-J21</f>
        <v>11.2</v>
      </c>
    </row>
    <row r="23" spans="1:13">
      <c r="A23" s="3540" t="s">
        <v>379</v>
      </c>
      <c r="B23" s="3543">
        <v>40</v>
      </c>
      <c r="C23" s="3543">
        <v>30</v>
      </c>
      <c r="D23" s="3544">
        <v>0.055</v>
      </c>
      <c r="E23" s="3541">
        <f t="shared" ref="E23:E25" si="0">ROUND(POWER(1+D23,B23-C23)*(POWER(1+D23,C23)-1)/(POWER(1+D23,B23)-1),3)</f>
        <v>0.906</v>
      </c>
      <c r="F23" s="3544">
        <f>F22</f>
        <v>0.7</v>
      </c>
      <c r="G23" s="3542">
        <f t="shared" ref="G23:G25" si="1">ROUND(100*(1-(1-E23)*F23),1)</f>
        <v>93.4</v>
      </c>
      <c r="I23" s="3519">
        <v>15</v>
      </c>
      <c r="J23" s="3519">
        <v>74.1</v>
      </c>
      <c r="K23" s="3519">
        <f t="shared" ref="K23:K30" si="2">J23-J22</f>
        <v>8.69999999999999</v>
      </c>
      <c r="L23" s="3519" t="s">
        <v>380</v>
      </c>
      <c r="M23" s="3519" t="s">
        <v>381</v>
      </c>
    </row>
    <row r="24" spans="1:13">
      <c r="A24" s="3540" t="s">
        <v>382</v>
      </c>
      <c r="B24" s="3543">
        <v>40</v>
      </c>
      <c r="C24" s="3543">
        <v>30</v>
      </c>
      <c r="D24" s="3544">
        <v>0.055</v>
      </c>
      <c r="E24" s="3541">
        <f t="shared" si="0"/>
        <v>0.906</v>
      </c>
      <c r="F24" s="3544">
        <f>F23</f>
        <v>0.7</v>
      </c>
      <c r="G24" s="3542">
        <f t="shared" si="1"/>
        <v>93.4</v>
      </c>
      <c r="I24" s="3519">
        <v>20</v>
      </c>
      <c r="J24" s="3519">
        <v>81</v>
      </c>
      <c r="K24" s="3519">
        <f t="shared" si="2"/>
        <v>6.90000000000001</v>
      </c>
      <c r="L24" s="3519" t="s">
        <v>383</v>
      </c>
      <c r="M24" s="3519">
        <v>10</v>
      </c>
    </row>
    <row r="25" spans="1:13">
      <c r="A25" s="3540" t="s">
        <v>384</v>
      </c>
      <c r="B25" s="3543">
        <v>40</v>
      </c>
      <c r="C25" s="3543">
        <v>30</v>
      </c>
      <c r="D25" s="3544">
        <v>0.055</v>
      </c>
      <c r="E25" s="3541">
        <f t="shared" si="0"/>
        <v>0.906</v>
      </c>
      <c r="F25" s="3544">
        <f>F24</f>
        <v>0.7</v>
      </c>
      <c r="G25" s="3542">
        <f t="shared" si="1"/>
        <v>93.4</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5.1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65" customWidth="1"/>
    <col min="10" max="10" width="10" style="3168" customWidth="1"/>
    <col min="11" max="11" width="10" style="3362" customWidth="1"/>
    <col min="12" max="13" width="10" style="3363" customWidth="1"/>
    <col min="14" max="14" width="10" style="3168" customWidth="1"/>
    <col min="15" max="15" width="10" style="1367" customWidth="1"/>
    <col min="16" max="17" width="10" style="3168"/>
    <col min="18" max="18" width="10" style="3168" customWidth="1"/>
    <col min="19" max="30" width="10" style="3168"/>
    <col min="31" max="16384" width="10" style="2973"/>
  </cols>
  <sheetData>
    <row r="1" ht="13.9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23"/>
      <c r="K1" s="3482"/>
      <c r="L1" s="3483"/>
      <c r="M1" s="3483"/>
      <c r="N1" s="3410"/>
      <c r="O1" s="3273"/>
      <c r="P1" s="3410"/>
      <c r="Q1" s="3410"/>
      <c r="R1" s="3410"/>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28">
      <c r="A2" s="3367" t="s">
        <v>426</v>
      </c>
      <c r="B2" s="3368"/>
      <c r="C2" s="3369"/>
      <c r="D2" s="3370"/>
      <c r="E2" s="3371"/>
      <c r="F2" s="3371"/>
      <c r="G2" s="3372"/>
      <c r="H2" s="3372"/>
      <c r="I2" s="3372"/>
      <c r="J2" s="2923"/>
      <c r="K2" s="3482"/>
      <c r="L2" s="3483"/>
      <c r="M2" s="3483"/>
      <c r="N2" s="3410"/>
      <c r="O2" s="3273"/>
      <c r="P2" s="3410"/>
      <c r="Q2" s="3410"/>
      <c r="R2" s="3410"/>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28">
      <c r="A3" s="2130" t="s">
        <v>427</v>
      </c>
      <c r="B3" s="3373"/>
      <c r="C3" s="3374" t="s">
        <v>428</v>
      </c>
      <c r="D3" s="3373">
        <v>45042</v>
      </c>
      <c r="E3" s="3372"/>
      <c r="F3" s="3372"/>
      <c r="G3" s="3372"/>
      <c r="H3" s="3372"/>
      <c r="I3" s="3372"/>
      <c r="J3" s="2923"/>
      <c r="K3" s="3482"/>
      <c r="L3" s="3483"/>
      <c r="M3" s="3483"/>
      <c r="N3" s="3410"/>
      <c r="O3" s="3273"/>
      <c r="P3" s="3410"/>
      <c r="Q3" s="3410"/>
      <c r="R3" s="3410"/>
      <c r="S3" s="2974"/>
      <c r="T3" s="2973"/>
      <c r="U3" s="2973"/>
      <c r="V3" s="2973"/>
      <c r="W3" s="2973"/>
      <c r="X3" s="2973"/>
      <c r="Y3" s="2973"/>
      <c r="Z3" s="2973"/>
      <c r="AA3" s="2973"/>
      <c r="AB3" s="2973"/>
    </row>
    <row r="4" ht="13.95" spans="1:28">
      <c r="A4" s="2154" t="s">
        <v>429</v>
      </c>
      <c r="B4" s="3375"/>
      <c r="C4" s="3376">
        <f ca="1">SUMIF(注册房地产估价师,B4,估价师及机构信息!B3:B24)</f>
        <v>0</v>
      </c>
      <c r="D4" s="3375" t="s">
        <v>190</v>
      </c>
      <c r="E4" s="3377">
        <f ca="1">SUMIF(注册房地产估价师,D4,估价师及机构信息!B3:B24)</f>
        <v>1120100036</v>
      </c>
      <c r="F4" s="3375"/>
      <c r="G4" s="3377">
        <f ca="1">SUMIF(注册房地产估价师,F4,估价师及机构信息!B3:B24)</f>
        <v>0</v>
      </c>
      <c r="H4" s="3375"/>
      <c r="I4" s="3377">
        <f ca="1">SUMIF(注册房地产估价师,H4,估价师及机构信息!B3:B24)</f>
        <v>0</v>
      </c>
      <c r="J4" s="2957"/>
      <c r="K4" s="3484" t="str">
        <f ca="1">CONCATENATE(B4,"（注册号：",C4,")、",D4,"（注册号：",E4,")")</f>
        <v>（注册号：0)、崔锴（注册号：1120100036)</v>
      </c>
      <c r="L4" s="3483"/>
      <c r="M4" s="3483"/>
      <c r="N4" s="3410"/>
      <c r="O4" s="3273"/>
      <c r="P4" s="3410"/>
      <c r="Q4" s="3410"/>
      <c r="R4" s="3410"/>
      <c r="S4" s="2974"/>
      <c r="T4" s="2973"/>
      <c r="U4" s="2973"/>
      <c r="V4" s="2973"/>
      <c r="W4" s="2973"/>
      <c r="X4" s="2973"/>
      <c r="Y4" s="2973"/>
      <c r="Z4" s="2973"/>
      <c r="AA4" s="2973"/>
      <c r="AB4" s="2973"/>
    </row>
    <row r="5" ht="13.95" spans="1:28">
      <c r="A5" s="3378" t="s">
        <v>430</v>
      </c>
      <c r="B5" s="3379"/>
      <c r="C5" s="3380"/>
      <c r="D5" s="3381"/>
      <c r="E5" s="3078"/>
      <c r="F5" s="3078"/>
      <c r="G5" s="3078"/>
      <c r="H5" s="3078"/>
      <c r="I5" s="3078"/>
      <c r="J5" s="2957"/>
      <c r="K5" s="3484" t="str">
        <f ca="1">IF(F4="——","",IF(H4="——",F4&amp;"（注册号："&amp;G4&amp;")",CONCATENATE(F4,"（注册号：",G4,")、",H4,"（注册号：",I4,")")))</f>
        <v>（注册号：0)、（注册号：0)</v>
      </c>
      <c r="L5" s="3483"/>
      <c r="M5" s="3483"/>
      <c r="N5" s="3410"/>
      <c r="O5" s="3273"/>
      <c r="P5" s="3410"/>
      <c r="Q5" s="3410"/>
      <c r="R5" s="3410"/>
      <c r="S5" s="2973"/>
      <c r="T5" s="2973"/>
      <c r="U5" s="2973"/>
      <c r="V5" s="2973"/>
      <c r="W5" s="2973"/>
      <c r="X5" s="2973"/>
      <c r="Y5" s="2973"/>
      <c r="Z5" s="2973"/>
      <c r="AA5" s="2973"/>
      <c r="AB5" s="2973"/>
    </row>
    <row r="6" spans="1:18">
      <c r="A6" s="3382" t="s">
        <v>431</v>
      </c>
      <c r="B6" s="3383"/>
      <c r="C6" s="3384"/>
      <c r="D6" s="3385"/>
      <c r="E6" s="3371"/>
      <c r="F6" s="3078"/>
      <c r="G6" s="3078"/>
      <c r="H6" s="3078"/>
      <c r="I6" s="3078"/>
      <c r="J6" s="2957"/>
      <c r="K6" s="3485" t="str">
        <f>IF(COUNTIF(B6,"*上海银行*"),"上海银行","")</f>
        <v/>
      </c>
      <c r="L6" s="3486"/>
      <c r="M6" s="3486"/>
      <c r="N6" s="2957"/>
      <c r="O6" s="3487"/>
      <c r="P6" s="2957"/>
      <c r="Q6" s="2957"/>
      <c r="R6" s="2957"/>
    </row>
    <row r="7" spans="1:18">
      <c r="A7" s="3382" t="s">
        <v>432</v>
      </c>
      <c r="B7" s="3386"/>
      <c r="C7" s="3384"/>
      <c r="D7" s="3385"/>
      <c r="E7" s="3371"/>
      <c r="F7" s="3078"/>
      <c r="G7" s="3078"/>
      <c r="H7" s="3078"/>
      <c r="I7" s="3078"/>
      <c r="J7" s="2957"/>
      <c r="K7" s="3488"/>
      <c r="L7" s="3486"/>
      <c r="M7" s="3486"/>
      <c r="N7" s="2957"/>
      <c r="O7" s="3487"/>
      <c r="P7" s="2957"/>
      <c r="Q7" s="2957"/>
      <c r="R7" s="2957"/>
    </row>
    <row r="8" spans="1:18">
      <c r="A8" s="3387" t="s">
        <v>433</v>
      </c>
      <c r="B8" s="3388" t="s">
        <v>325</v>
      </c>
      <c r="C8" s="3389"/>
      <c r="D8" s="3390" t="s">
        <v>434</v>
      </c>
      <c r="E8" s="3391" t="s">
        <v>330</v>
      </c>
      <c r="F8" s="3392"/>
      <c r="G8" s="3372"/>
      <c r="H8" s="3372"/>
      <c r="I8" s="3372"/>
      <c r="J8" s="2957"/>
      <c r="K8" s="3489"/>
      <c r="L8" s="3486"/>
      <c r="M8" s="3486"/>
      <c r="N8" s="2957"/>
      <c r="O8" s="3487"/>
      <c r="P8" s="2957"/>
      <c r="Q8" s="2957"/>
      <c r="R8" s="2957"/>
    </row>
    <row r="9" ht="13.95" spans="1:18">
      <c r="A9" s="3393" t="s">
        <v>435</v>
      </c>
      <c r="B9" s="3394" t="s">
        <v>330</v>
      </c>
      <c r="C9" s="3395"/>
      <c r="D9" s="3396"/>
      <c r="E9" s="3394" t="s">
        <v>336</v>
      </c>
      <c r="F9" s="3397"/>
      <c r="G9" s="3398"/>
      <c r="H9" s="3398"/>
      <c r="I9" s="3398"/>
      <c r="J9" s="2957"/>
      <c r="K9" s="3488"/>
      <c r="L9" s="3486"/>
      <c r="M9" s="3486"/>
      <c r="N9" s="2957"/>
      <c r="O9" s="3487"/>
      <c r="P9" s="2957"/>
      <c r="Q9" s="2957"/>
      <c r="R9" s="2957"/>
    </row>
    <row r="10" ht="13.95" spans="1:18">
      <c r="A10" s="3399" t="s">
        <v>436</v>
      </c>
      <c r="B10" s="3400" t="s">
        <v>437</v>
      </c>
      <c r="C10" s="3401"/>
      <c r="D10" s="3381"/>
      <c r="E10" s="3402" t="s">
        <v>438</v>
      </c>
      <c r="F10" s="3403"/>
      <c r="G10" s="3404"/>
      <c r="H10" s="3405"/>
      <c r="I10" s="3490"/>
      <c r="J10" s="2957"/>
      <c r="K10" s="3488"/>
      <c r="L10" s="3486"/>
      <c r="M10" s="3486"/>
      <c r="N10" s="2957"/>
      <c r="O10" s="3487"/>
      <c r="P10" s="2957"/>
      <c r="Q10" s="2957"/>
      <c r="R10" s="2957"/>
    </row>
    <row r="11" spans="1:18">
      <c r="A11" s="3406" t="s">
        <v>439</v>
      </c>
      <c r="B11" s="3407" t="s">
        <v>440</v>
      </c>
      <c r="C11" s="3408"/>
      <c r="D11" s="3409"/>
      <c r="E11" s="3410"/>
      <c r="F11" s="3410"/>
      <c r="G11" s="3410"/>
      <c r="H11" s="3410"/>
      <c r="I11" s="3410"/>
      <c r="J11" s="3491"/>
      <c r="K11" s="3492"/>
      <c r="L11" s="3486"/>
      <c r="M11" s="3486"/>
      <c r="N11" s="2957"/>
      <c r="O11" s="3487"/>
      <c r="P11" s="2957"/>
      <c r="Q11" s="2957"/>
      <c r="R11" s="2957"/>
    </row>
    <row r="12" spans="1:30">
      <c r="A12" s="3411" t="s">
        <v>441</v>
      </c>
      <c r="B12" s="2173" t="s">
        <v>442</v>
      </c>
      <c r="C12" s="3412" t="s">
        <v>443</v>
      </c>
      <c r="D12" s="3412" t="s">
        <v>444</v>
      </c>
      <c r="E12" s="3412" t="s">
        <v>445</v>
      </c>
      <c r="F12" s="3412" t="s">
        <v>446</v>
      </c>
      <c r="G12" s="3412" t="s">
        <v>447</v>
      </c>
      <c r="H12" s="3412" t="s">
        <v>448</v>
      </c>
      <c r="I12" s="3493" t="s">
        <v>280</v>
      </c>
      <c r="J12" s="3494"/>
      <c r="K12" s="3486"/>
      <c r="L12" s="3486"/>
      <c r="M12" s="2957"/>
      <c r="N12" s="3487"/>
      <c r="O12" s="2957"/>
      <c r="P12" s="2957"/>
      <c r="Q12" s="2957"/>
      <c r="AD12" s="2973"/>
    </row>
    <row r="13" spans="1:30">
      <c r="A13" s="3413" t="s">
        <v>449</v>
      </c>
      <c r="B13" s="3414" t="s">
        <v>450</v>
      </c>
      <c r="C13" s="3415"/>
      <c r="D13" s="3415">
        <v>50369</v>
      </c>
      <c r="E13" s="3415"/>
      <c r="F13" s="3415"/>
      <c r="G13" s="3415"/>
      <c r="H13" s="3415"/>
      <c r="I13" s="3415"/>
      <c r="J13" s="3494"/>
      <c r="K13" s="3486"/>
      <c r="L13" s="3486"/>
      <c r="M13" s="2957"/>
      <c r="N13" s="3487"/>
      <c r="O13" s="2957"/>
      <c r="P13" s="2957"/>
      <c r="Q13" s="2957"/>
      <c r="AD13" s="2973"/>
    </row>
    <row r="14" spans="1:30">
      <c r="A14" s="2159"/>
      <c r="B14" s="3414" t="s">
        <v>451</v>
      </c>
      <c r="C14" s="3416"/>
      <c r="D14" s="3416">
        <v>40</v>
      </c>
      <c r="E14" s="3416"/>
      <c r="F14" s="3416"/>
      <c r="G14" s="3416"/>
      <c r="H14" s="3416"/>
      <c r="I14" s="3416"/>
      <c r="J14" s="3495"/>
      <c r="K14" s="3486"/>
      <c r="L14" s="3486"/>
      <c r="M14" s="2957"/>
      <c r="N14" s="3487"/>
      <c r="O14" s="2957"/>
      <c r="P14" s="2957"/>
      <c r="Q14" s="2957"/>
      <c r="AD14" s="2973"/>
    </row>
    <row r="15" spans="1:30">
      <c r="A15" s="2166"/>
      <c r="B15" s="3417" t="s">
        <v>452</v>
      </c>
      <c r="C15" s="3418" t="str">
        <f>IF(A13="出让",IF(C13="","",ROUNDDOWN(MIN((C13-$D$3)/365,C14),2)),C14)</f>
        <v/>
      </c>
      <c r="D15" s="3418">
        <f>IF(A13="出让",IF(D13="","",ROUNDDOWN(MIN((D13-$D$3)/365,D14),2)),D14)</f>
        <v>14.59</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96"/>
      <c r="K15" s="3497"/>
      <c r="L15" s="3497"/>
      <c r="M15" s="2958"/>
      <c r="N15" s="3497"/>
      <c r="O15" s="2958"/>
      <c r="P15" s="2957"/>
      <c r="Q15" s="2957"/>
      <c r="AD15" s="2973"/>
    </row>
    <row r="16" spans="1:18">
      <c r="A16" s="3402" t="s">
        <v>453</v>
      </c>
      <c r="B16" s="3419"/>
      <c r="C16" s="3420"/>
      <c r="D16" s="3421"/>
      <c r="E16" s="3422" t="s">
        <v>454</v>
      </c>
      <c r="F16" s="3423"/>
      <c r="G16" s="3424"/>
      <c r="H16" s="3424"/>
      <c r="I16" s="3498"/>
      <c r="J16" s="2957"/>
      <c r="K16" s="3499"/>
      <c r="L16" s="3497"/>
      <c r="M16" s="3497"/>
      <c r="N16" s="2958"/>
      <c r="O16" s="3497"/>
      <c r="P16" s="2958"/>
      <c r="Q16" s="2957"/>
      <c r="R16" s="2957"/>
    </row>
    <row r="17" spans="1:22">
      <c r="A17" s="2143" t="s">
        <v>455</v>
      </c>
      <c r="B17" s="2130" t="s">
        <v>456</v>
      </c>
      <c r="C17" s="1430">
        <f>'数据-汇总表'!E3</f>
        <v>444.98</v>
      </c>
      <c r="D17" s="2186" t="s">
        <v>457</v>
      </c>
      <c r="E17" s="3425" t="s">
        <v>458</v>
      </c>
      <c r="F17" s="3426"/>
      <c r="G17" s="3426"/>
      <c r="H17" s="3426"/>
      <c r="I17" s="3500"/>
      <c r="J17" s="2957"/>
      <c r="K17" s="3501"/>
      <c r="L17" s="3497"/>
      <c r="M17" s="3497"/>
      <c r="N17" s="2958"/>
      <c r="O17" s="3497"/>
      <c r="P17" s="2958"/>
      <c r="Q17" s="2957"/>
      <c r="R17" s="2957"/>
      <c r="S17" s="2957"/>
      <c r="T17" s="2957"/>
      <c r="U17" s="2957"/>
      <c r="V17" s="2957"/>
    </row>
    <row r="18" ht="24.75" spans="1:22">
      <c r="A18" s="3427" t="s">
        <v>459</v>
      </c>
      <c r="B18" s="2154" t="s">
        <v>460</v>
      </c>
      <c r="C18" s="3428">
        <f>'数据-汇总表'!D3</f>
        <v>0</v>
      </c>
      <c r="D18" s="2179" t="s">
        <v>457</v>
      </c>
      <c r="E18" s="3429" t="s">
        <v>461</v>
      </c>
      <c r="F18" s="3430"/>
      <c r="G18" s="3430"/>
      <c r="H18" s="3430"/>
      <c r="I18" s="3502"/>
      <c r="J18" s="2957"/>
      <c r="K18" s="3501"/>
      <c r="L18" s="3497"/>
      <c r="M18" s="3497"/>
      <c r="N18" s="2958"/>
      <c r="O18" s="3497"/>
      <c r="P18" s="2958"/>
      <c r="Q18" s="2957"/>
      <c r="R18" s="2957"/>
      <c r="S18" s="2957"/>
      <c r="T18" s="2957"/>
      <c r="U18" s="2957"/>
      <c r="V18" s="2957"/>
    </row>
    <row r="19" ht="37.5" spans="1:22">
      <c r="A19" s="2196" t="s">
        <v>462</v>
      </c>
      <c r="B19" s="2135" t="s">
        <v>463</v>
      </c>
      <c r="C19" s="3431"/>
      <c r="D19" s="3432" t="s">
        <v>464</v>
      </c>
      <c r="E19" s="3433"/>
      <c r="F19" s="3434" t="str">
        <f>IF(AND(C19="是",E19="否"),"是否提供他项权证或相关说明","")</f>
        <v/>
      </c>
      <c r="G19" s="3435"/>
      <c r="H19" s="3078"/>
      <c r="I19" s="3078"/>
      <c r="J19" s="2957"/>
      <c r="K19" s="3488"/>
      <c r="L19" s="3486"/>
      <c r="M19" s="3486"/>
      <c r="N19" s="2958"/>
      <c r="O19" s="3497"/>
      <c r="P19" s="2958"/>
      <c r="Q19" s="2957"/>
      <c r="R19" s="2957"/>
      <c r="S19" s="2957"/>
      <c r="T19" s="2957"/>
      <c r="U19" s="2957"/>
      <c r="V19" s="2957"/>
    </row>
    <row r="20" spans="1:28">
      <c r="A20" s="3436" t="s">
        <v>465</v>
      </c>
      <c r="B20" s="3437" t="s">
        <v>466</v>
      </c>
      <c r="C20" s="3438"/>
      <c r="D20" s="3439" t="s">
        <v>467</v>
      </c>
      <c r="E20" s="3440"/>
      <c r="F20" s="3441" t="s">
        <v>468</v>
      </c>
      <c r="G20" s="3078"/>
      <c r="H20" s="3078"/>
      <c r="I20" s="3078"/>
      <c r="J20" s="2957"/>
      <c r="K20" s="3284"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73"/>
      <c r="X20" s="2973"/>
      <c r="Y20" s="2973"/>
      <c r="Z20" s="2973"/>
      <c r="AA20" s="2973"/>
      <c r="AB20" s="2973"/>
    </row>
    <row r="21" ht="36.75" spans="1:28">
      <c r="A21" s="3436"/>
      <c r="B21" s="3442" t="s">
        <v>470</v>
      </c>
      <c r="C21" s="3443" t="s">
        <v>471</v>
      </c>
      <c r="D21" s="3444" t="s">
        <v>472</v>
      </c>
      <c r="E21" s="3445" t="s">
        <v>471</v>
      </c>
      <c r="F21" s="3446"/>
      <c r="G21" s="3078"/>
      <c r="H21" s="3078"/>
      <c r="I21" s="3078"/>
      <c r="J21" s="2957"/>
      <c r="K21" s="3284"/>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73"/>
      <c r="X21" s="2973"/>
      <c r="Y21" s="2973"/>
      <c r="Z21" s="2973"/>
      <c r="AA21" s="2973"/>
      <c r="AB21" s="2973"/>
    </row>
    <row r="22" ht="36.75" spans="1:28">
      <c r="A22" s="3436"/>
      <c r="B22" s="3447" t="s">
        <v>473</v>
      </c>
      <c r="C22" s="3443" t="s">
        <v>474</v>
      </c>
      <c r="D22" s="3372"/>
      <c r="E22" s="3372"/>
      <c r="F22" s="3372"/>
      <c r="G22" s="3078"/>
      <c r="H22" s="3078"/>
      <c r="I22" s="3078"/>
      <c r="J22" s="2957"/>
      <c r="K22" s="3284"/>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73"/>
      <c r="X22" s="2973"/>
      <c r="Y22" s="2973"/>
      <c r="Z22" s="2973"/>
      <c r="AA22" s="2973"/>
      <c r="AB22" s="2973"/>
    </row>
    <row r="23" spans="1:22">
      <c r="A23" s="3448" t="s">
        <v>475</v>
      </c>
      <c r="B23" s="2948" t="s">
        <v>476</v>
      </c>
      <c r="C23" s="3449"/>
      <c r="D23" s="3450" t="s">
        <v>476</v>
      </c>
      <c r="E23" s="3451"/>
      <c r="F23" s="3372"/>
      <c r="G23" s="3078"/>
      <c r="H23" s="3078"/>
      <c r="I23" s="3078"/>
      <c r="J23" s="2957"/>
      <c r="K23" s="3505"/>
      <c r="L23" s="2295"/>
      <c r="M23" s="3486"/>
      <c r="N23" s="2958"/>
      <c r="O23" s="3497"/>
      <c r="P23" s="2958"/>
      <c r="Q23" s="2957"/>
      <c r="R23" s="2957"/>
      <c r="S23" s="2957"/>
      <c r="T23" s="2957"/>
      <c r="U23" s="2957"/>
      <c r="V23" s="2957"/>
    </row>
    <row r="24" spans="1:22">
      <c r="A24" s="3448"/>
      <c r="B24" s="2948" t="s">
        <v>477</v>
      </c>
      <c r="C24" s="3452"/>
      <c r="D24" s="3448" t="s">
        <v>477</v>
      </c>
      <c r="E24" s="3453"/>
      <c r="F24" s="3372"/>
      <c r="G24" s="3078"/>
      <c r="H24" s="3078"/>
      <c r="I24" s="3078"/>
      <c r="J24" s="2957"/>
      <c r="K24" s="3505"/>
      <c r="L24" s="2295"/>
      <c r="M24" s="3486"/>
      <c r="N24" s="2958"/>
      <c r="O24" s="3497"/>
      <c r="P24" s="2958"/>
      <c r="Q24" s="2957"/>
      <c r="R24" s="2957"/>
      <c r="S24" s="2957"/>
      <c r="T24" s="2957"/>
      <c r="U24" s="2957"/>
      <c r="V24" s="2957"/>
    </row>
    <row r="25" spans="1:22">
      <c r="A25" s="3448"/>
      <c r="B25" s="2948" t="s">
        <v>478</v>
      </c>
      <c r="C25" s="3452"/>
      <c r="D25" s="3448" t="s">
        <v>478</v>
      </c>
      <c r="E25" s="3453"/>
      <c r="F25" s="3372"/>
      <c r="G25" s="3078"/>
      <c r="H25" s="3078"/>
      <c r="I25" s="3078"/>
      <c r="J25" s="2957"/>
      <c r="K25" s="3488"/>
      <c r="L25" s="3486"/>
      <c r="M25" s="3486"/>
      <c r="N25" s="2958"/>
      <c r="O25" s="3497"/>
      <c r="P25" s="2958"/>
      <c r="Q25" s="2957"/>
      <c r="R25" s="2957"/>
      <c r="S25" s="2957"/>
      <c r="T25" s="2957"/>
      <c r="U25" s="2957"/>
      <c r="V25" s="2957"/>
    </row>
    <row r="26" ht="13.95" spans="1:22">
      <c r="A26" s="3454"/>
      <c r="B26" s="3455" t="s">
        <v>479</v>
      </c>
      <c r="C26" s="3456"/>
      <c r="D26" s="3454" t="s">
        <v>479</v>
      </c>
      <c r="E26" s="3457"/>
      <c r="F26" s="3398"/>
      <c r="G26" s="3398"/>
      <c r="H26" s="3398"/>
      <c r="I26" s="3398"/>
      <c r="J26" s="2957"/>
      <c r="K26" s="3488"/>
      <c r="L26" s="3486"/>
      <c r="M26" s="3486"/>
      <c r="N26" s="2958"/>
      <c r="O26" s="3497"/>
      <c r="P26" s="2958"/>
      <c r="Q26" s="2957"/>
      <c r="R26" s="2957"/>
      <c r="S26" s="2957"/>
      <c r="T26" s="2957"/>
      <c r="U26" s="2957"/>
      <c r="V26" s="2957"/>
    </row>
    <row r="27" ht="13.95" spans="1:22">
      <c r="A27" s="2159" t="s">
        <v>480</v>
      </c>
      <c r="B27" s="2166" t="s">
        <v>481</v>
      </c>
      <c r="C27" s="3458"/>
      <c r="D27" s="3459"/>
      <c r="E27" s="3078"/>
      <c r="F27" s="3078"/>
      <c r="G27" s="3078"/>
      <c r="H27" s="3078"/>
      <c r="I27" s="3078"/>
      <c r="J27" s="2957"/>
      <c r="K27" s="3499"/>
      <c r="L27" s="3497"/>
      <c r="M27" s="3497"/>
      <c r="N27" s="2958"/>
      <c r="O27" s="3497"/>
      <c r="P27" s="2958"/>
      <c r="Q27" s="2957"/>
      <c r="R27" s="2957"/>
      <c r="S27" s="2957"/>
      <c r="T27" s="2957"/>
      <c r="U27" s="2957"/>
      <c r="V27" s="2957"/>
    </row>
    <row r="28" spans="1:22">
      <c r="A28" s="2159"/>
      <c r="B28" s="2130" t="s">
        <v>482</v>
      </c>
      <c r="C28" s="3460"/>
      <c r="D28" s="3461"/>
      <c r="E28" s="3078"/>
      <c r="F28" s="3078"/>
      <c r="G28" s="3078"/>
      <c r="H28" s="3078"/>
      <c r="I28" s="3078"/>
      <c r="J28" s="2957"/>
      <c r="K28" s="3488"/>
      <c r="L28" s="3486"/>
      <c r="M28" s="3486"/>
      <c r="N28" s="2957"/>
      <c r="O28" s="3487"/>
      <c r="P28" s="2957"/>
      <c r="Q28" s="2957"/>
      <c r="R28" s="2957"/>
      <c r="S28" s="2957"/>
      <c r="T28" s="2957"/>
      <c r="U28" s="2957"/>
      <c r="V28" s="2957"/>
    </row>
    <row r="29" spans="1:22">
      <c r="A29" s="2159"/>
      <c r="B29" s="2130" t="s">
        <v>483</v>
      </c>
      <c r="C29" s="3462"/>
      <c r="D29" s="3463"/>
      <c r="E29" s="3078"/>
      <c r="F29" s="3078"/>
      <c r="G29" s="3078"/>
      <c r="H29" s="3078"/>
      <c r="I29" s="3078"/>
      <c r="J29" s="2957"/>
      <c r="K29" s="3488"/>
      <c r="L29" s="3486"/>
      <c r="M29" s="3486"/>
      <c r="N29" s="2957"/>
      <c r="O29" s="3487"/>
      <c r="P29" s="2957"/>
      <c r="Q29" s="2957"/>
      <c r="R29" s="2957"/>
      <c r="S29" s="2957"/>
      <c r="T29" s="2957"/>
      <c r="U29" s="2957"/>
      <c r="V29" s="2957"/>
    </row>
    <row r="30" spans="1:22">
      <c r="A30" s="2166"/>
      <c r="B30" s="2130" t="s">
        <v>484</v>
      </c>
      <c r="C30" s="3464"/>
      <c r="D30" s="3465"/>
      <c r="E30" s="3078"/>
      <c r="F30" s="3078"/>
      <c r="G30" s="3078"/>
      <c r="H30" s="3078"/>
      <c r="I30" s="3078"/>
      <c r="J30" s="2957"/>
      <c r="K30" s="3488"/>
      <c r="L30" s="3486"/>
      <c r="M30" s="3486"/>
      <c r="N30" s="2957"/>
      <c r="O30" s="3487"/>
      <c r="P30" s="2957"/>
      <c r="Q30" s="2957"/>
      <c r="R30" s="2957"/>
      <c r="S30" s="2957"/>
      <c r="T30" s="2957"/>
      <c r="U30" s="2957"/>
      <c r="V30" s="2957"/>
    </row>
    <row r="31" spans="1:22">
      <c r="A31" s="3466" t="s">
        <v>485</v>
      </c>
      <c r="B31" s="3467"/>
      <c r="C31" s="2286" t="str">
        <f>IF(B31="现房","成新及维护状况正常否",IF(B31="在建","工程状态是否正常",IF(B31="土地","是否闲置","-")))</f>
        <v>-</v>
      </c>
      <c r="D31" s="2473"/>
      <c r="E31" s="3468"/>
      <c r="F31" s="3078"/>
      <c r="G31" s="3078"/>
      <c r="H31" s="3078"/>
      <c r="I31" s="3078"/>
      <c r="J31" s="2957"/>
      <c r="K31" s="3485"/>
      <c r="L31" s="3486"/>
      <c r="M31" s="3486"/>
      <c r="N31" s="2957"/>
      <c r="O31" s="3487"/>
      <c r="P31" s="2957"/>
      <c r="Q31" s="2957"/>
      <c r="R31" s="2957"/>
      <c r="S31" s="2957"/>
      <c r="T31" s="2957"/>
      <c r="U31" s="2957"/>
      <c r="V31" s="2957"/>
    </row>
    <row r="32" spans="1:22">
      <c r="A32" s="2716"/>
      <c r="B32" s="3467"/>
      <c r="C32" s="2286" t="str">
        <f>IF(B32="现房","成新及维护状况是否正常",IF(B32="在建","工程状态是否正常",IF(B32="土地","是否闲置","-")))</f>
        <v>-</v>
      </c>
      <c r="D32" s="2473"/>
      <c r="E32" s="3468"/>
      <c r="F32" s="3078"/>
      <c r="G32" s="3078"/>
      <c r="H32" s="3078"/>
      <c r="I32" s="3078"/>
      <c r="J32" s="2957"/>
      <c r="K32" s="3488"/>
      <c r="L32" s="3486"/>
      <c r="M32" s="3486"/>
      <c r="N32" s="2957"/>
      <c r="O32" s="3487"/>
      <c r="P32" s="2957"/>
      <c r="Q32" s="2957"/>
      <c r="R32" s="2957"/>
      <c r="S32" s="2957"/>
      <c r="T32" s="2957"/>
      <c r="U32" s="2957"/>
      <c r="V32" s="2957"/>
    </row>
    <row r="33" spans="1:22">
      <c r="A33" s="2716"/>
      <c r="B33" s="3469"/>
      <c r="C33" s="2715" t="str">
        <f>IF(B33="现房","成新及维护状况是否正常",IF(B33="在建","工程状态是否正常",IF(B33="土地","是否闲置","-")))</f>
        <v>-</v>
      </c>
      <c r="D33" s="2141"/>
      <c r="E33" s="3470"/>
      <c r="F33" s="3078"/>
      <c r="G33" s="3078"/>
      <c r="H33" s="3078"/>
      <c r="I33" s="3078"/>
      <c r="J33" s="2957"/>
      <c r="K33" s="3488"/>
      <c r="L33" s="3486"/>
      <c r="M33" s="3486"/>
      <c r="N33" s="2957"/>
      <c r="O33" s="3487"/>
      <c r="P33" s="2957"/>
      <c r="Q33" s="2957"/>
      <c r="R33" s="2957"/>
      <c r="S33" s="2957"/>
      <c r="T33" s="2957"/>
      <c r="U33" s="2957"/>
      <c r="V33" s="2957"/>
    </row>
    <row r="34" spans="1:22">
      <c r="A34" s="2130" t="s">
        <v>486</v>
      </c>
      <c r="B34" s="992"/>
      <c r="C34" s="992"/>
      <c r="D34" s="992"/>
      <c r="E34" s="992"/>
      <c r="F34" s="992"/>
      <c r="G34" s="992"/>
      <c r="H34" s="992"/>
      <c r="I34" s="3078"/>
      <c r="J34" s="2957"/>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7"/>
      <c r="V34" s="2957"/>
    </row>
    <row r="35" spans="1:22">
      <c r="A35" s="3471"/>
      <c r="B35" s="1488" t="s">
        <v>495</v>
      </c>
      <c r="C35" s="1488"/>
      <c r="D35" s="1488"/>
      <c r="E35" s="1488"/>
      <c r="F35" s="1488">
        <f>C10</f>
        <v>0</v>
      </c>
      <c r="G35" s="3078"/>
      <c r="H35" s="3078"/>
      <c r="I35" s="3078"/>
      <c r="J35" s="2957"/>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7"/>
      <c r="V35" s="2957"/>
    </row>
    <row r="36" spans="1:22">
      <c r="A36" s="3472"/>
      <c r="B36" s="1488" t="s">
        <v>444</v>
      </c>
      <c r="C36" s="1488" t="s">
        <v>445</v>
      </c>
      <c r="D36" s="1488" t="s">
        <v>443</v>
      </c>
      <c r="E36" s="1488" t="s">
        <v>448</v>
      </c>
      <c r="F36" s="3473" t="s">
        <v>280</v>
      </c>
      <c r="G36" s="3078"/>
      <c r="H36" s="3078"/>
      <c r="I36" s="3078"/>
      <c r="J36" s="2957"/>
      <c r="K36" s="3488"/>
      <c r="L36" s="3486"/>
      <c r="M36" s="3486"/>
      <c r="N36" s="2957"/>
      <c r="O36" s="3487"/>
      <c r="P36" s="2957"/>
      <c r="Q36" s="2957"/>
      <c r="R36" s="2957"/>
      <c r="S36" s="2957"/>
      <c r="T36" s="2957"/>
      <c r="U36" s="2957"/>
      <c r="V36" s="2957"/>
    </row>
    <row r="37" spans="1:22">
      <c r="A37" s="3474" t="s">
        <v>496</v>
      </c>
      <c r="B37" s="3475"/>
      <c r="C37" s="3475"/>
      <c r="D37" s="3475"/>
      <c r="E37" s="3475"/>
      <c r="F37" s="3475"/>
      <c r="G37" s="3078"/>
      <c r="H37" s="3078"/>
      <c r="I37" s="3078"/>
      <c r="J37" s="2957"/>
      <c r="K37" s="3488"/>
      <c r="L37" s="3486"/>
      <c r="M37" s="3486"/>
      <c r="N37" s="2957"/>
      <c r="O37" s="3487"/>
      <c r="P37" s="2957"/>
      <c r="Q37" s="2957"/>
      <c r="R37" s="2957"/>
      <c r="S37" s="2957"/>
      <c r="T37" s="2957"/>
      <c r="U37" s="2957"/>
      <c r="V37" s="2957"/>
    </row>
    <row r="38" ht="13.95" spans="1:22">
      <c r="A38" s="3476" t="s">
        <v>497</v>
      </c>
      <c r="B38" s="3477"/>
      <c r="C38" s="3477"/>
      <c r="D38" s="3477"/>
      <c r="E38" s="3477"/>
      <c r="F38" s="3477"/>
      <c r="G38" s="3398"/>
      <c r="H38" s="3398"/>
      <c r="I38" s="3398"/>
      <c r="J38" s="2957"/>
      <c r="K38" s="3488"/>
      <c r="L38" s="3486"/>
      <c r="M38" s="3486"/>
      <c r="N38" s="2957"/>
      <c r="O38" s="3487"/>
      <c r="P38" s="2957"/>
      <c r="Q38" s="2957"/>
      <c r="R38" s="2957"/>
      <c r="S38" s="2957"/>
      <c r="T38" s="2957"/>
      <c r="U38" s="2957"/>
      <c r="V38" s="2957"/>
    </row>
    <row r="39" s="3361" customFormat="1" ht="14.7" spans="1:30">
      <c r="A39" s="3478" t="s">
        <v>498</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741"/>
      <c r="J40" s="2958"/>
      <c r="K40" s="3485"/>
      <c r="L40" s="3497"/>
      <c r="M40" s="3497"/>
      <c r="N40" s="2958"/>
      <c r="O40" s="3497"/>
      <c r="P40" s="2957"/>
      <c r="Q40" s="2957"/>
      <c r="R40" s="2957"/>
      <c r="S40" s="2957"/>
      <c r="T40" s="2957"/>
      <c r="U40" s="2957"/>
      <c r="V40" s="2957"/>
    </row>
    <row r="41" spans="1:22">
      <c r="A41" s="3480" t="s">
        <v>499</v>
      </c>
      <c r="B41" s="2607"/>
      <c r="C41" s="2473"/>
      <c r="D41" s="3410"/>
      <c r="E41" s="3410"/>
      <c r="F41" s="3410"/>
      <c r="G41" s="3410"/>
      <c r="H41" s="3410"/>
      <c r="I41" s="3273"/>
      <c r="J41" s="2957"/>
      <c r="K41" s="3488"/>
      <c r="L41" s="3486"/>
      <c r="M41" s="3486"/>
      <c r="N41" s="2957"/>
      <c r="O41" s="3487"/>
      <c r="P41" s="2957"/>
      <c r="Q41" s="2957"/>
      <c r="R41" s="2957"/>
      <c r="S41" s="2957"/>
      <c r="T41" s="2957"/>
      <c r="U41" s="2957"/>
      <c r="V41" s="2957"/>
    </row>
    <row r="42" ht="25.2" spans="1:22">
      <c r="A42" s="2173" t="s">
        <v>500</v>
      </c>
      <c r="B42" s="1430" t="s">
        <v>501</v>
      </c>
      <c r="C42" s="1430" t="s">
        <v>502</v>
      </c>
      <c r="D42" s="1430" t="s">
        <v>503</v>
      </c>
      <c r="E42" s="1430" t="s">
        <v>504</v>
      </c>
      <c r="F42" s="1430" t="s">
        <v>505</v>
      </c>
      <c r="G42" s="1430" t="s">
        <v>506</v>
      </c>
      <c r="H42" s="1430" t="s">
        <v>507</v>
      </c>
      <c r="I42" s="1430" t="s">
        <v>508</v>
      </c>
      <c r="J42" s="3509" t="s">
        <v>509</v>
      </c>
      <c r="K42" s="3510" t="s">
        <v>510</v>
      </c>
      <c r="L42" s="3510" t="s">
        <v>511</v>
      </c>
      <c r="M42" s="3510" t="s">
        <v>512</v>
      </c>
      <c r="N42" s="3511" t="s">
        <v>513</v>
      </c>
      <c r="O42" s="3511" t="s">
        <v>514</v>
      </c>
      <c r="P42" s="3511" t="s">
        <v>515</v>
      </c>
      <c r="Q42" s="3516" t="s">
        <v>516</v>
      </c>
      <c r="R42" s="3516" t="s">
        <v>517</v>
      </c>
      <c r="S42" s="2957"/>
      <c r="T42" s="2957"/>
      <c r="U42" s="2957"/>
      <c r="V42" s="2957"/>
    </row>
    <row r="43" s="3168" customFormat="1" spans="1:22">
      <c r="A43" s="3298"/>
      <c r="B43" s="3294"/>
      <c r="C43" s="3294"/>
      <c r="D43" s="3294"/>
      <c r="E43" s="3294"/>
      <c r="F43" s="3294"/>
      <c r="G43" s="3294"/>
      <c r="H43" s="3294"/>
      <c r="I43" s="3294"/>
      <c r="J43" s="3512"/>
      <c r="K43" s="3513"/>
      <c r="L43" s="3513"/>
      <c r="M43" s="3294"/>
      <c r="N43" s="3294"/>
      <c r="O43" s="3294"/>
      <c r="P43" s="3294"/>
      <c r="Q43" s="3294"/>
      <c r="R43" s="3294"/>
      <c r="S43" s="2957"/>
      <c r="T43" s="2957"/>
      <c r="U43" s="2957"/>
      <c r="V43" s="2957"/>
    </row>
    <row r="44" s="3168" customFormat="1" spans="1:22">
      <c r="A44" s="3298"/>
      <c r="B44" s="3298"/>
      <c r="C44" s="3294"/>
      <c r="D44" s="3294"/>
      <c r="E44" s="3294"/>
      <c r="F44" s="3294"/>
      <c r="G44" s="3294"/>
      <c r="H44" s="3294"/>
      <c r="I44" s="3294"/>
      <c r="J44" s="3512"/>
      <c r="K44" s="3513"/>
      <c r="L44" s="3513"/>
      <c r="M44" s="3294"/>
      <c r="N44" s="3294"/>
      <c r="O44" s="3294"/>
      <c r="P44" s="3294"/>
      <c r="Q44" s="3294"/>
      <c r="R44" s="3294"/>
      <c r="S44" s="2957"/>
      <c r="T44" s="2957"/>
      <c r="U44" s="2957"/>
      <c r="V44" s="2957"/>
    </row>
    <row r="45" s="3168" customFormat="1" spans="1:22">
      <c r="A45" s="3298"/>
      <c r="B45" s="3298"/>
      <c r="C45" s="3294"/>
      <c r="D45" s="3294"/>
      <c r="E45" s="3294"/>
      <c r="F45" s="3294"/>
      <c r="G45" s="3294"/>
      <c r="H45" s="3294"/>
      <c r="I45" s="3294"/>
      <c r="J45" s="3512"/>
      <c r="K45" s="3513"/>
      <c r="L45" s="3513"/>
      <c r="M45" s="3294"/>
      <c r="N45" s="3294"/>
      <c r="O45" s="3294"/>
      <c r="P45" s="3294"/>
      <c r="Q45" s="3294"/>
      <c r="R45" s="3294"/>
      <c r="S45" s="2957"/>
      <c r="T45" s="2957"/>
      <c r="U45" s="2957"/>
      <c r="V45" s="2957"/>
    </row>
    <row r="46" s="3168" customFormat="1" spans="1:22">
      <c r="A46" s="3298"/>
      <c r="B46" s="3298"/>
      <c r="C46" s="3294"/>
      <c r="D46" s="3294"/>
      <c r="E46" s="3294"/>
      <c r="F46" s="3294"/>
      <c r="G46" s="3294"/>
      <c r="H46" s="3294"/>
      <c r="I46" s="3294"/>
      <c r="J46" s="3512"/>
      <c r="K46" s="3513"/>
      <c r="L46" s="3513"/>
      <c r="M46" s="3294"/>
      <c r="N46" s="3294"/>
      <c r="O46" s="3294"/>
      <c r="P46" s="3294"/>
      <c r="Q46" s="3294"/>
      <c r="R46" s="3294"/>
      <c r="S46" s="2957"/>
      <c r="T46" s="2957"/>
      <c r="U46" s="2957"/>
      <c r="V46" s="2957"/>
    </row>
    <row r="47" s="3168" customFormat="1" spans="1:22">
      <c r="A47" s="3298"/>
      <c r="B47" s="3298"/>
      <c r="C47" s="3294"/>
      <c r="D47" s="3294"/>
      <c r="E47" s="3294"/>
      <c r="F47" s="3294"/>
      <c r="G47" s="3294"/>
      <c r="H47" s="3294"/>
      <c r="I47" s="3294"/>
      <c r="J47" s="3512"/>
      <c r="K47" s="3513"/>
      <c r="L47" s="3513"/>
      <c r="M47" s="3294"/>
      <c r="N47" s="3294"/>
      <c r="O47" s="3294"/>
      <c r="P47" s="3294"/>
      <c r="Q47" s="3294"/>
      <c r="R47" s="3294"/>
      <c r="S47" s="2957"/>
      <c r="T47" s="2957"/>
      <c r="U47" s="2957"/>
      <c r="V47" s="2957"/>
    </row>
    <row r="48" s="3168" customFormat="1" spans="1:22">
      <c r="A48" s="3298"/>
      <c r="B48" s="3298"/>
      <c r="C48" s="3294"/>
      <c r="D48" s="3294"/>
      <c r="E48" s="3294"/>
      <c r="F48" s="3294"/>
      <c r="G48" s="3294"/>
      <c r="H48" s="3294"/>
      <c r="I48" s="3294"/>
      <c r="J48" s="3512"/>
      <c r="K48" s="3513"/>
      <c r="L48" s="3513"/>
      <c r="M48" s="3294"/>
      <c r="N48" s="3294"/>
      <c r="O48" s="3294"/>
      <c r="P48" s="3294"/>
      <c r="Q48" s="3294"/>
      <c r="R48" s="3294"/>
      <c r="S48" s="2957"/>
      <c r="T48" s="2957"/>
      <c r="U48" s="2957"/>
      <c r="V48" s="2957"/>
    </row>
    <row r="49" s="3168" customFormat="1" spans="1:22">
      <c r="A49" s="3298"/>
      <c r="B49" s="3298"/>
      <c r="C49" s="3294"/>
      <c r="D49" s="3294"/>
      <c r="E49" s="3294"/>
      <c r="F49" s="3294"/>
      <c r="G49" s="3294"/>
      <c r="H49" s="3294"/>
      <c r="I49" s="3294"/>
      <c r="J49" s="3512"/>
      <c r="K49" s="3513"/>
      <c r="L49" s="3513"/>
      <c r="M49" s="3294"/>
      <c r="N49" s="3294"/>
      <c r="O49" s="3294"/>
      <c r="P49" s="3294"/>
      <c r="Q49" s="3294"/>
      <c r="R49" s="3294"/>
      <c r="S49" s="2957"/>
      <c r="T49" s="2957"/>
      <c r="U49" s="2957"/>
      <c r="V49" s="2957"/>
    </row>
    <row r="50" s="3168" customFormat="1" spans="1:22">
      <c r="A50" s="3298"/>
      <c r="B50" s="3298"/>
      <c r="C50" s="3294"/>
      <c r="D50" s="3294"/>
      <c r="E50" s="3294"/>
      <c r="F50" s="3294"/>
      <c r="G50" s="3294"/>
      <c r="H50" s="3294"/>
      <c r="I50" s="3294"/>
      <c r="J50" s="3512"/>
      <c r="K50" s="3513"/>
      <c r="L50" s="3513"/>
      <c r="M50" s="3294"/>
      <c r="N50" s="3294"/>
      <c r="O50" s="3294"/>
      <c r="P50" s="3294"/>
      <c r="Q50" s="3294"/>
      <c r="R50" s="3294"/>
      <c r="S50" s="2957"/>
      <c r="T50" s="2957"/>
      <c r="U50" s="2957"/>
      <c r="V50" s="2957"/>
    </row>
    <row r="51" s="3168" customFormat="1" spans="1:18">
      <c r="A51" s="3298"/>
      <c r="B51" s="3298"/>
      <c r="C51" s="3294"/>
      <c r="D51" s="3294"/>
      <c r="E51" s="3294"/>
      <c r="F51" s="3294"/>
      <c r="G51" s="3294"/>
      <c r="H51" s="3294"/>
      <c r="I51" s="3294"/>
      <c r="J51" s="3512"/>
      <c r="K51" s="3513"/>
      <c r="L51" s="3513"/>
      <c r="M51" s="3294"/>
      <c r="N51" s="3294"/>
      <c r="O51" s="3294"/>
      <c r="P51" s="3294"/>
      <c r="Q51" s="3294"/>
      <c r="R51" s="3294"/>
    </row>
    <row r="52" s="3168" customFormat="1" spans="1:18">
      <c r="A52" s="3298"/>
      <c r="B52" s="3298"/>
      <c r="C52" s="3298"/>
      <c r="D52" s="3298"/>
      <c r="E52" s="3298"/>
      <c r="F52" s="3294"/>
      <c r="G52" s="3298"/>
      <c r="H52" s="3298"/>
      <c r="I52" s="3298"/>
      <c r="J52" s="3514"/>
      <c r="K52" s="3513"/>
      <c r="L52" s="3513"/>
      <c r="M52" s="3513"/>
      <c r="N52" s="3298"/>
      <c r="O52" s="3298"/>
      <c r="P52" s="3298"/>
      <c r="Q52" s="3298"/>
      <c r="R52" s="3298"/>
    </row>
    <row r="53" s="3168" customFormat="1" spans="1:18">
      <c r="A53" s="3298"/>
      <c r="B53" s="3298"/>
      <c r="C53" s="3298"/>
      <c r="D53" s="3298"/>
      <c r="E53" s="3298"/>
      <c r="F53" s="3294"/>
      <c r="G53" s="3298"/>
      <c r="H53" s="3298"/>
      <c r="I53" s="3298"/>
      <c r="J53" s="3514"/>
      <c r="K53" s="3513"/>
      <c r="L53" s="3513"/>
      <c r="M53" s="3513"/>
      <c r="N53" s="3298"/>
      <c r="O53" s="3298"/>
      <c r="P53" s="3298"/>
      <c r="Q53" s="3298"/>
      <c r="R53" s="3298"/>
    </row>
    <row r="54" s="3168" customFormat="1" spans="1:18">
      <c r="A54" s="3298"/>
      <c r="B54" s="3298"/>
      <c r="C54" s="3298"/>
      <c r="D54" s="3298"/>
      <c r="E54" s="3298"/>
      <c r="F54" s="3294"/>
      <c r="G54" s="3298"/>
      <c r="H54" s="3298"/>
      <c r="I54" s="3298"/>
      <c r="J54" s="3514"/>
      <c r="K54" s="3513"/>
      <c r="L54" s="3513"/>
      <c r="M54" s="3513"/>
      <c r="N54" s="3298"/>
      <c r="O54" s="3298"/>
      <c r="P54" s="3298"/>
      <c r="Q54" s="3298"/>
      <c r="R54" s="3298"/>
    </row>
    <row r="55" s="3168" customFormat="1" spans="1:18">
      <c r="A55" s="3298"/>
      <c r="B55" s="3298"/>
      <c r="C55" s="3298"/>
      <c r="D55" s="3298"/>
      <c r="E55" s="3298"/>
      <c r="F55" s="3294"/>
      <c r="G55" s="3298"/>
      <c r="H55" s="3298"/>
      <c r="I55" s="3298"/>
      <c r="J55" s="3514"/>
      <c r="K55" s="3513"/>
      <c r="L55" s="3513"/>
      <c r="M55" s="3513"/>
      <c r="N55" s="3298"/>
      <c r="O55" s="3298"/>
      <c r="P55" s="3298"/>
      <c r="Q55" s="3298"/>
      <c r="R55" s="3298"/>
    </row>
    <row r="56" s="3168"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8888888888889" defaultRowHeight="13.8"/>
  <cols>
    <col min="1" max="1" width="10.6666666666667" style="3270" customWidth="1"/>
    <col min="2" max="2" width="11" style="3270" customWidth="1"/>
    <col min="3" max="3" width="10.3333333333333" style="3270" customWidth="1"/>
    <col min="4" max="4" width="9.11111111111111" style="3270" customWidth="1"/>
    <col min="5" max="6" width="10" style="3268" customWidth="1"/>
    <col min="7" max="8" width="10" style="3270" customWidth="1"/>
    <col min="9" max="9" width="10.6666666666667" style="3270" customWidth="1"/>
    <col min="10" max="10" width="9.44444444444444" style="3270" customWidth="1"/>
    <col min="11" max="11" width="11" style="3270" customWidth="1"/>
    <col min="12" max="14" width="9.44444444444444" style="3270" customWidth="1"/>
    <col min="15" max="15" width="9.88888888888889" style="3270" customWidth="1"/>
    <col min="16" max="16" width="9.77777777777778" style="3270" customWidth="1"/>
    <col min="17" max="17" width="9.33333333333333" style="3270" customWidth="1"/>
    <col min="18" max="18" width="9.22222222222222" style="3270" customWidth="1"/>
    <col min="19" max="19" width="10.8888888888889" style="3270" customWidth="1"/>
    <col min="20" max="21" width="10.7777777777778" style="3270" customWidth="1"/>
    <col min="22" max="22" width="10.8888888888889" style="3270" customWidth="1"/>
    <col min="23" max="27" width="10.7777777777778" style="3270" customWidth="1"/>
    <col min="28" max="28" width="10.8888888888889" style="3270" customWidth="1"/>
    <col min="29" max="29" width="11" style="3270" customWidth="1"/>
    <col min="30" max="30" width="10" style="3270" customWidth="1"/>
    <col min="31" max="31" width="9.77777777777778" style="3270" customWidth="1"/>
    <col min="32" max="46" width="9.44444444444444" style="3270" customWidth="1"/>
    <col min="47" max="47" width="18.1111111111111" style="3270" customWidth="1"/>
    <col min="48" max="50" width="9.77777777777778" style="3270" customWidth="1"/>
    <col min="51" max="55" width="10.4444444444444" style="3270" customWidth="1"/>
    <col min="56" max="56" width="9.44444444444444" style="3270" customWidth="1"/>
    <col min="57" max="63" width="9.11111111111111" style="3270" customWidth="1"/>
    <col min="64" max="64" width="9.44444444444444" style="3270" customWidth="1"/>
    <col min="65" max="65" width="9.11111111111111" style="3270" customWidth="1"/>
    <col min="66" max="66" width="9.44444444444444" style="3270" customWidth="1"/>
    <col min="67" max="69" width="9.11111111111111" style="3270" customWidth="1"/>
    <col min="70" max="70" width="9.44444444444444" style="3270" customWidth="1"/>
    <col min="71" max="71" width="9" style="3270" customWidth="1"/>
    <col min="72" max="72" width="9.11111111111111" style="3270" customWidth="1"/>
    <col min="73" max="16384" width="8.88888888888889" style="3270"/>
  </cols>
  <sheetData>
    <row r="1" ht="20.4" spans="1:72">
      <c r="A1" s="3271" t="s">
        <v>518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519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1430" t="s">
        <v>460</v>
      </c>
      <c r="B2" s="1430" t="s">
        <v>456</v>
      </c>
      <c r="C2" s="1430" t="s">
        <v>520</v>
      </c>
      <c r="D2" s="3273"/>
      <c r="E2" s="2690"/>
      <c r="F2" s="2741"/>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521</v>
      </c>
      <c r="AZ2" s="3335" t="s">
        <v>522</v>
      </c>
      <c r="BA2" s="1430" t="s">
        <v>523</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2" spans="1:72">
      <c r="A3" s="3274"/>
      <c r="B3" s="3275">
        <f>IF(C3="否",G5-AT5,G5)</f>
        <v>444.98</v>
      </c>
      <c r="C3" s="3276" t="s">
        <v>524</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9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2" spans="1:72">
      <c r="A5" s="2286" t="s">
        <v>525</v>
      </c>
      <c r="B5" s="2603"/>
      <c r="C5" s="2603"/>
      <c r="D5" s="2747"/>
      <c r="E5" s="3280" t="s">
        <v>124</v>
      </c>
      <c r="F5" s="3280">
        <f>SUM(F13:F587)</f>
        <v>0</v>
      </c>
      <c r="G5" s="3280">
        <f>SUM(G13:G587)</f>
        <v>444.98</v>
      </c>
      <c r="H5" s="3280">
        <f t="shared" ref="H5:AT5" si="0">SUM(H13:H656)</f>
        <v>444.98</v>
      </c>
      <c r="I5" s="3280">
        <f t="shared" si="0"/>
        <v>444.98</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602"/>
      <c r="AV5" s="2286" t="s">
        <v>525</v>
      </c>
      <c r="AW5" s="2603"/>
      <c r="AX5" s="2603"/>
      <c r="AY5" s="3339" t="s">
        <v>124</v>
      </c>
      <c r="AZ5" s="3340">
        <f t="shared" ref="AZ5:BT5" si="1">SUM(AZ13:AZ656)</f>
        <v>444.98</v>
      </c>
      <c r="BA5" s="3340">
        <f t="shared" si="1"/>
        <v>444.98</v>
      </c>
      <c r="BB5" s="3340">
        <f t="shared" si="1"/>
        <v>444.98</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2" spans="1:72">
      <c r="A6" s="2286" t="s">
        <v>526</v>
      </c>
      <c r="B6" s="3281"/>
      <c r="C6" s="3281"/>
      <c r="D6" s="3282"/>
      <c r="E6" s="3280">
        <f>H6+AC6+AT6</f>
        <v>0</v>
      </c>
      <c r="F6" s="3280" t="s">
        <v>124</v>
      </c>
      <c r="G6" s="3280" t="s">
        <v>124</v>
      </c>
      <c r="H6" s="3283">
        <f>SUMIF(I$12:AB$12,"总值",I6:AB6)</f>
        <v>0</v>
      </c>
      <c r="I6" s="3280">
        <f t="shared" ref="I6:AB6" si="2">ROUND($A$3*I5/$B$3,2)</f>
        <v>0</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286" t="s">
        <v>526</v>
      </c>
      <c r="AW6" s="3281"/>
      <c r="AX6" s="3281"/>
      <c r="AY6" s="3341">
        <f>IF(AY3&gt;0,AY3,ROUND($A$3*AZ5/$B$3,2))</f>
        <v>0</v>
      </c>
      <c r="AZ6" s="3280" t="s">
        <v>124</v>
      </c>
      <c r="BA6" s="3280">
        <f>ROUND($AY$6*BA5/$AZ$5,2)</f>
        <v>0</v>
      </c>
      <c r="BB6" s="3280">
        <f>ROUND($AY$6*BB5/$AZ$5,2)</f>
        <v>0</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5.2" spans="1:72">
      <c r="A7" s="3284" t="s">
        <v>527</v>
      </c>
      <c r="B7" s="3284" t="s">
        <v>528</v>
      </c>
      <c r="C7" s="3284" t="s">
        <v>501</v>
      </c>
      <c r="D7" s="3284" t="s">
        <v>529</v>
      </c>
      <c r="E7" s="3284" t="s">
        <v>526</v>
      </c>
      <c r="F7" s="3284" t="s">
        <v>530</v>
      </c>
      <c r="G7" s="2715" t="s">
        <v>531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747"/>
      <c r="AU7" s="3285" t="s">
        <v>532</v>
      </c>
      <c r="AV7" s="3326" t="s">
        <v>527</v>
      </c>
      <c r="AW7" s="2741" t="s">
        <v>528</v>
      </c>
      <c r="AX7" s="3326" t="s">
        <v>501</v>
      </c>
      <c r="AY7" s="2603" t="s">
        <v>533</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76" customFormat="1" ht="24" spans="1:72">
      <c r="A8" s="3286"/>
      <c r="B8" s="3286"/>
      <c r="C8" s="3286"/>
      <c r="D8" s="3286"/>
      <c r="E8" s="3286"/>
      <c r="F8" s="3286"/>
      <c r="G8" s="3287" t="s">
        <v>534</v>
      </c>
      <c r="H8" s="3288" t="s">
        <v>535</v>
      </c>
      <c r="I8" s="3306"/>
      <c r="J8" s="1429"/>
      <c r="K8" s="1429"/>
      <c r="L8" s="1429"/>
      <c r="M8" s="1429"/>
      <c r="N8" s="1429"/>
      <c r="O8" s="1429"/>
      <c r="P8" s="1429"/>
      <c r="Q8" s="1429"/>
      <c r="R8" s="1429"/>
      <c r="S8" s="1429"/>
      <c r="T8" s="1429"/>
      <c r="U8" s="1429"/>
      <c r="V8" s="3313"/>
      <c r="W8" s="1429"/>
      <c r="X8" s="1429"/>
      <c r="Y8" s="1429"/>
      <c r="Z8" s="1429"/>
      <c r="AA8" s="3313"/>
      <c r="AB8" s="3315"/>
      <c r="AC8" s="2402" t="s">
        <v>536</v>
      </c>
      <c r="AD8" s="3316"/>
      <c r="AE8" s="3317"/>
      <c r="AF8" s="1429"/>
      <c r="AG8" s="1429"/>
      <c r="AH8" s="1429"/>
      <c r="AI8" s="1429"/>
      <c r="AJ8" s="1429"/>
      <c r="AK8" s="1429"/>
      <c r="AL8" s="1429"/>
      <c r="AM8" s="1429"/>
      <c r="AN8" s="1429"/>
      <c r="AO8" s="1429"/>
      <c r="AP8" s="1429"/>
      <c r="AQ8" s="1429"/>
      <c r="AR8" s="1429"/>
      <c r="AS8" s="1429"/>
      <c r="AT8" s="2122" t="s">
        <v>537</v>
      </c>
      <c r="AU8" s="3286" t="s">
        <v>538</v>
      </c>
      <c r="AV8" s="2122"/>
      <c r="AW8" s="2690"/>
      <c r="AX8" s="2122"/>
      <c r="AY8" s="2741"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6" customFormat="1" ht="13.2" spans="1:72">
      <c r="A9" s="3286"/>
      <c r="B9" s="3286"/>
      <c r="C9" s="3286"/>
      <c r="D9" s="3286"/>
      <c r="E9" s="3286"/>
      <c r="F9" s="3286"/>
      <c r="G9" s="2122"/>
      <c r="H9" s="3289" t="s">
        <v>539</v>
      </c>
      <c r="I9" s="3307" t="s">
        <v>540</v>
      </c>
      <c r="J9" s="2402"/>
      <c r="K9" s="3307"/>
      <c r="L9" s="2402"/>
      <c r="M9" s="3307"/>
      <c r="N9" s="2402"/>
      <c r="O9" s="3307"/>
      <c r="P9" s="2402"/>
      <c r="Q9" s="3307"/>
      <c r="R9" s="2402"/>
      <c r="S9" s="3307"/>
      <c r="T9" s="2402"/>
      <c r="U9" s="3307"/>
      <c r="V9" s="2402"/>
      <c r="W9" s="3307"/>
      <c r="X9" s="3314"/>
      <c r="Y9" s="3307"/>
      <c r="Z9" s="2402"/>
      <c r="AA9" s="3307"/>
      <c r="AB9" s="2402"/>
      <c r="AC9" s="3287"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7"/>
      <c r="AT9" s="3286"/>
      <c r="AU9" s="3286" t="s">
        <v>543</v>
      </c>
      <c r="AV9" s="2122"/>
      <c r="AW9" s="2690"/>
      <c r="AX9" s="2122"/>
      <c r="AY9" s="3290"/>
      <c r="AZ9" s="3290" t="s">
        <v>534</v>
      </c>
      <c r="BA9" s="3342" t="s">
        <v>544</v>
      </c>
      <c r="BB9" s="3343"/>
      <c r="BC9" s="2183"/>
      <c r="BD9" s="2183"/>
      <c r="BE9" s="2183"/>
      <c r="BF9" s="2183"/>
      <c r="BG9" s="2183"/>
      <c r="BH9" s="2183"/>
      <c r="BI9" s="2183"/>
      <c r="BJ9" s="2183"/>
      <c r="BK9" s="3348"/>
      <c r="BL9" s="2286" t="s">
        <v>545</v>
      </c>
      <c r="BM9" s="1429"/>
      <c r="BN9" s="3306"/>
      <c r="BO9" s="1429"/>
      <c r="BP9" s="1429"/>
      <c r="BQ9" s="1429"/>
      <c r="BR9" s="1429"/>
      <c r="BS9" s="1429"/>
      <c r="BT9" s="2171"/>
    </row>
    <row r="10" s="2976" customFormat="1" ht="13.2" spans="1:72">
      <c r="A10" s="3286"/>
      <c r="B10" s="3286"/>
      <c r="C10" s="3286"/>
      <c r="D10" s="3286"/>
      <c r="E10" s="3286"/>
      <c r="F10" s="3286"/>
      <c r="G10" s="2122"/>
      <c r="H10" s="3290"/>
      <c r="I10" s="3307" t="s">
        <v>546</v>
      </c>
      <c r="J10" s="2402"/>
      <c r="K10" s="3308"/>
      <c r="L10" s="2402"/>
      <c r="M10" s="3308"/>
      <c r="N10" s="2402"/>
      <c r="O10" s="3308"/>
      <c r="P10" s="2402"/>
      <c r="Q10" s="3308"/>
      <c r="R10" s="2402"/>
      <c r="S10" s="3308"/>
      <c r="T10" s="2402"/>
      <c r="U10" s="3308"/>
      <c r="V10" s="2402"/>
      <c r="W10" s="3308"/>
      <c r="X10" s="2402"/>
      <c r="Y10" s="3308"/>
      <c r="Z10" s="2402"/>
      <c r="AA10" s="3308"/>
      <c r="AB10" s="2402"/>
      <c r="AC10" s="2122"/>
      <c r="AD10" s="2286" t="s">
        <v>547</v>
      </c>
      <c r="AE10" s="3318"/>
      <c r="AF10" s="2286" t="s">
        <v>547</v>
      </c>
      <c r="AG10" s="3318"/>
      <c r="AH10" s="2286" t="s">
        <v>548</v>
      </c>
      <c r="AI10" s="3318"/>
      <c r="AJ10" s="2286" t="s">
        <v>548</v>
      </c>
      <c r="AK10" s="3318"/>
      <c r="AL10" s="2286" t="s">
        <v>549</v>
      </c>
      <c r="AM10" s="2136"/>
      <c r="AN10" s="2286" t="s">
        <v>549</v>
      </c>
      <c r="AO10" s="2136"/>
      <c r="AP10" s="2286" t="s">
        <v>550</v>
      </c>
      <c r="AQ10" s="2136"/>
      <c r="AR10" s="2286" t="s">
        <v>550</v>
      </c>
      <c r="AS10" s="2136"/>
      <c r="AT10" s="3286"/>
      <c r="AU10" s="3286"/>
      <c r="AV10" s="2122"/>
      <c r="AW10" s="2690"/>
      <c r="AX10" s="2122"/>
      <c r="AY10" s="3290"/>
      <c r="AZ10" s="3290"/>
      <c r="BA10" s="3291" t="s">
        <v>539</v>
      </c>
      <c r="BB10" s="3344"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52" t="str">
        <f>AR9</f>
        <v>地下</v>
      </c>
    </row>
    <row r="11" s="2976" customFormat="1" ht="13.2" spans="1:72">
      <c r="A11" s="3286"/>
      <c r="B11" s="3286"/>
      <c r="C11" s="3286"/>
      <c r="D11" s="3286"/>
      <c r="E11" s="3286"/>
      <c r="F11" s="3286"/>
      <c r="G11" s="2122"/>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22"/>
      <c r="AD11" s="3319" t="s">
        <v>551</v>
      </c>
      <c r="AE11" s="1486"/>
      <c r="AF11" s="3319" t="s">
        <v>551</v>
      </c>
      <c r="AG11" s="1486"/>
      <c r="AH11" s="3319" t="s">
        <v>552</v>
      </c>
      <c r="AI11" s="3323"/>
      <c r="AJ11" s="3319" t="s">
        <v>552</v>
      </c>
      <c r="AK11" s="1486"/>
      <c r="AL11" s="1428"/>
      <c r="AM11" s="1486"/>
      <c r="AN11" s="1428"/>
      <c r="AO11" s="1486"/>
      <c r="AP11" s="1428"/>
      <c r="AQ11" s="1486"/>
      <c r="AR11" s="1428"/>
      <c r="AS11" s="1486"/>
      <c r="AT11" s="2690"/>
      <c r="AU11" s="3286"/>
      <c r="AV11" s="2122"/>
      <c r="AW11" s="2690"/>
      <c r="AX11" s="2122"/>
      <c r="AY11" s="3290"/>
      <c r="AZ11" s="3290"/>
      <c r="BA11" s="329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3" t="str">
        <f>AR10</f>
        <v>未注明</v>
      </c>
    </row>
    <row r="12" s="3265" customFormat="1" ht="13.2" spans="1:72">
      <c r="A12" s="3292"/>
      <c r="B12" s="3292"/>
      <c r="C12" s="3292"/>
      <c r="D12" s="3292"/>
      <c r="E12" s="3292"/>
      <c r="F12" s="3292"/>
      <c r="G12" s="1018"/>
      <c r="H12" s="3293"/>
      <c r="I12" s="2747"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602" t="s">
        <v>554</v>
      </c>
      <c r="W12" s="1430" t="s">
        <v>553</v>
      </c>
      <c r="X12" s="1430" t="s">
        <v>554</v>
      </c>
      <c r="Y12" s="1430" t="s">
        <v>553</v>
      </c>
      <c r="Z12" s="1430" t="s">
        <v>554</v>
      </c>
      <c r="AA12" s="1430" t="s">
        <v>553</v>
      </c>
      <c r="AB12" s="1430" t="s">
        <v>554</v>
      </c>
      <c r="AC12" s="3320"/>
      <c r="AD12" s="2747"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92" t="s">
        <v>554</v>
      </c>
      <c r="AT12" s="3328"/>
      <c r="AU12" s="3292"/>
      <c r="AV12" s="3329"/>
      <c r="AW12" s="2741"/>
      <c r="AX12" s="3329"/>
      <c r="AY12" s="3345"/>
      <c r="AZ12" s="3290"/>
      <c r="BA12" s="3291"/>
      <c r="BB12" s="1427">
        <f>I11</f>
        <v>0</v>
      </c>
      <c r="BC12" s="3346">
        <f>K11</f>
        <v>0</v>
      </c>
      <c r="BD12" s="3346">
        <f>M11</f>
        <v>0</v>
      </c>
      <c r="BE12" s="3315">
        <f>O11</f>
        <v>0</v>
      </c>
      <c r="BF12" s="3315">
        <f>Q11</f>
        <v>0</v>
      </c>
      <c r="BG12" s="3315">
        <f>S11</f>
        <v>0</v>
      </c>
      <c r="BH12" s="3315">
        <f>U11</f>
        <v>0</v>
      </c>
      <c r="BI12" s="3315">
        <f>W11</f>
        <v>0</v>
      </c>
      <c r="BJ12" s="3315">
        <f>Y11</f>
        <v>0</v>
      </c>
      <c r="BK12" s="3315">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3">
        <f>AR11</f>
        <v>0</v>
      </c>
    </row>
    <row r="13" s="3265" customFormat="1" ht="13.2" spans="1:72">
      <c r="A13" s="3294"/>
      <c r="B13" s="3294"/>
      <c r="C13" s="3294"/>
      <c r="D13" s="3295" t="s">
        <v>555</v>
      </c>
      <c r="E13" s="3280">
        <f>IF($C$3="是",ROUND($A$3*G13/$B$3,2),ROUND($A$3*(G13-AT13)/$B$3,2))</f>
        <v>0</v>
      </c>
      <c r="F13" s="3296"/>
      <c r="G13" s="3297">
        <f>H13+AC13+AT13</f>
        <v>444.98</v>
      </c>
      <c r="H13" s="3283">
        <f>SUMIF(I$12:AB$12,"总值",I13:AB13)</f>
        <v>444.98</v>
      </c>
      <c r="I13" s="3311">
        <v>444.98</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430">
        <f t="shared" ref="AV13:AX17" si="6">A13</f>
        <v>0</v>
      </c>
      <c r="AW13" s="1430">
        <f t="shared" si="6"/>
        <v>0</v>
      </c>
      <c r="AX13" s="1430">
        <f t="shared" si="6"/>
        <v>0</v>
      </c>
      <c r="AY13" s="2747">
        <f>ROUND($AY$6*AZ13/$AZ$5,2)</f>
        <v>0</v>
      </c>
      <c r="AZ13" s="3280">
        <f>BA13+BL13</f>
        <v>444.98</v>
      </c>
      <c r="BA13" s="3280">
        <f>SUM(BB13:BK13)</f>
        <v>444.98</v>
      </c>
      <c r="BB13" s="3280">
        <f>IF($D13="是",I13-J13,0)</f>
        <v>444.98</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2"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30">
        <f t="shared" si="6"/>
        <v>0</v>
      </c>
      <c r="AW14" s="1430">
        <f t="shared" si="6"/>
        <v>0</v>
      </c>
      <c r="AX14" s="1430">
        <f t="shared" si="6"/>
        <v>0</v>
      </c>
      <c r="AY14" s="2747">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2"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30">
        <f t="shared" si="6"/>
        <v>0</v>
      </c>
      <c r="AW15" s="1430">
        <f t="shared" si="6"/>
        <v>0</v>
      </c>
      <c r="AX15" s="1430">
        <f t="shared" si="6"/>
        <v>0</v>
      </c>
      <c r="AY15" s="2747">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2"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30">
        <f t="shared" si="6"/>
        <v>0</v>
      </c>
      <c r="AW16" s="1430">
        <f t="shared" si="6"/>
        <v>0</v>
      </c>
      <c r="AX16" s="1430">
        <f t="shared" si="6"/>
        <v>0</v>
      </c>
      <c r="AY16" s="2747">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2"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30">
        <f t="shared" si="6"/>
        <v>0</v>
      </c>
      <c r="AW17" s="1430">
        <f t="shared" si="6"/>
        <v>0</v>
      </c>
      <c r="AX17" s="1430">
        <f t="shared" si="6"/>
        <v>0</v>
      </c>
      <c r="AY17" s="2747">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282">
        <f t="shared" ref="AV18:AV112" si="11">A18</f>
        <v>0</v>
      </c>
      <c r="AW18" s="282">
        <f t="shared" ref="AW18:AW112" si="12">B18</f>
        <v>0</v>
      </c>
      <c r="AX18" s="28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282">
        <f t="shared" si="11"/>
        <v>0</v>
      </c>
      <c r="AW19" s="282">
        <f t="shared" si="12"/>
        <v>0</v>
      </c>
      <c r="AX19" s="28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282">
        <f t="shared" si="11"/>
        <v>0</v>
      </c>
      <c r="AW20" s="282">
        <f t="shared" si="12"/>
        <v>0</v>
      </c>
      <c r="AX20" s="28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282">
        <f t="shared" si="11"/>
        <v>0</v>
      </c>
      <c r="AW21" s="282">
        <f t="shared" si="12"/>
        <v>0</v>
      </c>
      <c r="AX21" s="28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282">
        <f t="shared" si="11"/>
        <v>0</v>
      </c>
      <c r="AW22" s="282">
        <f t="shared" si="12"/>
        <v>0</v>
      </c>
      <c r="AX22" s="28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282">
        <f t="shared" si="11"/>
        <v>0</v>
      </c>
      <c r="AW23" s="282">
        <f t="shared" si="12"/>
        <v>0</v>
      </c>
      <c r="AX23" s="28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282">
        <f t="shared" si="11"/>
        <v>0</v>
      </c>
      <c r="AW24" s="282">
        <f t="shared" si="12"/>
        <v>0</v>
      </c>
      <c r="AX24" s="28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282">
        <f t="shared" si="11"/>
        <v>0</v>
      </c>
      <c r="AW25" s="282">
        <f t="shared" si="12"/>
        <v>0</v>
      </c>
      <c r="AX25" s="28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282">
        <f t="shared" si="11"/>
        <v>0</v>
      </c>
      <c r="AW26" s="282">
        <f t="shared" si="12"/>
        <v>0</v>
      </c>
      <c r="AX26" s="28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282">
        <f t="shared" si="11"/>
        <v>0</v>
      </c>
      <c r="AW27" s="282">
        <f t="shared" si="12"/>
        <v>0</v>
      </c>
      <c r="AX27" s="28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282">
        <f t="shared" si="11"/>
        <v>0</v>
      </c>
      <c r="AW28" s="282">
        <f t="shared" si="12"/>
        <v>0</v>
      </c>
      <c r="AX28" s="28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282">
        <f t="shared" si="11"/>
        <v>0</v>
      </c>
      <c r="AW29" s="282">
        <f t="shared" si="12"/>
        <v>0</v>
      </c>
      <c r="AX29" s="28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282">
        <f t="shared" si="11"/>
        <v>0</v>
      </c>
      <c r="AW30" s="282">
        <f t="shared" si="12"/>
        <v>0</v>
      </c>
      <c r="AX30" s="28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282">
        <f t="shared" si="11"/>
        <v>0</v>
      </c>
      <c r="AW31" s="282">
        <f t="shared" si="12"/>
        <v>0</v>
      </c>
      <c r="AX31" s="28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282">
        <f t="shared" si="11"/>
        <v>0</v>
      </c>
      <c r="AW32" s="282">
        <f t="shared" si="12"/>
        <v>0</v>
      </c>
      <c r="AX32" s="28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282">
        <f t="shared" si="11"/>
        <v>0</v>
      </c>
      <c r="AW33" s="282">
        <f t="shared" si="12"/>
        <v>0</v>
      </c>
      <c r="AX33" s="28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282">
        <f t="shared" si="11"/>
        <v>0</v>
      </c>
      <c r="AW34" s="282">
        <f t="shared" si="12"/>
        <v>0</v>
      </c>
      <c r="AX34" s="28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282">
        <f t="shared" si="11"/>
        <v>0</v>
      </c>
      <c r="AW35" s="282">
        <f t="shared" si="12"/>
        <v>0</v>
      </c>
      <c r="AX35" s="28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282">
        <f t="shared" si="11"/>
        <v>0</v>
      </c>
      <c r="AW36" s="282">
        <f t="shared" si="12"/>
        <v>0</v>
      </c>
      <c r="AX36" s="28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282">
        <f t="shared" si="11"/>
        <v>0</v>
      </c>
      <c r="AW37" s="282">
        <f t="shared" si="12"/>
        <v>0</v>
      </c>
      <c r="AX37" s="28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282">
        <f t="shared" si="11"/>
        <v>0</v>
      </c>
      <c r="AW38" s="282">
        <f t="shared" si="12"/>
        <v>0</v>
      </c>
      <c r="AX38" s="28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282">
        <f t="shared" si="11"/>
        <v>0</v>
      </c>
      <c r="AW39" s="282">
        <f t="shared" si="12"/>
        <v>0</v>
      </c>
      <c r="AX39" s="28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282">
        <f t="shared" si="11"/>
        <v>0</v>
      </c>
      <c r="AW40" s="282">
        <f t="shared" si="12"/>
        <v>0</v>
      </c>
      <c r="AX40" s="28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282">
        <f t="shared" si="11"/>
        <v>0</v>
      </c>
      <c r="AW41" s="282">
        <f t="shared" si="12"/>
        <v>0</v>
      </c>
      <c r="AX41" s="28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282">
        <f t="shared" si="11"/>
        <v>0</v>
      </c>
      <c r="AW42" s="282">
        <f t="shared" si="12"/>
        <v>0</v>
      </c>
      <c r="AX42" s="28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282">
        <f t="shared" si="11"/>
        <v>0</v>
      </c>
      <c r="AW43" s="282">
        <f t="shared" si="12"/>
        <v>0</v>
      </c>
      <c r="AX43" s="28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282">
        <f t="shared" si="11"/>
        <v>0</v>
      </c>
      <c r="AW44" s="282">
        <f t="shared" si="12"/>
        <v>0</v>
      </c>
      <c r="AX44" s="28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282">
        <f t="shared" si="11"/>
        <v>0</v>
      </c>
      <c r="AW45" s="282">
        <f t="shared" si="12"/>
        <v>0</v>
      </c>
      <c r="AX45" s="28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282">
        <f t="shared" si="11"/>
        <v>0</v>
      </c>
      <c r="AW46" s="282">
        <f t="shared" si="12"/>
        <v>0</v>
      </c>
      <c r="AX46" s="28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282">
        <f t="shared" si="11"/>
        <v>0</v>
      </c>
      <c r="AW47" s="282">
        <f t="shared" si="12"/>
        <v>0</v>
      </c>
      <c r="AX47" s="28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282">
        <f t="shared" si="11"/>
        <v>0</v>
      </c>
      <c r="AW48" s="282">
        <f t="shared" si="12"/>
        <v>0</v>
      </c>
      <c r="AX48" s="28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282">
        <f t="shared" si="11"/>
        <v>0</v>
      </c>
      <c r="AW49" s="282">
        <f t="shared" si="12"/>
        <v>0</v>
      </c>
      <c r="AX49" s="28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282">
        <f t="shared" si="11"/>
        <v>0</v>
      </c>
      <c r="AW50" s="282">
        <f t="shared" si="12"/>
        <v>0</v>
      </c>
      <c r="AX50" s="28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282">
        <f t="shared" si="11"/>
        <v>0</v>
      </c>
      <c r="AW51" s="282">
        <f t="shared" si="12"/>
        <v>0</v>
      </c>
      <c r="AX51" s="28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282">
        <f t="shared" si="11"/>
        <v>0</v>
      </c>
      <c r="AW52" s="282">
        <f t="shared" si="12"/>
        <v>0</v>
      </c>
      <c r="AX52" s="28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282">
        <f t="shared" si="11"/>
        <v>0</v>
      </c>
      <c r="AW53" s="282">
        <f t="shared" si="12"/>
        <v>0</v>
      </c>
      <c r="AX53" s="28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282">
        <f t="shared" si="11"/>
        <v>0</v>
      </c>
      <c r="AW54" s="282">
        <f t="shared" si="12"/>
        <v>0</v>
      </c>
      <c r="AX54" s="28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282">
        <f t="shared" si="11"/>
        <v>0</v>
      </c>
      <c r="AW55" s="282">
        <f t="shared" si="12"/>
        <v>0</v>
      </c>
      <c r="AX55" s="28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282">
        <f t="shared" si="11"/>
        <v>0</v>
      </c>
      <c r="AW56" s="282">
        <f t="shared" si="12"/>
        <v>0</v>
      </c>
      <c r="AX56" s="28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282">
        <f t="shared" si="11"/>
        <v>0</v>
      </c>
      <c r="AW57" s="282">
        <f t="shared" si="12"/>
        <v>0</v>
      </c>
      <c r="AX57" s="28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282">
        <f t="shared" si="11"/>
        <v>0</v>
      </c>
      <c r="AW58" s="282">
        <f t="shared" si="12"/>
        <v>0</v>
      </c>
      <c r="AX58" s="28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282">
        <f t="shared" si="11"/>
        <v>0</v>
      </c>
      <c r="AW59" s="282">
        <f t="shared" si="12"/>
        <v>0</v>
      </c>
      <c r="AX59" s="28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282">
        <f t="shared" si="11"/>
        <v>0</v>
      </c>
      <c r="AW60" s="282">
        <f t="shared" si="12"/>
        <v>0</v>
      </c>
      <c r="AX60" s="28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282">
        <f t="shared" si="11"/>
        <v>0</v>
      </c>
      <c r="AW61" s="282">
        <f t="shared" si="12"/>
        <v>0</v>
      </c>
      <c r="AX61" s="28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282">
        <f t="shared" si="11"/>
        <v>0</v>
      </c>
      <c r="AW62" s="282">
        <f t="shared" si="12"/>
        <v>0</v>
      </c>
      <c r="AX62" s="28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282">
        <f t="shared" si="11"/>
        <v>0</v>
      </c>
      <c r="AW63" s="282">
        <f t="shared" si="12"/>
        <v>0</v>
      </c>
      <c r="AX63" s="28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282">
        <f t="shared" si="11"/>
        <v>0</v>
      </c>
      <c r="AW64" s="282">
        <f t="shared" si="12"/>
        <v>0</v>
      </c>
      <c r="AX64" s="28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282">
        <f t="shared" si="11"/>
        <v>0</v>
      </c>
      <c r="AW65" s="282">
        <f t="shared" si="12"/>
        <v>0</v>
      </c>
      <c r="AX65" s="28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282">
        <f t="shared" si="11"/>
        <v>0</v>
      </c>
      <c r="AW66" s="282">
        <f t="shared" si="12"/>
        <v>0</v>
      </c>
      <c r="AX66" s="28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282">
        <f t="shared" si="11"/>
        <v>0</v>
      </c>
      <c r="AW67" s="282">
        <f t="shared" si="12"/>
        <v>0</v>
      </c>
      <c r="AX67" s="28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282">
        <f t="shared" si="11"/>
        <v>0</v>
      </c>
      <c r="AW68" s="282">
        <f t="shared" si="12"/>
        <v>0</v>
      </c>
      <c r="AX68" s="28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282">
        <f t="shared" si="11"/>
        <v>0</v>
      </c>
      <c r="AW69" s="282">
        <f t="shared" si="12"/>
        <v>0</v>
      </c>
      <c r="AX69" s="28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282">
        <f t="shared" si="11"/>
        <v>0</v>
      </c>
      <c r="AW70" s="282">
        <f t="shared" si="12"/>
        <v>0</v>
      </c>
      <c r="AX70" s="28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282">
        <f t="shared" si="11"/>
        <v>0</v>
      </c>
      <c r="AW71" s="282">
        <f t="shared" si="12"/>
        <v>0</v>
      </c>
      <c r="AX71" s="28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282">
        <f t="shared" si="11"/>
        <v>0</v>
      </c>
      <c r="AW72" s="282">
        <f t="shared" si="12"/>
        <v>0</v>
      </c>
      <c r="AX72" s="28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282">
        <f t="shared" si="11"/>
        <v>0</v>
      </c>
      <c r="AW73" s="282">
        <f t="shared" si="12"/>
        <v>0</v>
      </c>
      <c r="AX73" s="28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282">
        <f t="shared" si="11"/>
        <v>0</v>
      </c>
      <c r="AW74" s="282">
        <f t="shared" si="12"/>
        <v>0</v>
      </c>
      <c r="AX74" s="28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282">
        <f t="shared" si="11"/>
        <v>0</v>
      </c>
      <c r="AW75" s="282">
        <f t="shared" si="12"/>
        <v>0</v>
      </c>
      <c r="AX75" s="28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282">
        <f t="shared" si="11"/>
        <v>0</v>
      </c>
      <c r="AW76" s="282">
        <f t="shared" si="12"/>
        <v>0</v>
      </c>
      <c r="AX76" s="28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282">
        <f t="shared" si="11"/>
        <v>0</v>
      </c>
      <c r="AW77" s="282">
        <f t="shared" si="12"/>
        <v>0</v>
      </c>
      <c r="AX77" s="28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282">
        <f t="shared" si="11"/>
        <v>0</v>
      </c>
      <c r="AW78" s="282">
        <f t="shared" si="12"/>
        <v>0</v>
      </c>
      <c r="AX78" s="28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282">
        <f t="shared" si="11"/>
        <v>0</v>
      </c>
      <c r="AW79" s="282">
        <f t="shared" si="12"/>
        <v>0</v>
      </c>
      <c r="AX79" s="28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282">
        <f t="shared" si="11"/>
        <v>0</v>
      </c>
      <c r="AW80" s="282">
        <f t="shared" si="12"/>
        <v>0</v>
      </c>
      <c r="AX80" s="28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282">
        <f t="shared" si="11"/>
        <v>0</v>
      </c>
      <c r="AW81" s="282">
        <f t="shared" si="12"/>
        <v>0</v>
      </c>
      <c r="AX81" s="28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282">
        <f t="shared" si="11"/>
        <v>0</v>
      </c>
      <c r="AW82" s="282">
        <f t="shared" si="12"/>
        <v>0</v>
      </c>
      <c r="AX82" s="28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282">
        <f t="shared" si="11"/>
        <v>0</v>
      </c>
      <c r="AW83" s="282">
        <f t="shared" si="12"/>
        <v>0</v>
      </c>
      <c r="AX83" s="28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282">
        <f t="shared" si="11"/>
        <v>0</v>
      </c>
      <c r="AW84" s="282">
        <f t="shared" si="12"/>
        <v>0</v>
      </c>
      <c r="AX84" s="28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282">
        <f t="shared" si="11"/>
        <v>0</v>
      </c>
      <c r="AW85" s="282">
        <f t="shared" si="12"/>
        <v>0</v>
      </c>
      <c r="AX85" s="28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282">
        <f t="shared" si="11"/>
        <v>0</v>
      </c>
      <c r="AW86" s="282">
        <f t="shared" si="12"/>
        <v>0</v>
      </c>
      <c r="AX86" s="28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282">
        <f t="shared" si="11"/>
        <v>0</v>
      </c>
      <c r="AW87" s="282">
        <f t="shared" si="12"/>
        <v>0</v>
      </c>
      <c r="AX87" s="28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282">
        <f t="shared" si="11"/>
        <v>0</v>
      </c>
      <c r="AW88" s="282">
        <f t="shared" si="12"/>
        <v>0</v>
      </c>
      <c r="AX88" s="28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282">
        <f t="shared" si="11"/>
        <v>0</v>
      </c>
      <c r="AW89" s="282">
        <f t="shared" si="12"/>
        <v>0</v>
      </c>
      <c r="AX89" s="28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282">
        <f t="shared" si="11"/>
        <v>0</v>
      </c>
      <c r="AW90" s="282">
        <f t="shared" si="12"/>
        <v>0</v>
      </c>
      <c r="AX90" s="28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282">
        <f t="shared" si="11"/>
        <v>0</v>
      </c>
      <c r="AW91" s="282">
        <f t="shared" si="12"/>
        <v>0</v>
      </c>
      <c r="AX91" s="28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282">
        <f t="shared" si="11"/>
        <v>0</v>
      </c>
      <c r="AW92" s="282">
        <f t="shared" si="12"/>
        <v>0</v>
      </c>
      <c r="AX92" s="28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282">
        <f t="shared" si="11"/>
        <v>0</v>
      </c>
      <c r="AW93" s="282">
        <f t="shared" si="12"/>
        <v>0</v>
      </c>
      <c r="AX93" s="28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282">
        <f t="shared" si="11"/>
        <v>0</v>
      </c>
      <c r="AW94" s="282">
        <f t="shared" si="12"/>
        <v>0</v>
      </c>
      <c r="AX94" s="28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282">
        <f t="shared" si="11"/>
        <v>0</v>
      </c>
      <c r="AW95" s="282">
        <f t="shared" si="12"/>
        <v>0</v>
      </c>
      <c r="AX95" s="28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282">
        <f t="shared" si="11"/>
        <v>0</v>
      </c>
      <c r="AW96" s="282">
        <f t="shared" si="12"/>
        <v>0</v>
      </c>
      <c r="AX96" s="28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282">
        <f t="shared" si="11"/>
        <v>0</v>
      </c>
      <c r="AW97" s="282">
        <f t="shared" si="12"/>
        <v>0</v>
      </c>
      <c r="AX97" s="28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282">
        <f t="shared" si="11"/>
        <v>0</v>
      </c>
      <c r="AW98" s="282">
        <f t="shared" si="12"/>
        <v>0</v>
      </c>
      <c r="AX98" s="28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282">
        <f t="shared" si="11"/>
        <v>0</v>
      </c>
      <c r="AW99" s="282">
        <f t="shared" si="12"/>
        <v>0</v>
      </c>
      <c r="AX99" s="28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282">
        <f t="shared" si="11"/>
        <v>0</v>
      </c>
      <c r="AW100" s="282">
        <f t="shared" si="12"/>
        <v>0</v>
      </c>
      <c r="AX100" s="28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282">
        <f t="shared" si="11"/>
        <v>0</v>
      </c>
      <c r="AW101" s="282">
        <f t="shared" si="12"/>
        <v>0</v>
      </c>
      <c r="AX101" s="28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282">
        <f t="shared" si="11"/>
        <v>0</v>
      </c>
      <c r="AW102" s="282">
        <f t="shared" si="12"/>
        <v>0</v>
      </c>
      <c r="AX102" s="28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282">
        <f t="shared" si="11"/>
        <v>0</v>
      </c>
      <c r="AW103" s="282">
        <f t="shared" si="12"/>
        <v>0</v>
      </c>
      <c r="AX103" s="28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282">
        <f t="shared" si="11"/>
        <v>0</v>
      </c>
      <c r="AW104" s="282">
        <f t="shared" si="12"/>
        <v>0</v>
      </c>
      <c r="AX104" s="28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282">
        <f t="shared" si="11"/>
        <v>0</v>
      </c>
      <c r="AW105" s="282">
        <f t="shared" si="12"/>
        <v>0</v>
      </c>
      <c r="AX105" s="28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282">
        <f t="shared" si="11"/>
        <v>0</v>
      </c>
      <c r="AW106" s="282">
        <f t="shared" si="12"/>
        <v>0</v>
      </c>
      <c r="AX106" s="28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282">
        <f t="shared" si="11"/>
        <v>0</v>
      </c>
      <c r="AW107" s="282">
        <f t="shared" si="12"/>
        <v>0</v>
      </c>
      <c r="AX107" s="28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282">
        <f t="shared" si="11"/>
        <v>0</v>
      </c>
      <c r="AW108" s="282">
        <f t="shared" si="12"/>
        <v>0</v>
      </c>
      <c r="AX108" s="28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282">
        <f t="shared" si="11"/>
        <v>0</v>
      </c>
      <c r="AW109" s="282">
        <f t="shared" si="12"/>
        <v>0</v>
      </c>
      <c r="AX109" s="28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282">
        <f t="shared" si="11"/>
        <v>0</v>
      </c>
      <c r="AW110" s="282">
        <f t="shared" si="12"/>
        <v>0</v>
      </c>
      <c r="AX110" s="28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282">
        <f t="shared" si="11"/>
        <v>0</v>
      </c>
      <c r="AW111" s="282">
        <f t="shared" si="12"/>
        <v>0</v>
      </c>
      <c r="AX111" s="28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282">
        <f t="shared" si="11"/>
        <v>0</v>
      </c>
      <c r="AW112" s="282">
        <f t="shared" si="12"/>
        <v>0</v>
      </c>
      <c r="AX112" s="28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282">
        <f t="shared" ref="AV113:AV144" si="62">A113</f>
        <v>0</v>
      </c>
      <c r="AW113" s="282">
        <f t="shared" ref="AW113:AW144" si="63">B113</f>
        <v>0</v>
      </c>
      <c r="AX113" s="28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282">
        <f t="shared" si="62"/>
        <v>0</v>
      </c>
      <c r="AW114" s="282">
        <f t="shared" si="63"/>
        <v>0</v>
      </c>
      <c r="AX114" s="28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282">
        <f t="shared" si="62"/>
        <v>0</v>
      </c>
      <c r="AW115" s="282">
        <f t="shared" si="63"/>
        <v>0</v>
      </c>
      <c r="AX115" s="28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282">
        <f t="shared" si="62"/>
        <v>0</v>
      </c>
      <c r="AW116" s="282">
        <f t="shared" si="63"/>
        <v>0</v>
      </c>
      <c r="AX116" s="28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282">
        <f t="shared" si="62"/>
        <v>0</v>
      </c>
      <c r="AW117" s="282">
        <f t="shared" si="63"/>
        <v>0</v>
      </c>
      <c r="AX117" s="28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282">
        <f t="shared" si="62"/>
        <v>0</v>
      </c>
      <c r="AW118" s="282">
        <f t="shared" si="63"/>
        <v>0</v>
      </c>
      <c r="AX118" s="28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282">
        <f t="shared" si="62"/>
        <v>0</v>
      </c>
      <c r="AW119" s="282">
        <f t="shared" si="63"/>
        <v>0</v>
      </c>
      <c r="AX119" s="28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282">
        <f t="shared" si="62"/>
        <v>0</v>
      </c>
      <c r="AW120" s="282">
        <f t="shared" si="63"/>
        <v>0</v>
      </c>
      <c r="AX120" s="28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282">
        <f t="shared" si="62"/>
        <v>0</v>
      </c>
      <c r="AW121" s="282">
        <f t="shared" si="63"/>
        <v>0</v>
      </c>
      <c r="AX121" s="28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282">
        <f t="shared" si="62"/>
        <v>0</v>
      </c>
      <c r="AW122" s="282">
        <f t="shared" si="63"/>
        <v>0</v>
      </c>
      <c r="AX122" s="28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282">
        <f t="shared" si="62"/>
        <v>0</v>
      </c>
      <c r="AW123" s="282">
        <f t="shared" si="63"/>
        <v>0</v>
      </c>
      <c r="AX123" s="28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282">
        <f t="shared" si="62"/>
        <v>0</v>
      </c>
      <c r="AW124" s="282">
        <f t="shared" si="63"/>
        <v>0</v>
      </c>
      <c r="AX124" s="28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282">
        <f t="shared" si="62"/>
        <v>0</v>
      </c>
      <c r="AW125" s="282">
        <f t="shared" si="63"/>
        <v>0</v>
      </c>
      <c r="AX125" s="28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282">
        <f t="shared" si="62"/>
        <v>0</v>
      </c>
      <c r="AW126" s="282">
        <f t="shared" si="63"/>
        <v>0</v>
      </c>
      <c r="AX126" s="28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282">
        <f t="shared" si="62"/>
        <v>0</v>
      </c>
      <c r="AW127" s="282">
        <f t="shared" si="63"/>
        <v>0</v>
      </c>
      <c r="AX127" s="28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282">
        <f t="shared" si="62"/>
        <v>0</v>
      </c>
      <c r="AW128" s="282">
        <f t="shared" si="63"/>
        <v>0</v>
      </c>
      <c r="AX128" s="28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282">
        <f t="shared" si="62"/>
        <v>0</v>
      </c>
      <c r="AW129" s="282">
        <f t="shared" si="63"/>
        <v>0</v>
      </c>
      <c r="AX129" s="28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282">
        <f t="shared" si="62"/>
        <v>0</v>
      </c>
      <c r="AW130" s="282">
        <f t="shared" si="63"/>
        <v>0</v>
      </c>
      <c r="AX130" s="28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282">
        <f t="shared" si="62"/>
        <v>0</v>
      </c>
      <c r="AW131" s="282">
        <f t="shared" si="63"/>
        <v>0</v>
      </c>
      <c r="AX131" s="28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282">
        <f t="shared" si="62"/>
        <v>0</v>
      </c>
      <c r="AW132" s="282">
        <f t="shared" si="63"/>
        <v>0</v>
      </c>
      <c r="AX132" s="28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282">
        <f t="shared" si="62"/>
        <v>0</v>
      </c>
      <c r="AW133" s="282">
        <f t="shared" si="63"/>
        <v>0</v>
      </c>
      <c r="AX133" s="28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282">
        <f t="shared" si="62"/>
        <v>0</v>
      </c>
      <c r="AW134" s="282">
        <f t="shared" si="63"/>
        <v>0</v>
      </c>
      <c r="AX134" s="28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282">
        <f t="shared" si="62"/>
        <v>0</v>
      </c>
      <c r="AW135" s="282">
        <f t="shared" si="63"/>
        <v>0</v>
      </c>
      <c r="AX135" s="28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282">
        <f t="shared" si="62"/>
        <v>0</v>
      </c>
      <c r="AW136" s="282">
        <f t="shared" si="63"/>
        <v>0</v>
      </c>
      <c r="AX136" s="28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282">
        <f t="shared" si="62"/>
        <v>0</v>
      </c>
      <c r="AW137" s="282">
        <f t="shared" si="63"/>
        <v>0</v>
      </c>
      <c r="AX137" s="28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282">
        <f t="shared" si="62"/>
        <v>0</v>
      </c>
      <c r="AW138" s="282">
        <f t="shared" si="63"/>
        <v>0</v>
      </c>
      <c r="AX138" s="28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282">
        <f t="shared" si="62"/>
        <v>0</v>
      </c>
      <c r="AW139" s="282">
        <f t="shared" si="63"/>
        <v>0</v>
      </c>
      <c r="AX139" s="28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282">
        <f t="shared" si="62"/>
        <v>0</v>
      </c>
      <c r="AW140" s="282">
        <f t="shared" si="63"/>
        <v>0</v>
      </c>
      <c r="AX140" s="28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282">
        <f t="shared" si="62"/>
        <v>0</v>
      </c>
      <c r="AW141" s="282">
        <f t="shared" si="63"/>
        <v>0</v>
      </c>
      <c r="AX141" s="28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282">
        <f t="shared" si="62"/>
        <v>0</v>
      </c>
      <c r="AW142" s="282">
        <f t="shared" si="63"/>
        <v>0</v>
      </c>
      <c r="AX142" s="28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282">
        <f t="shared" si="62"/>
        <v>0</v>
      </c>
      <c r="AW143" s="282">
        <f t="shared" si="63"/>
        <v>0</v>
      </c>
      <c r="AX143" s="28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282">
        <f t="shared" si="62"/>
        <v>0</v>
      </c>
      <c r="AW144" s="282">
        <f t="shared" si="63"/>
        <v>0</v>
      </c>
      <c r="AX144" s="28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282">
        <f t="shared" ref="AV145:AV176" si="91">A145</f>
        <v>0</v>
      </c>
      <c r="AW145" s="282">
        <f t="shared" ref="AW145:AW176" si="92">B145</f>
        <v>0</v>
      </c>
      <c r="AX145" s="28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282">
        <f t="shared" si="91"/>
        <v>0</v>
      </c>
      <c r="AW146" s="282">
        <f t="shared" si="92"/>
        <v>0</v>
      </c>
      <c r="AX146" s="28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282">
        <f t="shared" si="91"/>
        <v>0</v>
      </c>
      <c r="AW147" s="282">
        <f t="shared" si="92"/>
        <v>0</v>
      </c>
      <c r="AX147" s="28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282">
        <f t="shared" si="91"/>
        <v>0</v>
      </c>
      <c r="AW148" s="282">
        <f t="shared" si="92"/>
        <v>0</v>
      </c>
      <c r="AX148" s="28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282">
        <f t="shared" si="91"/>
        <v>0</v>
      </c>
      <c r="AW149" s="282">
        <f t="shared" si="92"/>
        <v>0</v>
      </c>
      <c r="AX149" s="28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282">
        <f t="shared" si="91"/>
        <v>0</v>
      </c>
      <c r="AW150" s="282">
        <f t="shared" si="92"/>
        <v>0</v>
      </c>
      <c r="AX150" s="28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282">
        <f t="shared" si="91"/>
        <v>0</v>
      </c>
      <c r="AW151" s="282">
        <f t="shared" si="92"/>
        <v>0</v>
      </c>
      <c r="AX151" s="28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282">
        <f t="shared" si="91"/>
        <v>0</v>
      </c>
      <c r="AW152" s="282">
        <f t="shared" si="92"/>
        <v>0</v>
      </c>
      <c r="AX152" s="28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282">
        <f t="shared" si="91"/>
        <v>0</v>
      </c>
      <c r="AW153" s="282">
        <f t="shared" si="92"/>
        <v>0</v>
      </c>
      <c r="AX153" s="28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282">
        <f t="shared" si="91"/>
        <v>0</v>
      </c>
      <c r="AW154" s="282">
        <f t="shared" si="92"/>
        <v>0</v>
      </c>
      <c r="AX154" s="28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282">
        <f t="shared" si="91"/>
        <v>0</v>
      </c>
      <c r="AW155" s="282">
        <f t="shared" si="92"/>
        <v>0</v>
      </c>
      <c r="AX155" s="28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282">
        <f t="shared" si="91"/>
        <v>0</v>
      </c>
      <c r="AW156" s="282">
        <f t="shared" si="92"/>
        <v>0</v>
      </c>
      <c r="AX156" s="28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282">
        <f t="shared" si="91"/>
        <v>0</v>
      </c>
      <c r="AW157" s="282">
        <f t="shared" si="92"/>
        <v>0</v>
      </c>
      <c r="AX157" s="28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282">
        <f t="shared" si="91"/>
        <v>0</v>
      </c>
      <c r="AW158" s="282">
        <f t="shared" si="92"/>
        <v>0</v>
      </c>
      <c r="AX158" s="28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282">
        <f t="shared" si="91"/>
        <v>0</v>
      </c>
      <c r="AW159" s="282">
        <f t="shared" si="92"/>
        <v>0</v>
      </c>
      <c r="AX159" s="28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282">
        <f t="shared" si="91"/>
        <v>0</v>
      </c>
      <c r="AW160" s="282">
        <f t="shared" si="92"/>
        <v>0</v>
      </c>
      <c r="AX160" s="28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282">
        <f t="shared" si="91"/>
        <v>0</v>
      </c>
      <c r="AW161" s="282">
        <f t="shared" si="92"/>
        <v>0</v>
      </c>
      <c r="AX161" s="28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282">
        <f t="shared" si="91"/>
        <v>0</v>
      </c>
      <c r="AW162" s="282">
        <f t="shared" si="92"/>
        <v>0</v>
      </c>
      <c r="AX162" s="28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282">
        <f t="shared" si="91"/>
        <v>0</v>
      </c>
      <c r="AW163" s="282">
        <f t="shared" si="92"/>
        <v>0</v>
      </c>
      <c r="AX163" s="28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282">
        <f t="shared" si="91"/>
        <v>0</v>
      </c>
      <c r="AW164" s="282">
        <f t="shared" si="92"/>
        <v>0</v>
      </c>
      <c r="AX164" s="28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282">
        <f t="shared" si="91"/>
        <v>0</v>
      </c>
      <c r="AW165" s="282">
        <f t="shared" si="92"/>
        <v>0</v>
      </c>
      <c r="AX165" s="28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282">
        <f t="shared" si="91"/>
        <v>0</v>
      </c>
      <c r="AW166" s="282">
        <f t="shared" si="92"/>
        <v>0</v>
      </c>
      <c r="AX166" s="28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282">
        <f t="shared" si="91"/>
        <v>0</v>
      </c>
      <c r="AW167" s="282">
        <f t="shared" si="92"/>
        <v>0</v>
      </c>
      <c r="AX167" s="28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282">
        <f t="shared" si="91"/>
        <v>0</v>
      </c>
      <c r="AW168" s="282">
        <f t="shared" si="92"/>
        <v>0</v>
      </c>
      <c r="AX168" s="28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282">
        <f t="shared" si="91"/>
        <v>0</v>
      </c>
      <c r="AW169" s="282">
        <f t="shared" si="92"/>
        <v>0</v>
      </c>
      <c r="AX169" s="28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282">
        <f t="shared" si="91"/>
        <v>0</v>
      </c>
      <c r="AW170" s="282">
        <f t="shared" si="92"/>
        <v>0</v>
      </c>
      <c r="AX170" s="28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282">
        <f t="shared" si="91"/>
        <v>0</v>
      </c>
      <c r="AW171" s="282">
        <f t="shared" si="92"/>
        <v>0</v>
      </c>
      <c r="AX171" s="28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282">
        <f t="shared" si="91"/>
        <v>0</v>
      </c>
      <c r="AW172" s="282">
        <f t="shared" si="92"/>
        <v>0</v>
      </c>
      <c r="AX172" s="28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282">
        <f t="shared" si="91"/>
        <v>0</v>
      </c>
      <c r="AW173" s="282">
        <f t="shared" si="92"/>
        <v>0</v>
      </c>
      <c r="AX173" s="28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282">
        <f t="shared" si="91"/>
        <v>0</v>
      </c>
      <c r="AW174" s="282">
        <f t="shared" si="92"/>
        <v>0</v>
      </c>
      <c r="AX174" s="28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282">
        <f t="shared" si="91"/>
        <v>0</v>
      </c>
      <c r="AW175" s="282">
        <f t="shared" si="92"/>
        <v>0</v>
      </c>
      <c r="AX175" s="28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282">
        <f t="shared" si="91"/>
        <v>0</v>
      </c>
      <c r="AW176" s="282">
        <f t="shared" si="92"/>
        <v>0</v>
      </c>
      <c r="AX176" s="28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282">
        <f t="shared" ref="AV177:AV207" si="120">A177</f>
        <v>0</v>
      </c>
      <c r="AW177" s="282">
        <f t="shared" ref="AW177:AW207" si="121">B177</f>
        <v>0</v>
      </c>
      <c r="AX177" s="28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282">
        <f t="shared" si="120"/>
        <v>0</v>
      </c>
      <c r="AW178" s="282">
        <f t="shared" si="121"/>
        <v>0</v>
      </c>
      <c r="AX178" s="28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282">
        <f t="shared" si="120"/>
        <v>0</v>
      </c>
      <c r="AW179" s="282">
        <f t="shared" si="121"/>
        <v>0</v>
      </c>
      <c r="AX179" s="28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282">
        <f t="shared" si="120"/>
        <v>0</v>
      </c>
      <c r="AW180" s="282">
        <f t="shared" si="121"/>
        <v>0</v>
      </c>
      <c r="AX180" s="28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282">
        <f t="shared" si="120"/>
        <v>0</v>
      </c>
      <c r="AW181" s="282">
        <f t="shared" si="121"/>
        <v>0</v>
      </c>
      <c r="AX181" s="28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282">
        <f t="shared" si="120"/>
        <v>0</v>
      </c>
      <c r="AW182" s="282">
        <f t="shared" si="121"/>
        <v>0</v>
      </c>
      <c r="AX182" s="28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282">
        <f t="shared" si="120"/>
        <v>0</v>
      </c>
      <c r="AW183" s="282">
        <f t="shared" si="121"/>
        <v>0</v>
      </c>
      <c r="AX183" s="28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282">
        <f t="shared" si="120"/>
        <v>0</v>
      </c>
      <c r="AW184" s="282">
        <f t="shared" si="121"/>
        <v>0</v>
      </c>
      <c r="AX184" s="28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282">
        <f t="shared" si="120"/>
        <v>0</v>
      </c>
      <c r="AW185" s="282">
        <f t="shared" si="121"/>
        <v>0</v>
      </c>
      <c r="AX185" s="28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282">
        <f t="shared" si="120"/>
        <v>0</v>
      </c>
      <c r="AW186" s="282">
        <f t="shared" si="121"/>
        <v>0</v>
      </c>
      <c r="AX186" s="28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282">
        <f t="shared" si="120"/>
        <v>0</v>
      </c>
      <c r="AW187" s="282">
        <f t="shared" si="121"/>
        <v>0</v>
      </c>
      <c r="AX187" s="28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282">
        <f t="shared" si="120"/>
        <v>0</v>
      </c>
      <c r="AW188" s="282">
        <f t="shared" si="121"/>
        <v>0</v>
      </c>
      <c r="AX188" s="28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282">
        <f t="shared" si="120"/>
        <v>0</v>
      </c>
      <c r="AW189" s="282">
        <f t="shared" si="121"/>
        <v>0</v>
      </c>
      <c r="AX189" s="28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282">
        <f t="shared" si="120"/>
        <v>0</v>
      </c>
      <c r="AW190" s="282">
        <f t="shared" si="121"/>
        <v>0</v>
      </c>
      <c r="AX190" s="28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282">
        <f t="shared" si="120"/>
        <v>0</v>
      </c>
      <c r="AW191" s="282">
        <f t="shared" si="121"/>
        <v>0</v>
      </c>
      <c r="AX191" s="28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282">
        <f t="shared" si="120"/>
        <v>0</v>
      </c>
      <c r="AW192" s="282">
        <f t="shared" si="121"/>
        <v>0</v>
      </c>
      <c r="AX192" s="28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282">
        <f t="shared" si="120"/>
        <v>0</v>
      </c>
      <c r="AW193" s="282">
        <f t="shared" si="121"/>
        <v>0</v>
      </c>
      <c r="AX193" s="28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282">
        <f t="shared" si="120"/>
        <v>0</v>
      </c>
      <c r="AW194" s="282">
        <f t="shared" si="121"/>
        <v>0</v>
      </c>
      <c r="AX194" s="28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282">
        <f t="shared" si="120"/>
        <v>0</v>
      </c>
      <c r="AW195" s="282">
        <f t="shared" si="121"/>
        <v>0</v>
      </c>
      <c r="AX195" s="28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282">
        <f t="shared" si="120"/>
        <v>0</v>
      </c>
      <c r="AW196" s="282">
        <f t="shared" si="121"/>
        <v>0</v>
      </c>
      <c r="AX196" s="28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282">
        <f t="shared" si="120"/>
        <v>0</v>
      </c>
      <c r="AW197" s="282">
        <f t="shared" si="121"/>
        <v>0</v>
      </c>
      <c r="AX197" s="28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282">
        <f t="shared" si="120"/>
        <v>0</v>
      </c>
      <c r="AW198" s="282">
        <f t="shared" si="121"/>
        <v>0</v>
      </c>
      <c r="AX198" s="28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282">
        <f t="shared" si="120"/>
        <v>0</v>
      </c>
      <c r="AW199" s="282">
        <f t="shared" si="121"/>
        <v>0</v>
      </c>
      <c r="AX199" s="28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282">
        <f t="shared" si="120"/>
        <v>0</v>
      </c>
      <c r="AW200" s="282">
        <f t="shared" si="121"/>
        <v>0</v>
      </c>
      <c r="AX200" s="28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282">
        <f t="shared" si="120"/>
        <v>0</v>
      </c>
      <c r="AW201" s="282">
        <f t="shared" si="121"/>
        <v>0</v>
      </c>
      <c r="AX201" s="28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282">
        <f t="shared" si="120"/>
        <v>0</v>
      </c>
      <c r="AW202" s="282">
        <f t="shared" si="121"/>
        <v>0</v>
      </c>
      <c r="AX202" s="28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282">
        <f t="shared" si="120"/>
        <v>0</v>
      </c>
      <c r="AW203" s="282">
        <f t="shared" si="121"/>
        <v>0</v>
      </c>
      <c r="AX203" s="28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282">
        <f t="shared" si="120"/>
        <v>0</v>
      </c>
      <c r="AW204" s="282">
        <f t="shared" si="121"/>
        <v>0</v>
      </c>
      <c r="AX204" s="28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282">
        <f t="shared" si="120"/>
        <v>0</v>
      </c>
      <c r="AW205" s="282">
        <f t="shared" si="121"/>
        <v>0</v>
      </c>
      <c r="AX205" s="28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282">
        <f t="shared" si="120"/>
        <v>0</v>
      </c>
      <c r="AW206" s="282">
        <f t="shared" si="121"/>
        <v>0</v>
      </c>
      <c r="AX206" s="28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282">
        <f t="shared" si="120"/>
        <v>0</v>
      </c>
      <c r="AW207" s="282">
        <f t="shared" si="121"/>
        <v>0</v>
      </c>
      <c r="AX207" s="28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282">
        <f t="shared" ref="AV208:AV302" si="127">A208</f>
        <v>0</v>
      </c>
      <c r="AW208" s="282">
        <f t="shared" ref="AW208:AW302" si="128">B208</f>
        <v>0</v>
      </c>
      <c r="AX208" s="28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282">
        <f t="shared" si="127"/>
        <v>0</v>
      </c>
      <c r="AW209" s="282">
        <f t="shared" si="128"/>
        <v>0</v>
      </c>
      <c r="AX209" s="28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282">
        <f t="shared" si="127"/>
        <v>0</v>
      </c>
      <c r="AW210" s="282">
        <f t="shared" si="128"/>
        <v>0</v>
      </c>
      <c r="AX210" s="28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282">
        <f t="shared" si="127"/>
        <v>0</v>
      </c>
      <c r="AW211" s="282">
        <f t="shared" si="128"/>
        <v>0</v>
      </c>
      <c r="AX211" s="28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282">
        <f t="shared" si="127"/>
        <v>0</v>
      </c>
      <c r="AW212" s="282">
        <f t="shared" si="128"/>
        <v>0</v>
      </c>
      <c r="AX212" s="28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282">
        <f t="shared" si="127"/>
        <v>0</v>
      </c>
      <c r="AW213" s="282">
        <f t="shared" si="128"/>
        <v>0</v>
      </c>
      <c r="AX213" s="28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282">
        <f t="shared" si="127"/>
        <v>0</v>
      </c>
      <c r="AW214" s="282">
        <f t="shared" si="128"/>
        <v>0</v>
      </c>
      <c r="AX214" s="28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282">
        <f t="shared" si="127"/>
        <v>0</v>
      </c>
      <c r="AW215" s="282">
        <f t="shared" si="128"/>
        <v>0</v>
      </c>
      <c r="AX215" s="28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282">
        <f t="shared" si="127"/>
        <v>0</v>
      </c>
      <c r="AW216" s="282">
        <f t="shared" si="128"/>
        <v>0</v>
      </c>
      <c r="AX216" s="28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282">
        <f t="shared" si="127"/>
        <v>0</v>
      </c>
      <c r="AW217" s="282">
        <f t="shared" si="128"/>
        <v>0</v>
      </c>
      <c r="AX217" s="28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282">
        <f t="shared" si="127"/>
        <v>0</v>
      </c>
      <c r="AW218" s="282">
        <f t="shared" si="128"/>
        <v>0</v>
      </c>
      <c r="AX218" s="28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282">
        <f t="shared" si="127"/>
        <v>0</v>
      </c>
      <c r="AW219" s="282">
        <f t="shared" si="128"/>
        <v>0</v>
      </c>
      <c r="AX219" s="28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282">
        <f t="shared" si="127"/>
        <v>0</v>
      </c>
      <c r="AW220" s="282">
        <f t="shared" si="128"/>
        <v>0</v>
      </c>
      <c r="AX220" s="28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282">
        <f t="shared" si="127"/>
        <v>0</v>
      </c>
      <c r="AW221" s="282">
        <f t="shared" si="128"/>
        <v>0</v>
      </c>
      <c r="AX221" s="28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282">
        <f t="shared" si="127"/>
        <v>0</v>
      </c>
      <c r="AW222" s="282">
        <f t="shared" si="128"/>
        <v>0</v>
      </c>
      <c r="AX222" s="28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282">
        <f t="shared" si="127"/>
        <v>0</v>
      </c>
      <c r="AW223" s="282">
        <f t="shared" si="128"/>
        <v>0</v>
      </c>
      <c r="AX223" s="28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282">
        <f t="shared" si="127"/>
        <v>0</v>
      </c>
      <c r="AW224" s="282">
        <f t="shared" si="128"/>
        <v>0</v>
      </c>
      <c r="AX224" s="28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282">
        <f t="shared" si="127"/>
        <v>0</v>
      </c>
      <c r="AW225" s="282">
        <f t="shared" si="128"/>
        <v>0</v>
      </c>
      <c r="AX225" s="28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282">
        <f t="shared" si="127"/>
        <v>0</v>
      </c>
      <c r="AW226" s="282">
        <f t="shared" si="128"/>
        <v>0</v>
      </c>
      <c r="AX226" s="28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282">
        <f t="shared" si="127"/>
        <v>0</v>
      </c>
      <c r="AW227" s="282">
        <f t="shared" si="128"/>
        <v>0</v>
      </c>
      <c r="AX227" s="28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282">
        <f t="shared" si="127"/>
        <v>0</v>
      </c>
      <c r="AW228" s="282">
        <f t="shared" si="128"/>
        <v>0</v>
      </c>
      <c r="AX228" s="28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282">
        <f t="shared" si="127"/>
        <v>0</v>
      </c>
      <c r="AW229" s="282">
        <f t="shared" si="128"/>
        <v>0</v>
      </c>
      <c r="AX229" s="28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282">
        <f t="shared" si="127"/>
        <v>0</v>
      </c>
      <c r="AW230" s="282">
        <f t="shared" si="128"/>
        <v>0</v>
      </c>
      <c r="AX230" s="28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282">
        <f t="shared" si="127"/>
        <v>0</v>
      </c>
      <c r="AW231" s="282">
        <f t="shared" si="128"/>
        <v>0</v>
      </c>
      <c r="AX231" s="28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282">
        <f t="shared" si="127"/>
        <v>0</v>
      </c>
      <c r="AW232" s="282">
        <f t="shared" si="128"/>
        <v>0</v>
      </c>
      <c r="AX232" s="28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282">
        <f t="shared" si="127"/>
        <v>0</v>
      </c>
      <c r="AW233" s="282">
        <f t="shared" si="128"/>
        <v>0</v>
      </c>
      <c r="AX233" s="28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282">
        <f t="shared" si="127"/>
        <v>0</v>
      </c>
      <c r="AW234" s="282">
        <f t="shared" si="128"/>
        <v>0</v>
      </c>
      <c r="AX234" s="28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282">
        <f t="shared" si="127"/>
        <v>0</v>
      </c>
      <c r="AW235" s="282">
        <f t="shared" si="128"/>
        <v>0</v>
      </c>
      <c r="AX235" s="28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282">
        <f t="shared" si="127"/>
        <v>0</v>
      </c>
      <c r="AW236" s="282">
        <f t="shared" si="128"/>
        <v>0</v>
      </c>
      <c r="AX236" s="28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282">
        <f t="shared" si="127"/>
        <v>0</v>
      </c>
      <c r="AW237" s="282">
        <f t="shared" si="128"/>
        <v>0</v>
      </c>
      <c r="AX237" s="28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282">
        <f t="shared" si="127"/>
        <v>0</v>
      </c>
      <c r="AW238" s="282">
        <f t="shared" si="128"/>
        <v>0</v>
      </c>
      <c r="AX238" s="28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282">
        <f t="shared" si="127"/>
        <v>0</v>
      </c>
      <c r="AW239" s="282">
        <f t="shared" si="128"/>
        <v>0</v>
      </c>
      <c r="AX239" s="28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282">
        <f t="shared" si="127"/>
        <v>0</v>
      </c>
      <c r="AW240" s="282">
        <f t="shared" si="128"/>
        <v>0</v>
      </c>
      <c r="AX240" s="28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282">
        <f t="shared" si="127"/>
        <v>0</v>
      </c>
      <c r="AW241" s="282">
        <f t="shared" si="128"/>
        <v>0</v>
      </c>
      <c r="AX241" s="28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282">
        <f t="shared" si="127"/>
        <v>0</v>
      </c>
      <c r="AW242" s="282">
        <f t="shared" si="128"/>
        <v>0</v>
      </c>
      <c r="AX242" s="28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282">
        <f t="shared" si="127"/>
        <v>0</v>
      </c>
      <c r="AW243" s="282">
        <f t="shared" si="128"/>
        <v>0</v>
      </c>
      <c r="AX243" s="28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282">
        <f t="shared" si="127"/>
        <v>0</v>
      </c>
      <c r="AW244" s="282">
        <f t="shared" si="128"/>
        <v>0</v>
      </c>
      <c r="AX244" s="28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282">
        <f t="shared" si="127"/>
        <v>0</v>
      </c>
      <c r="AW245" s="282">
        <f t="shared" si="128"/>
        <v>0</v>
      </c>
      <c r="AX245" s="28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282">
        <f t="shared" si="127"/>
        <v>0</v>
      </c>
      <c r="AW246" s="282">
        <f t="shared" si="128"/>
        <v>0</v>
      </c>
      <c r="AX246" s="28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282">
        <f t="shared" si="127"/>
        <v>0</v>
      </c>
      <c r="AW247" s="282">
        <f t="shared" si="128"/>
        <v>0</v>
      </c>
      <c r="AX247" s="28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282">
        <f t="shared" si="127"/>
        <v>0</v>
      </c>
      <c r="AW248" s="282">
        <f t="shared" si="128"/>
        <v>0</v>
      </c>
      <c r="AX248" s="28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282">
        <f t="shared" si="127"/>
        <v>0</v>
      </c>
      <c r="AW249" s="282">
        <f t="shared" si="128"/>
        <v>0</v>
      </c>
      <c r="AX249" s="28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282">
        <f t="shared" si="127"/>
        <v>0</v>
      </c>
      <c r="AW250" s="282">
        <f t="shared" si="128"/>
        <v>0</v>
      </c>
      <c r="AX250" s="28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282">
        <f t="shared" si="127"/>
        <v>0</v>
      </c>
      <c r="AW251" s="282">
        <f t="shared" si="128"/>
        <v>0</v>
      </c>
      <c r="AX251" s="28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282">
        <f t="shared" si="127"/>
        <v>0</v>
      </c>
      <c r="AW252" s="282">
        <f t="shared" si="128"/>
        <v>0</v>
      </c>
      <c r="AX252" s="28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282">
        <f t="shared" si="127"/>
        <v>0</v>
      </c>
      <c r="AW253" s="282">
        <f t="shared" si="128"/>
        <v>0</v>
      </c>
      <c r="AX253" s="28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282">
        <f t="shared" si="127"/>
        <v>0</v>
      </c>
      <c r="AW254" s="282">
        <f t="shared" si="128"/>
        <v>0</v>
      </c>
      <c r="AX254" s="28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282">
        <f t="shared" si="127"/>
        <v>0</v>
      </c>
      <c r="AW255" s="282">
        <f t="shared" si="128"/>
        <v>0</v>
      </c>
      <c r="AX255" s="28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282">
        <f t="shared" si="127"/>
        <v>0</v>
      </c>
      <c r="AW256" s="282">
        <f t="shared" si="128"/>
        <v>0</v>
      </c>
      <c r="AX256" s="28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282">
        <f t="shared" si="127"/>
        <v>0</v>
      </c>
      <c r="AW257" s="282">
        <f t="shared" si="128"/>
        <v>0</v>
      </c>
      <c r="AX257" s="28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282">
        <f t="shared" si="127"/>
        <v>0</v>
      </c>
      <c r="AW258" s="282">
        <f t="shared" si="128"/>
        <v>0</v>
      </c>
      <c r="AX258" s="28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282">
        <f t="shared" si="127"/>
        <v>0</v>
      </c>
      <c r="AW259" s="282">
        <f t="shared" si="128"/>
        <v>0</v>
      </c>
      <c r="AX259" s="28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282">
        <f t="shared" si="127"/>
        <v>0</v>
      </c>
      <c r="AW260" s="282">
        <f t="shared" si="128"/>
        <v>0</v>
      </c>
      <c r="AX260" s="28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282">
        <f t="shared" si="127"/>
        <v>0</v>
      </c>
      <c r="AW261" s="282">
        <f t="shared" si="128"/>
        <v>0</v>
      </c>
      <c r="AX261" s="28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282">
        <f t="shared" si="127"/>
        <v>0</v>
      </c>
      <c r="AW262" s="282">
        <f t="shared" si="128"/>
        <v>0</v>
      </c>
      <c r="AX262" s="28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282">
        <f t="shared" si="127"/>
        <v>0</v>
      </c>
      <c r="AW263" s="282">
        <f t="shared" si="128"/>
        <v>0</v>
      </c>
      <c r="AX263" s="28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282">
        <f t="shared" si="127"/>
        <v>0</v>
      </c>
      <c r="AW264" s="282">
        <f t="shared" si="128"/>
        <v>0</v>
      </c>
      <c r="AX264" s="28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282">
        <f t="shared" si="127"/>
        <v>0</v>
      </c>
      <c r="AW265" s="282">
        <f t="shared" si="128"/>
        <v>0</v>
      </c>
      <c r="AX265" s="28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282">
        <f t="shared" si="127"/>
        <v>0</v>
      </c>
      <c r="AW266" s="282">
        <f t="shared" si="128"/>
        <v>0</v>
      </c>
      <c r="AX266" s="28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282">
        <f t="shared" si="127"/>
        <v>0</v>
      </c>
      <c r="AW267" s="282">
        <f t="shared" si="128"/>
        <v>0</v>
      </c>
      <c r="AX267" s="28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282">
        <f t="shared" si="127"/>
        <v>0</v>
      </c>
      <c r="AW268" s="282">
        <f t="shared" si="128"/>
        <v>0</v>
      </c>
      <c r="AX268" s="28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282">
        <f t="shared" si="127"/>
        <v>0</v>
      </c>
      <c r="AW269" s="282">
        <f t="shared" si="128"/>
        <v>0</v>
      </c>
      <c r="AX269" s="28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282">
        <f t="shared" si="127"/>
        <v>0</v>
      </c>
      <c r="AW270" s="282">
        <f t="shared" si="128"/>
        <v>0</v>
      </c>
      <c r="AX270" s="28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282">
        <f t="shared" si="127"/>
        <v>0</v>
      </c>
      <c r="AW271" s="282">
        <f t="shared" si="128"/>
        <v>0</v>
      </c>
      <c r="AX271" s="28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282">
        <f t="shared" si="127"/>
        <v>0</v>
      </c>
      <c r="AW272" s="282">
        <f t="shared" si="128"/>
        <v>0</v>
      </c>
      <c r="AX272" s="28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282">
        <f t="shared" si="127"/>
        <v>0</v>
      </c>
      <c r="AW273" s="282">
        <f t="shared" si="128"/>
        <v>0</v>
      </c>
      <c r="AX273" s="28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282">
        <f t="shared" si="127"/>
        <v>0</v>
      </c>
      <c r="AW274" s="282">
        <f t="shared" si="128"/>
        <v>0</v>
      </c>
      <c r="AX274" s="28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282">
        <f t="shared" si="127"/>
        <v>0</v>
      </c>
      <c r="AW275" s="282">
        <f t="shared" si="128"/>
        <v>0</v>
      </c>
      <c r="AX275" s="28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282">
        <f t="shared" si="127"/>
        <v>0</v>
      </c>
      <c r="AW276" s="282">
        <f t="shared" si="128"/>
        <v>0</v>
      </c>
      <c r="AX276" s="28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282">
        <f t="shared" si="127"/>
        <v>0</v>
      </c>
      <c r="AW277" s="282">
        <f t="shared" si="128"/>
        <v>0</v>
      </c>
      <c r="AX277" s="28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282">
        <f t="shared" si="127"/>
        <v>0</v>
      </c>
      <c r="AW278" s="282">
        <f t="shared" si="128"/>
        <v>0</v>
      </c>
      <c r="AX278" s="28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282">
        <f t="shared" si="127"/>
        <v>0</v>
      </c>
      <c r="AW279" s="282">
        <f t="shared" si="128"/>
        <v>0</v>
      </c>
      <c r="AX279" s="28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282">
        <f t="shared" si="127"/>
        <v>0</v>
      </c>
      <c r="AW280" s="282">
        <f t="shared" si="128"/>
        <v>0</v>
      </c>
      <c r="AX280" s="28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282">
        <f t="shared" si="127"/>
        <v>0</v>
      </c>
      <c r="AW281" s="282">
        <f t="shared" si="128"/>
        <v>0</v>
      </c>
      <c r="AX281" s="28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282">
        <f t="shared" si="127"/>
        <v>0</v>
      </c>
      <c r="AW282" s="282">
        <f t="shared" si="128"/>
        <v>0</v>
      </c>
      <c r="AX282" s="28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282">
        <f t="shared" si="127"/>
        <v>0</v>
      </c>
      <c r="AW283" s="282">
        <f t="shared" si="128"/>
        <v>0</v>
      </c>
      <c r="AX283" s="28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282">
        <f t="shared" si="127"/>
        <v>0</v>
      </c>
      <c r="AW284" s="282">
        <f t="shared" si="128"/>
        <v>0</v>
      </c>
      <c r="AX284" s="28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282">
        <f t="shared" si="127"/>
        <v>0</v>
      </c>
      <c r="AW285" s="282">
        <f t="shared" si="128"/>
        <v>0</v>
      </c>
      <c r="AX285" s="28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282">
        <f t="shared" si="127"/>
        <v>0</v>
      </c>
      <c r="AW286" s="282">
        <f t="shared" si="128"/>
        <v>0</v>
      </c>
      <c r="AX286" s="28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282">
        <f t="shared" si="127"/>
        <v>0</v>
      </c>
      <c r="AW287" s="282">
        <f t="shared" si="128"/>
        <v>0</v>
      </c>
      <c r="AX287" s="28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282">
        <f t="shared" si="127"/>
        <v>0</v>
      </c>
      <c r="AW288" s="282">
        <f t="shared" si="128"/>
        <v>0</v>
      </c>
      <c r="AX288" s="28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282">
        <f t="shared" si="127"/>
        <v>0</v>
      </c>
      <c r="AW289" s="282">
        <f t="shared" si="128"/>
        <v>0</v>
      </c>
      <c r="AX289" s="28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282">
        <f t="shared" si="127"/>
        <v>0</v>
      </c>
      <c r="AW290" s="282">
        <f t="shared" si="128"/>
        <v>0</v>
      </c>
      <c r="AX290" s="28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282">
        <f t="shared" si="127"/>
        <v>0</v>
      </c>
      <c r="AW291" s="282">
        <f t="shared" si="128"/>
        <v>0</v>
      </c>
      <c r="AX291" s="28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282">
        <f t="shared" si="127"/>
        <v>0</v>
      </c>
      <c r="AW292" s="282">
        <f t="shared" si="128"/>
        <v>0</v>
      </c>
      <c r="AX292" s="28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282">
        <f t="shared" si="127"/>
        <v>0</v>
      </c>
      <c r="AW293" s="282">
        <f t="shared" si="128"/>
        <v>0</v>
      </c>
      <c r="AX293" s="28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282">
        <f t="shared" si="127"/>
        <v>0</v>
      </c>
      <c r="AW294" s="282">
        <f t="shared" si="128"/>
        <v>0</v>
      </c>
      <c r="AX294" s="28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282">
        <f t="shared" si="127"/>
        <v>0</v>
      </c>
      <c r="AW295" s="282">
        <f t="shared" si="128"/>
        <v>0</v>
      </c>
      <c r="AX295" s="28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282">
        <f t="shared" si="127"/>
        <v>0</v>
      </c>
      <c r="AW296" s="282">
        <f t="shared" si="128"/>
        <v>0</v>
      </c>
      <c r="AX296" s="28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282">
        <f t="shared" si="127"/>
        <v>0</v>
      </c>
      <c r="AW297" s="282">
        <f t="shared" si="128"/>
        <v>0</v>
      </c>
      <c r="AX297" s="28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282">
        <f t="shared" si="127"/>
        <v>0</v>
      </c>
      <c r="AW298" s="282">
        <f t="shared" si="128"/>
        <v>0</v>
      </c>
      <c r="AX298" s="28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282">
        <f t="shared" si="127"/>
        <v>0</v>
      </c>
      <c r="AW299" s="282">
        <f t="shared" si="128"/>
        <v>0</v>
      </c>
      <c r="AX299" s="28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282">
        <f t="shared" si="127"/>
        <v>0</v>
      </c>
      <c r="AW300" s="282">
        <f t="shared" si="128"/>
        <v>0</v>
      </c>
      <c r="AX300" s="28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282">
        <f t="shared" si="127"/>
        <v>0</v>
      </c>
      <c r="AW301" s="282">
        <f t="shared" si="128"/>
        <v>0</v>
      </c>
      <c r="AX301" s="28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282">
        <f t="shared" si="127"/>
        <v>0</v>
      </c>
      <c r="AW302" s="282">
        <f t="shared" si="128"/>
        <v>0</v>
      </c>
      <c r="AX302" s="28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282">
        <f t="shared" ref="AV303:AV334" si="178">A303</f>
        <v>0</v>
      </c>
      <c r="AW303" s="282">
        <f t="shared" ref="AW303:AW334" si="179">B303</f>
        <v>0</v>
      </c>
      <c r="AX303" s="28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282">
        <f t="shared" si="178"/>
        <v>0</v>
      </c>
      <c r="AW304" s="282">
        <f t="shared" si="179"/>
        <v>0</v>
      </c>
      <c r="AX304" s="28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282">
        <f t="shared" si="178"/>
        <v>0</v>
      </c>
      <c r="AW305" s="282">
        <f t="shared" si="179"/>
        <v>0</v>
      </c>
      <c r="AX305" s="28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282">
        <f t="shared" si="178"/>
        <v>0</v>
      </c>
      <c r="AW306" s="282">
        <f t="shared" si="179"/>
        <v>0</v>
      </c>
      <c r="AX306" s="28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282">
        <f t="shared" si="178"/>
        <v>0</v>
      </c>
      <c r="AW307" s="282">
        <f t="shared" si="179"/>
        <v>0</v>
      </c>
      <c r="AX307" s="28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282">
        <f t="shared" si="178"/>
        <v>0</v>
      </c>
      <c r="AW308" s="282">
        <f t="shared" si="179"/>
        <v>0</v>
      </c>
      <c r="AX308" s="28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282">
        <f t="shared" si="178"/>
        <v>0</v>
      </c>
      <c r="AW309" s="282">
        <f t="shared" si="179"/>
        <v>0</v>
      </c>
      <c r="AX309" s="28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282">
        <f t="shared" si="178"/>
        <v>0</v>
      </c>
      <c r="AW310" s="282">
        <f t="shared" si="179"/>
        <v>0</v>
      </c>
      <c r="AX310" s="28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282">
        <f t="shared" si="178"/>
        <v>0</v>
      </c>
      <c r="AW311" s="282">
        <f t="shared" si="179"/>
        <v>0</v>
      </c>
      <c r="AX311" s="28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282">
        <f t="shared" si="178"/>
        <v>0</v>
      </c>
      <c r="AW312" s="282">
        <f t="shared" si="179"/>
        <v>0</v>
      </c>
      <c r="AX312" s="28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282">
        <f t="shared" si="178"/>
        <v>0</v>
      </c>
      <c r="AW313" s="282">
        <f t="shared" si="179"/>
        <v>0</v>
      </c>
      <c r="AX313" s="28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282">
        <f t="shared" si="178"/>
        <v>0</v>
      </c>
      <c r="AW314" s="282">
        <f t="shared" si="179"/>
        <v>0</v>
      </c>
      <c r="AX314" s="28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282">
        <f t="shared" si="178"/>
        <v>0</v>
      </c>
      <c r="AW315" s="282">
        <f t="shared" si="179"/>
        <v>0</v>
      </c>
      <c r="AX315" s="28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282">
        <f t="shared" si="178"/>
        <v>0</v>
      </c>
      <c r="AW316" s="282">
        <f t="shared" si="179"/>
        <v>0</v>
      </c>
      <c r="AX316" s="28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282">
        <f t="shared" si="178"/>
        <v>0</v>
      </c>
      <c r="AW317" s="282">
        <f t="shared" si="179"/>
        <v>0</v>
      </c>
      <c r="AX317" s="28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282">
        <f t="shared" si="178"/>
        <v>0</v>
      </c>
      <c r="AW318" s="282">
        <f t="shared" si="179"/>
        <v>0</v>
      </c>
      <c r="AX318" s="28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282">
        <f t="shared" si="178"/>
        <v>0</v>
      </c>
      <c r="AW319" s="282">
        <f t="shared" si="179"/>
        <v>0</v>
      </c>
      <c r="AX319" s="28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282">
        <f t="shared" si="178"/>
        <v>0</v>
      </c>
      <c r="AW320" s="282">
        <f t="shared" si="179"/>
        <v>0</v>
      </c>
      <c r="AX320" s="28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282">
        <f t="shared" si="178"/>
        <v>0</v>
      </c>
      <c r="AW321" s="282">
        <f t="shared" si="179"/>
        <v>0</v>
      </c>
      <c r="AX321" s="28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282">
        <f t="shared" si="178"/>
        <v>0</v>
      </c>
      <c r="AW322" s="282">
        <f t="shared" si="179"/>
        <v>0</v>
      </c>
      <c r="AX322" s="28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282">
        <f t="shared" si="178"/>
        <v>0</v>
      </c>
      <c r="AW323" s="282">
        <f t="shared" si="179"/>
        <v>0</v>
      </c>
      <c r="AX323" s="28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282">
        <f t="shared" si="178"/>
        <v>0</v>
      </c>
      <c r="AW324" s="282">
        <f t="shared" si="179"/>
        <v>0</v>
      </c>
      <c r="AX324" s="28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282">
        <f t="shared" si="178"/>
        <v>0</v>
      </c>
      <c r="AW325" s="282">
        <f t="shared" si="179"/>
        <v>0</v>
      </c>
      <c r="AX325" s="28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282">
        <f t="shared" si="178"/>
        <v>0</v>
      </c>
      <c r="AW326" s="282">
        <f t="shared" si="179"/>
        <v>0</v>
      </c>
      <c r="AX326" s="28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282">
        <f t="shared" si="178"/>
        <v>0</v>
      </c>
      <c r="AW327" s="282">
        <f t="shared" si="179"/>
        <v>0</v>
      </c>
      <c r="AX327" s="28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282">
        <f t="shared" si="178"/>
        <v>0</v>
      </c>
      <c r="AW328" s="282">
        <f t="shared" si="179"/>
        <v>0</v>
      </c>
      <c r="AX328" s="28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282">
        <f t="shared" si="178"/>
        <v>0</v>
      </c>
      <c r="AW329" s="282">
        <f t="shared" si="179"/>
        <v>0</v>
      </c>
      <c r="AX329" s="28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282">
        <f t="shared" si="178"/>
        <v>0</v>
      </c>
      <c r="AW330" s="282">
        <f t="shared" si="179"/>
        <v>0</v>
      </c>
      <c r="AX330" s="28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282">
        <f t="shared" si="178"/>
        <v>0</v>
      </c>
      <c r="AW331" s="282">
        <f t="shared" si="179"/>
        <v>0</v>
      </c>
      <c r="AX331" s="28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282">
        <f t="shared" si="178"/>
        <v>0</v>
      </c>
      <c r="AW332" s="282">
        <f t="shared" si="179"/>
        <v>0</v>
      </c>
      <c r="AX332" s="28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282">
        <f t="shared" si="178"/>
        <v>0</v>
      </c>
      <c r="AW333" s="282">
        <f t="shared" si="179"/>
        <v>0</v>
      </c>
      <c r="AX333" s="28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282">
        <f t="shared" si="178"/>
        <v>0</v>
      </c>
      <c r="AW334" s="282">
        <f t="shared" si="179"/>
        <v>0</v>
      </c>
      <c r="AX334" s="28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282">
        <f t="shared" ref="AV335:AV366" si="207">A335</f>
        <v>0</v>
      </c>
      <c r="AW335" s="282">
        <f t="shared" ref="AW335:AW366" si="208">B335</f>
        <v>0</v>
      </c>
      <c r="AX335" s="28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282">
        <f t="shared" si="207"/>
        <v>0</v>
      </c>
      <c r="AW336" s="282">
        <f t="shared" si="208"/>
        <v>0</v>
      </c>
      <c r="AX336" s="28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282">
        <f t="shared" si="207"/>
        <v>0</v>
      </c>
      <c r="AW337" s="282">
        <f t="shared" si="208"/>
        <v>0</v>
      </c>
      <c r="AX337" s="28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282">
        <f t="shared" si="207"/>
        <v>0</v>
      </c>
      <c r="AW338" s="282">
        <f t="shared" si="208"/>
        <v>0</v>
      </c>
      <c r="AX338" s="28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282">
        <f t="shared" si="207"/>
        <v>0</v>
      </c>
      <c r="AW339" s="282">
        <f t="shared" si="208"/>
        <v>0</v>
      </c>
      <c r="AX339" s="28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282">
        <f t="shared" si="207"/>
        <v>0</v>
      </c>
      <c r="AW340" s="282">
        <f t="shared" si="208"/>
        <v>0</v>
      </c>
      <c r="AX340" s="28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282">
        <f t="shared" si="207"/>
        <v>0</v>
      </c>
      <c r="AW341" s="282">
        <f t="shared" si="208"/>
        <v>0</v>
      </c>
      <c r="AX341" s="28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282">
        <f t="shared" si="207"/>
        <v>0</v>
      </c>
      <c r="AW342" s="282">
        <f t="shared" si="208"/>
        <v>0</v>
      </c>
      <c r="AX342" s="28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282">
        <f t="shared" si="207"/>
        <v>0</v>
      </c>
      <c r="AW343" s="282">
        <f t="shared" si="208"/>
        <v>0</v>
      </c>
      <c r="AX343" s="28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282">
        <f t="shared" si="207"/>
        <v>0</v>
      </c>
      <c r="AW344" s="282">
        <f t="shared" si="208"/>
        <v>0</v>
      </c>
      <c r="AX344" s="28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282">
        <f t="shared" si="207"/>
        <v>0</v>
      </c>
      <c r="AW345" s="282">
        <f t="shared" si="208"/>
        <v>0</v>
      </c>
      <c r="AX345" s="28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282">
        <f t="shared" si="207"/>
        <v>0</v>
      </c>
      <c r="AW346" s="282">
        <f t="shared" si="208"/>
        <v>0</v>
      </c>
      <c r="AX346" s="28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282">
        <f t="shared" si="207"/>
        <v>0</v>
      </c>
      <c r="AW347" s="282">
        <f t="shared" si="208"/>
        <v>0</v>
      </c>
      <c r="AX347" s="28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282">
        <f t="shared" si="207"/>
        <v>0</v>
      </c>
      <c r="AW348" s="282">
        <f t="shared" si="208"/>
        <v>0</v>
      </c>
      <c r="AX348" s="28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282">
        <f t="shared" si="207"/>
        <v>0</v>
      </c>
      <c r="AW349" s="282">
        <f t="shared" si="208"/>
        <v>0</v>
      </c>
      <c r="AX349" s="28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282">
        <f t="shared" si="207"/>
        <v>0</v>
      </c>
      <c r="AW350" s="282">
        <f t="shared" si="208"/>
        <v>0</v>
      </c>
      <c r="AX350" s="28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282">
        <f t="shared" si="207"/>
        <v>0</v>
      </c>
      <c r="AW351" s="282">
        <f t="shared" si="208"/>
        <v>0</v>
      </c>
      <c r="AX351" s="28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282">
        <f t="shared" si="207"/>
        <v>0</v>
      </c>
      <c r="AW352" s="282">
        <f t="shared" si="208"/>
        <v>0</v>
      </c>
      <c r="AX352" s="28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282">
        <f t="shared" si="207"/>
        <v>0</v>
      </c>
      <c r="AW353" s="282">
        <f t="shared" si="208"/>
        <v>0</v>
      </c>
      <c r="AX353" s="28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282">
        <f t="shared" si="207"/>
        <v>0</v>
      </c>
      <c r="AW354" s="282">
        <f t="shared" si="208"/>
        <v>0</v>
      </c>
      <c r="AX354" s="28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282">
        <f t="shared" si="207"/>
        <v>0</v>
      </c>
      <c r="AW355" s="282">
        <f t="shared" si="208"/>
        <v>0</v>
      </c>
      <c r="AX355" s="28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282">
        <f t="shared" si="207"/>
        <v>0</v>
      </c>
      <c r="AW356" s="282">
        <f t="shared" si="208"/>
        <v>0</v>
      </c>
      <c r="AX356" s="28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282">
        <f t="shared" si="207"/>
        <v>0</v>
      </c>
      <c r="AW357" s="282">
        <f t="shared" si="208"/>
        <v>0</v>
      </c>
      <c r="AX357" s="28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282">
        <f t="shared" si="207"/>
        <v>0</v>
      </c>
      <c r="AW358" s="282">
        <f t="shared" si="208"/>
        <v>0</v>
      </c>
      <c r="AX358" s="28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282">
        <f t="shared" si="207"/>
        <v>0</v>
      </c>
      <c r="AW359" s="282">
        <f t="shared" si="208"/>
        <v>0</v>
      </c>
      <c r="AX359" s="28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282">
        <f t="shared" si="207"/>
        <v>0</v>
      </c>
      <c r="AW360" s="282">
        <f t="shared" si="208"/>
        <v>0</v>
      </c>
      <c r="AX360" s="28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282">
        <f t="shared" si="207"/>
        <v>0</v>
      </c>
      <c r="AW361" s="282">
        <f t="shared" si="208"/>
        <v>0</v>
      </c>
      <c r="AX361" s="28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282">
        <f t="shared" si="207"/>
        <v>0</v>
      </c>
      <c r="AW362" s="282">
        <f t="shared" si="208"/>
        <v>0</v>
      </c>
      <c r="AX362" s="28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282">
        <f t="shared" si="207"/>
        <v>0</v>
      </c>
      <c r="AW363" s="282">
        <f t="shared" si="208"/>
        <v>0</v>
      </c>
      <c r="AX363" s="28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282">
        <f t="shared" si="207"/>
        <v>0</v>
      </c>
      <c r="AW364" s="282">
        <f t="shared" si="208"/>
        <v>0</v>
      </c>
      <c r="AX364" s="28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282">
        <f t="shared" si="207"/>
        <v>0</v>
      </c>
      <c r="AW365" s="282">
        <f t="shared" si="208"/>
        <v>0</v>
      </c>
      <c r="AX365" s="28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282">
        <f t="shared" si="207"/>
        <v>0</v>
      </c>
      <c r="AW366" s="282">
        <f t="shared" si="208"/>
        <v>0</v>
      </c>
      <c r="AX366" s="28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282">
        <f t="shared" ref="AV367:AV397" si="236">A367</f>
        <v>0</v>
      </c>
      <c r="AW367" s="282">
        <f t="shared" ref="AW367:AW397" si="237">B367</f>
        <v>0</v>
      </c>
      <c r="AX367" s="28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282">
        <f t="shared" si="236"/>
        <v>0</v>
      </c>
      <c r="AW368" s="282">
        <f t="shared" si="237"/>
        <v>0</v>
      </c>
      <c r="AX368" s="28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282">
        <f t="shared" si="236"/>
        <v>0</v>
      </c>
      <c r="AW369" s="282">
        <f t="shared" si="237"/>
        <v>0</v>
      </c>
      <c r="AX369" s="28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282">
        <f t="shared" si="236"/>
        <v>0</v>
      </c>
      <c r="AW370" s="282">
        <f t="shared" si="237"/>
        <v>0</v>
      </c>
      <c r="AX370" s="28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282">
        <f t="shared" si="236"/>
        <v>0</v>
      </c>
      <c r="AW371" s="282">
        <f t="shared" si="237"/>
        <v>0</v>
      </c>
      <c r="AX371" s="28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282">
        <f t="shared" si="236"/>
        <v>0</v>
      </c>
      <c r="AW372" s="282">
        <f t="shared" si="237"/>
        <v>0</v>
      </c>
      <c r="AX372" s="28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282">
        <f t="shared" si="236"/>
        <v>0</v>
      </c>
      <c r="AW373" s="282">
        <f t="shared" si="237"/>
        <v>0</v>
      </c>
      <c r="AX373" s="28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282">
        <f t="shared" si="236"/>
        <v>0</v>
      </c>
      <c r="AW374" s="282">
        <f t="shared" si="237"/>
        <v>0</v>
      </c>
      <c r="AX374" s="28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282">
        <f t="shared" si="236"/>
        <v>0</v>
      </c>
      <c r="AW375" s="282">
        <f t="shared" si="237"/>
        <v>0</v>
      </c>
      <c r="AX375" s="28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282">
        <f t="shared" si="236"/>
        <v>0</v>
      </c>
      <c r="AW376" s="282">
        <f t="shared" si="237"/>
        <v>0</v>
      </c>
      <c r="AX376" s="28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282">
        <f t="shared" si="236"/>
        <v>0</v>
      </c>
      <c r="AW377" s="282">
        <f t="shared" si="237"/>
        <v>0</v>
      </c>
      <c r="AX377" s="28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282">
        <f t="shared" si="236"/>
        <v>0</v>
      </c>
      <c r="AW378" s="282">
        <f t="shared" si="237"/>
        <v>0</v>
      </c>
      <c r="AX378" s="28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282">
        <f t="shared" si="236"/>
        <v>0</v>
      </c>
      <c r="AW379" s="282">
        <f t="shared" si="237"/>
        <v>0</v>
      </c>
      <c r="AX379" s="28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282">
        <f t="shared" si="236"/>
        <v>0</v>
      </c>
      <c r="AW380" s="282">
        <f t="shared" si="237"/>
        <v>0</v>
      </c>
      <c r="AX380" s="28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282">
        <f t="shared" si="236"/>
        <v>0</v>
      </c>
      <c r="AW381" s="282">
        <f t="shared" si="237"/>
        <v>0</v>
      </c>
      <c r="AX381" s="28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282">
        <f t="shared" si="236"/>
        <v>0</v>
      </c>
      <c r="AW382" s="282">
        <f t="shared" si="237"/>
        <v>0</v>
      </c>
      <c r="AX382" s="28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282">
        <f t="shared" si="236"/>
        <v>0</v>
      </c>
      <c r="AW383" s="282">
        <f t="shared" si="237"/>
        <v>0</v>
      </c>
      <c r="AX383" s="28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282">
        <f t="shared" si="236"/>
        <v>0</v>
      </c>
      <c r="AW384" s="282">
        <f t="shared" si="237"/>
        <v>0</v>
      </c>
      <c r="AX384" s="28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282">
        <f t="shared" si="236"/>
        <v>0</v>
      </c>
      <c r="AW385" s="282">
        <f t="shared" si="237"/>
        <v>0</v>
      </c>
      <c r="AX385" s="28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282">
        <f t="shared" si="236"/>
        <v>0</v>
      </c>
      <c r="AW386" s="282">
        <f t="shared" si="237"/>
        <v>0</v>
      </c>
      <c r="AX386" s="28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282">
        <f t="shared" si="236"/>
        <v>0</v>
      </c>
      <c r="AW387" s="282">
        <f t="shared" si="237"/>
        <v>0</v>
      </c>
      <c r="AX387" s="28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282">
        <f t="shared" si="236"/>
        <v>0</v>
      </c>
      <c r="AW388" s="282">
        <f t="shared" si="237"/>
        <v>0</v>
      </c>
      <c r="AX388" s="28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282">
        <f t="shared" si="236"/>
        <v>0</v>
      </c>
      <c r="AW389" s="282">
        <f t="shared" si="237"/>
        <v>0</v>
      </c>
      <c r="AX389" s="28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282">
        <f t="shared" si="236"/>
        <v>0</v>
      </c>
      <c r="AW390" s="282">
        <f t="shared" si="237"/>
        <v>0</v>
      </c>
      <c r="AX390" s="28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282">
        <f t="shared" si="236"/>
        <v>0</v>
      </c>
      <c r="AW391" s="282">
        <f t="shared" si="237"/>
        <v>0</v>
      </c>
      <c r="AX391" s="28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282">
        <f t="shared" si="236"/>
        <v>0</v>
      </c>
      <c r="AW392" s="282">
        <f t="shared" si="237"/>
        <v>0</v>
      </c>
      <c r="AX392" s="28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282">
        <f t="shared" si="236"/>
        <v>0</v>
      </c>
      <c r="AW393" s="282">
        <f t="shared" si="237"/>
        <v>0</v>
      </c>
      <c r="AX393" s="28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282">
        <f t="shared" si="236"/>
        <v>0</v>
      </c>
      <c r="AW394" s="282">
        <f t="shared" si="237"/>
        <v>0</v>
      </c>
      <c r="AX394" s="28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282">
        <f t="shared" si="236"/>
        <v>0</v>
      </c>
      <c r="AW395" s="282">
        <f t="shared" si="237"/>
        <v>0</v>
      </c>
      <c r="AX395" s="28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282">
        <f t="shared" si="236"/>
        <v>0</v>
      </c>
      <c r="AW396" s="282">
        <f t="shared" si="237"/>
        <v>0</v>
      </c>
      <c r="AX396" s="28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282">
        <f t="shared" si="236"/>
        <v>0</v>
      </c>
      <c r="AW397" s="282">
        <f t="shared" si="237"/>
        <v>0</v>
      </c>
      <c r="AX397" s="28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282">
        <f t="shared" ref="AV398:AV492" si="243">A398</f>
        <v>0</v>
      </c>
      <c r="AW398" s="282">
        <f t="shared" ref="AW398:AW492" si="244">B398</f>
        <v>0</v>
      </c>
      <c r="AX398" s="28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282">
        <f t="shared" si="243"/>
        <v>0</v>
      </c>
      <c r="AW399" s="282">
        <f t="shared" si="244"/>
        <v>0</v>
      </c>
      <c r="AX399" s="28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282">
        <f t="shared" si="243"/>
        <v>0</v>
      </c>
      <c r="AW400" s="282">
        <f t="shared" si="244"/>
        <v>0</v>
      </c>
      <c r="AX400" s="28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282">
        <f t="shared" si="243"/>
        <v>0</v>
      </c>
      <c r="AW401" s="282">
        <f t="shared" si="244"/>
        <v>0</v>
      </c>
      <c r="AX401" s="28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282">
        <f t="shared" si="243"/>
        <v>0</v>
      </c>
      <c r="AW402" s="282">
        <f t="shared" si="244"/>
        <v>0</v>
      </c>
      <c r="AX402" s="28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282">
        <f t="shared" si="243"/>
        <v>0</v>
      </c>
      <c r="AW403" s="282">
        <f t="shared" si="244"/>
        <v>0</v>
      </c>
      <c r="AX403" s="28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282">
        <f t="shared" si="243"/>
        <v>0</v>
      </c>
      <c r="AW404" s="282">
        <f t="shared" si="244"/>
        <v>0</v>
      </c>
      <c r="AX404" s="28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282">
        <f t="shared" si="243"/>
        <v>0</v>
      </c>
      <c r="AW405" s="282">
        <f t="shared" si="244"/>
        <v>0</v>
      </c>
      <c r="AX405" s="28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282">
        <f t="shared" si="243"/>
        <v>0</v>
      </c>
      <c r="AW406" s="282">
        <f t="shared" si="244"/>
        <v>0</v>
      </c>
      <c r="AX406" s="28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282">
        <f t="shared" si="243"/>
        <v>0</v>
      </c>
      <c r="AW407" s="282">
        <f t="shared" si="244"/>
        <v>0</v>
      </c>
      <c r="AX407" s="28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282">
        <f t="shared" si="243"/>
        <v>0</v>
      </c>
      <c r="AW408" s="282">
        <f t="shared" si="244"/>
        <v>0</v>
      </c>
      <c r="AX408" s="28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282">
        <f t="shared" si="243"/>
        <v>0</v>
      </c>
      <c r="AW409" s="282">
        <f t="shared" si="244"/>
        <v>0</v>
      </c>
      <c r="AX409" s="28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282">
        <f t="shared" si="243"/>
        <v>0</v>
      </c>
      <c r="AW410" s="282">
        <f t="shared" si="244"/>
        <v>0</v>
      </c>
      <c r="AX410" s="28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282">
        <f t="shared" si="243"/>
        <v>0</v>
      </c>
      <c r="AW411" s="282">
        <f t="shared" si="244"/>
        <v>0</v>
      </c>
      <c r="AX411" s="28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282">
        <f t="shared" si="243"/>
        <v>0</v>
      </c>
      <c r="AW412" s="282">
        <f t="shared" si="244"/>
        <v>0</v>
      </c>
      <c r="AX412" s="28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282">
        <f t="shared" si="243"/>
        <v>0</v>
      </c>
      <c r="AW413" s="282">
        <f t="shared" si="244"/>
        <v>0</v>
      </c>
      <c r="AX413" s="28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282">
        <f t="shared" si="243"/>
        <v>0</v>
      </c>
      <c r="AW414" s="282">
        <f t="shared" si="244"/>
        <v>0</v>
      </c>
      <c r="AX414" s="28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282">
        <f t="shared" si="243"/>
        <v>0</v>
      </c>
      <c r="AW415" s="282">
        <f t="shared" si="244"/>
        <v>0</v>
      </c>
      <c r="AX415" s="28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282">
        <f t="shared" si="243"/>
        <v>0</v>
      </c>
      <c r="AW416" s="282">
        <f t="shared" si="244"/>
        <v>0</v>
      </c>
      <c r="AX416" s="28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282">
        <f t="shared" si="243"/>
        <v>0</v>
      </c>
      <c r="AW417" s="282">
        <f t="shared" si="244"/>
        <v>0</v>
      </c>
      <c r="AX417" s="28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282">
        <f t="shared" si="243"/>
        <v>0</v>
      </c>
      <c r="AW418" s="282">
        <f t="shared" si="244"/>
        <v>0</v>
      </c>
      <c r="AX418" s="28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282">
        <f t="shared" si="243"/>
        <v>0</v>
      </c>
      <c r="AW419" s="282">
        <f t="shared" si="244"/>
        <v>0</v>
      </c>
      <c r="AX419" s="28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282">
        <f t="shared" si="243"/>
        <v>0</v>
      </c>
      <c r="AW420" s="282">
        <f t="shared" si="244"/>
        <v>0</v>
      </c>
      <c r="AX420" s="28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282">
        <f t="shared" si="243"/>
        <v>0</v>
      </c>
      <c r="AW421" s="282">
        <f t="shared" si="244"/>
        <v>0</v>
      </c>
      <c r="AX421" s="28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282">
        <f t="shared" si="243"/>
        <v>0</v>
      </c>
      <c r="AW422" s="282">
        <f t="shared" si="244"/>
        <v>0</v>
      </c>
      <c r="AX422" s="28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282">
        <f t="shared" si="243"/>
        <v>0</v>
      </c>
      <c r="AW423" s="282">
        <f t="shared" si="244"/>
        <v>0</v>
      </c>
      <c r="AX423" s="28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282">
        <f t="shared" si="243"/>
        <v>0</v>
      </c>
      <c r="AW424" s="282">
        <f t="shared" si="244"/>
        <v>0</v>
      </c>
      <c r="AX424" s="28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282">
        <f t="shared" si="243"/>
        <v>0</v>
      </c>
      <c r="AW425" s="282">
        <f t="shared" si="244"/>
        <v>0</v>
      </c>
      <c r="AX425" s="28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282">
        <f t="shared" si="243"/>
        <v>0</v>
      </c>
      <c r="AW426" s="282">
        <f t="shared" si="244"/>
        <v>0</v>
      </c>
      <c r="AX426" s="28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282">
        <f t="shared" si="243"/>
        <v>0</v>
      </c>
      <c r="AW427" s="282">
        <f t="shared" si="244"/>
        <v>0</v>
      </c>
      <c r="AX427" s="28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282">
        <f t="shared" si="243"/>
        <v>0</v>
      </c>
      <c r="AW428" s="282">
        <f t="shared" si="244"/>
        <v>0</v>
      </c>
      <c r="AX428" s="28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282">
        <f t="shared" si="243"/>
        <v>0</v>
      </c>
      <c r="AW429" s="282">
        <f t="shared" si="244"/>
        <v>0</v>
      </c>
      <c r="AX429" s="28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282">
        <f t="shared" si="243"/>
        <v>0</v>
      </c>
      <c r="AW430" s="282">
        <f t="shared" si="244"/>
        <v>0</v>
      </c>
      <c r="AX430" s="28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282">
        <f t="shared" si="243"/>
        <v>0</v>
      </c>
      <c r="AW431" s="282">
        <f t="shared" si="244"/>
        <v>0</v>
      </c>
      <c r="AX431" s="28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282">
        <f t="shared" si="243"/>
        <v>0</v>
      </c>
      <c r="AW432" s="282">
        <f t="shared" si="244"/>
        <v>0</v>
      </c>
      <c r="AX432" s="28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282">
        <f t="shared" si="243"/>
        <v>0</v>
      </c>
      <c r="AW433" s="282">
        <f t="shared" si="244"/>
        <v>0</v>
      </c>
      <c r="AX433" s="28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282">
        <f t="shared" si="243"/>
        <v>0</v>
      </c>
      <c r="AW434" s="282">
        <f t="shared" si="244"/>
        <v>0</v>
      </c>
      <c r="AX434" s="28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282">
        <f t="shared" si="243"/>
        <v>0</v>
      </c>
      <c r="AW435" s="282">
        <f t="shared" si="244"/>
        <v>0</v>
      </c>
      <c r="AX435" s="28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282">
        <f t="shared" si="243"/>
        <v>0</v>
      </c>
      <c r="AW436" s="282">
        <f t="shared" si="244"/>
        <v>0</v>
      </c>
      <c r="AX436" s="28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282">
        <f t="shared" si="243"/>
        <v>0</v>
      </c>
      <c r="AW437" s="282">
        <f t="shared" si="244"/>
        <v>0</v>
      </c>
      <c r="AX437" s="28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282">
        <f t="shared" si="243"/>
        <v>0</v>
      </c>
      <c r="AW438" s="282">
        <f t="shared" si="244"/>
        <v>0</v>
      </c>
      <c r="AX438" s="28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282">
        <f t="shared" si="243"/>
        <v>0</v>
      </c>
      <c r="AW439" s="282">
        <f t="shared" si="244"/>
        <v>0</v>
      </c>
      <c r="AX439" s="28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282">
        <f t="shared" si="243"/>
        <v>0</v>
      </c>
      <c r="AW440" s="282">
        <f t="shared" si="244"/>
        <v>0</v>
      </c>
      <c r="AX440" s="28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282">
        <f t="shared" si="243"/>
        <v>0</v>
      </c>
      <c r="AW441" s="282">
        <f t="shared" si="244"/>
        <v>0</v>
      </c>
      <c r="AX441" s="28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282">
        <f t="shared" si="243"/>
        <v>0</v>
      </c>
      <c r="AW442" s="282">
        <f t="shared" si="244"/>
        <v>0</v>
      </c>
      <c r="AX442" s="28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282">
        <f t="shared" si="243"/>
        <v>0</v>
      </c>
      <c r="AW443" s="282">
        <f t="shared" si="244"/>
        <v>0</v>
      </c>
      <c r="AX443" s="28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282">
        <f t="shared" si="243"/>
        <v>0</v>
      </c>
      <c r="AW444" s="282">
        <f t="shared" si="244"/>
        <v>0</v>
      </c>
      <c r="AX444" s="28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282">
        <f t="shared" si="243"/>
        <v>0</v>
      </c>
      <c r="AW445" s="282">
        <f t="shared" si="244"/>
        <v>0</v>
      </c>
      <c r="AX445" s="28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282">
        <f t="shared" si="243"/>
        <v>0</v>
      </c>
      <c r="AW446" s="282">
        <f t="shared" si="244"/>
        <v>0</v>
      </c>
      <c r="AX446" s="28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282">
        <f t="shared" si="243"/>
        <v>0</v>
      </c>
      <c r="AW447" s="282">
        <f t="shared" si="244"/>
        <v>0</v>
      </c>
      <c r="AX447" s="28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282">
        <f t="shared" si="243"/>
        <v>0</v>
      </c>
      <c r="AW448" s="282">
        <f t="shared" si="244"/>
        <v>0</v>
      </c>
      <c r="AX448" s="28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282">
        <f t="shared" si="243"/>
        <v>0</v>
      </c>
      <c r="AW449" s="282">
        <f t="shared" si="244"/>
        <v>0</v>
      </c>
      <c r="AX449" s="28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282">
        <f t="shared" si="243"/>
        <v>0</v>
      </c>
      <c r="AW450" s="282">
        <f t="shared" si="244"/>
        <v>0</v>
      </c>
      <c r="AX450" s="28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282">
        <f t="shared" si="243"/>
        <v>0</v>
      </c>
      <c r="AW451" s="282">
        <f t="shared" si="244"/>
        <v>0</v>
      </c>
      <c r="AX451" s="28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282">
        <f t="shared" si="243"/>
        <v>0</v>
      </c>
      <c r="AW452" s="282">
        <f t="shared" si="244"/>
        <v>0</v>
      </c>
      <c r="AX452" s="28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282">
        <f t="shared" si="243"/>
        <v>0</v>
      </c>
      <c r="AW453" s="282">
        <f t="shared" si="244"/>
        <v>0</v>
      </c>
      <c r="AX453" s="28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282">
        <f t="shared" si="243"/>
        <v>0</v>
      </c>
      <c r="AW454" s="282">
        <f t="shared" si="244"/>
        <v>0</v>
      </c>
      <c r="AX454" s="28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282">
        <f t="shared" si="243"/>
        <v>0</v>
      </c>
      <c r="AW455" s="282">
        <f t="shared" si="244"/>
        <v>0</v>
      </c>
      <c r="AX455" s="28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282">
        <f t="shared" si="243"/>
        <v>0</v>
      </c>
      <c r="AW456" s="282">
        <f t="shared" si="244"/>
        <v>0</v>
      </c>
      <c r="AX456" s="28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282">
        <f t="shared" si="243"/>
        <v>0</v>
      </c>
      <c r="AW457" s="282">
        <f t="shared" si="244"/>
        <v>0</v>
      </c>
      <c r="AX457" s="28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282">
        <f t="shared" si="243"/>
        <v>0</v>
      </c>
      <c r="AW458" s="282">
        <f t="shared" si="244"/>
        <v>0</v>
      </c>
      <c r="AX458" s="28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282">
        <f t="shared" si="243"/>
        <v>0</v>
      </c>
      <c r="AW459" s="282">
        <f t="shared" si="244"/>
        <v>0</v>
      </c>
      <c r="AX459" s="28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282">
        <f t="shared" si="243"/>
        <v>0</v>
      </c>
      <c r="AW460" s="282">
        <f t="shared" si="244"/>
        <v>0</v>
      </c>
      <c r="AX460" s="28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282">
        <f t="shared" si="243"/>
        <v>0</v>
      </c>
      <c r="AW461" s="282">
        <f t="shared" si="244"/>
        <v>0</v>
      </c>
      <c r="AX461" s="28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282">
        <f t="shared" si="243"/>
        <v>0</v>
      </c>
      <c r="AW462" s="282">
        <f t="shared" si="244"/>
        <v>0</v>
      </c>
      <c r="AX462" s="28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282">
        <f t="shared" si="243"/>
        <v>0</v>
      </c>
      <c r="AW463" s="282">
        <f t="shared" si="244"/>
        <v>0</v>
      </c>
      <c r="AX463" s="28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282">
        <f t="shared" si="243"/>
        <v>0</v>
      </c>
      <c r="AW464" s="282">
        <f t="shared" si="244"/>
        <v>0</v>
      </c>
      <c r="AX464" s="28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282">
        <f t="shared" si="243"/>
        <v>0</v>
      </c>
      <c r="AW465" s="282">
        <f t="shared" si="244"/>
        <v>0</v>
      </c>
      <c r="AX465" s="28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282">
        <f t="shared" si="243"/>
        <v>0</v>
      </c>
      <c r="AW466" s="282">
        <f t="shared" si="244"/>
        <v>0</v>
      </c>
      <c r="AX466" s="28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282">
        <f t="shared" si="243"/>
        <v>0</v>
      </c>
      <c r="AW467" s="282">
        <f t="shared" si="244"/>
        <v>0</v>
      </c>
      <c r="AX467" s="28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282">
        <f t="shared" si="243"/>
        <v>0</v>
      </c>
      <c r="AW468" s="282">
        <f t="shared" si="244"/>
        <v>0</v>
      </c>
      <c r="AX468" s="28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282">
        <f t="shared" si="243"/>
        <v>0</v>
      </c>
      <c r="AW469" s="282">
        <f t="shared" si="244"/>
        <v>0</v>
      </c>
      <c r="AX469" s="28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282">
        <f t="shared" si="243"/>
        <v>0</v>
      </c>
      <c r="AW470" s="282">
        <f t="shared" si="244"/>
        <v>0</v>
      </c>
      <c r="AX470" s="28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282">
        <f t="shared" si="243"/>
        <v>0</v>
      </c>
      <c r="AW471" s="282">
        <f t="shared" si="244"/>
        <v>0</v>
      </c>
      <c r="AX471" s="28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282">
        <f t="shared" si="243"/>
        <v>0</v>
      </c>
      <c r="AW472" s="282">
        <f t="shared" si="244"/>
        <v>0</v>
      </c>
      <c r="AX472" s="28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282">
        <f t="shared" si="243"/>
        <v>0</v>
      </c>
      <c r="AW473" s="282">
        <f t="shared" si="244"/>
        <v>0</v>
      </c>
      <c r="AX473" s="28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282">
        <f t="shared" si="243"/>
        <v>0</v>
      </c>
      <c r="AW474" s="282">
        <f t="shared" si="244"/>
        <v>0</v>
      </c>
      <c r="AX474" s="28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282">
        <f t="shared" si="243"/>
        <v>0</v>
      </c>
      <c r="AW475" s="282">
        <f t="shared" si="244"/>
        <v>0</v>
      </c>
      <c r="AX475" s="28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282">
        <f t="shared" si="243"/>
        <v>0</v>
      </c>
      <c r="AW476" s="282">
        <f t="shared" si="244"/>
        <v>0</v>
      </c>
      <c r="AX476" s="28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282">
        <f t="shared" si="243"/>
        <v>0</v>
      </c>
      <c r="AW477" s="282">
        <f t="shared" si="244"/>
        <v>0</v>
      </c>
      <c r="AX477" s="28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282">
        <f t="shared" si="243"/>
        <v>0</v>
      </c>
      <c r="AW478" s="282">
        <f t="shared" si="244"/>
        <v>0</v>
      </c>
      <c r="AX478" s="28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282">
        <f t="shared" si="243"/>
        <v>0</v>
      </c>
      <c r="AW479" s="282">
        <f t="shared" si="244"/>
        <v>0</v>
      </c>
      <c r="AX479" s="28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282">
        <f t="shared" si="243"/>
        <v>0</v>
      </c>
      <c r="AW480" s="282">
        <f t="shared" si="244"/>
        <v>0</v>
      </c>
      <c r="AX480" s="28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282">
        <f t="shared" si="243"/>
        <v>0</v>
      </c>
      <c r="AW481" s="282">
        <f t="shared" si="244"/>
        <v>0</v>
      </c>
      <c r="AX481" s="28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282">
        <f t="shared" si="243"/>
        <v>0</v>
      </c>
      <c r="AW482" s="282">
        <f t="shared" si="244"/>
        <v>0</v>
      </c>
      <c r="AX482" s="28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282">
        <f t="shared" si="243"/>
        <v>0</v>
      </c>
      <c r="AW483" s="282">
        <f t="shared" si="244"/>
        <v>0</v>
      </c>
      <c r="AX483" s="28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282">
        <f t="shared" si="243"/>
        <v>0</v>
      </c>
      <c r="AW484" s="282">
        <f t="shared" si="244"/>
        <v>0</v>
      </c>
      <c r="AX484" s="28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282">
        <f t="shared" si="243"/>
        <v>0</v>
      </c>
      <c r="AW485" s="282">
        <f t="shared" si="244"/>
        <v>0</v>
      </c>
      <c r="AX485" s="28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282">
        <f t="shared" si="243"/>
        <v>0</v>
      </c>
      <c r="AW486" s="282">
        <f t="shared" si="244"/>
        <v>0</v>
      </c>
      <c r="AX486" s="28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282">
        <f t="shared" si="243"/>
        <v>0</v>
      </c>
      <c r="AW487" s="282">
        <f t="shared" si="244"/>
        <v>0</v>
      </c>
      <c r="AX487" s="28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282">
        <f t="shared" si="243"/>
        <v>0</v>
      </c>
      <c r="AW488" s="282">
        <f t="shared" si="244"/>
        <v>0</v>
      </c>
      <c r="AX488" s="28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282">
        <f t="shared" si="243"/>
        <v>0</v>
      </c>
      <c r="AW489" s="282">
        <f t="shared" si="244"/>
        <v>0</v>
      </c>
      <c r="AX489" s="28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282">
        <f t="shared" si="243"/>
        <v>0</v>
      </c>
      <c r="AW490" s="282">
        <f t="shared" si="244"/>
        <v>0</v>
      </c>
      <c r="AX490" s="28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282">
        <f t="shared" si="243"/>
        <v>0</v>
      </c>
      <c r="AW491" s="282">
        <f t="shared" si="244"/>
        <v>0</v>
      </c>
      <c r="AX491" s="28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282">
        <f t="shared" si="243"/>
        <v>0</v>
      </c>
      <c r="AW492" s="282">
        <f t="shared" si="244"/>
        <v>0</v>
      </c>
      <c r="AX492" s="28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282">
        <f t="shared" ref="AV493:AV520" si="294">A493</f>
        <v>0</v>
      </c>
      <c r="AW493" s="282">
        <f t="shared" ref="AW493:AW520" si="295">B493</f>
        <v>0</v>
      </c>
      <c r="AX493" s="28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282">
        <f t="shared" si="294"/>
        <v>0</v>
      </c>
      <c r="AW494" s="282">
        <f t="shared" si="295"/>
        <v>0</v>
      </c>
      <c r="AX494" s="28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282">
        <f t="shared" si="294"/>
        <v>0</v>
      </c>
      <c r="AW495" s="282">
        <f t="shared" si="295"/>
        <v>0</v>
      </c>
      <c r="AX495" s="28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282">
        <f t="shared" si="294"/>
        <v>0</v>
      </c>
      <c r="AW496" s="282">
        <f t="shared" si="295"/>
        <v>0</v>
      </c>
      <c r="AX496" s="28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282">
        <f t="shared" si="294"/>
        <v>0</v>
      </c>
      <c r="AW497" s="282">
        <f t="shared" si="295"/>
        <v>0</v>
      </c>
      <c r="AX497" s="28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282">
        <f t="shared" si="294"/>
        <v>0</v>
      </c>
      <c r="AW498" s="282">
        <f t="shared" si="295"/>
        <v>0</v>
      </c>
      <c r="AX498" s="28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282">
        <f t="shared" si="294"/>
        <v>0</v>
      </c>
      <c r="AW499" s="282">
        <f t="shared" si="295"/>
        <v>0</v>
      </c>
      <c r="AX499" s="28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282">
        <f t="shared" si="294"/>
        <v>0</v>
      </c>
      <c r="AW500" s="282">
        <f t="shared" si="295"/>
        <v>0</v>
      </c>
      <c r="AX500" s="28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282">
        <f t="shared" si="294"/>
        <v>0</v>
      </c>
      <c r="AW501" s="282">
        <f t="shared" si="295"/>
        <v>0</v>
      </c>
      <c r="AX501" s="28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282">
        <f t="shared" si="294"/>
        <v>0</v>
      </c>
      <c r="AW502" s="282">
        <f t="shared" si="295"/>
        <v>0</v>
      </c>
      <c r="AX502" s="28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282">
        <f t="shared" si="294"/>
        <v>0</v>
      </c>
      <c r="AW503" s="282">
        <f t="shared" si="295"/>
        <v>0</v>
      </c>
      <c r="AX503" s="28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282">
        <f t="shared" si="294"/>
        <v>0</v>
      </c>
      <c r="AW504" s="282">
        <f t="shared" si="295"/>
        <v>0</v>
      </c>
      <c r="AX504" s="28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282">
        <f t="shared" si="294"/>
        <v>0</v>
      </c>
      <c r="AW505" s="282">
        <f t="shared" si="295"/>
        <v>0</v>
      </c>
      <c r="AX505" s="28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282">
        <f t="shared" si="294"/>
        <v>0</v>
      </c>
      <c r="AW506" s="282">
        <f t="shared" si="295"/>
        <v>0</v>
      </c>
      <c r="AX506" s="28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282">
        <f t="shared" si="294"/>
        <v>0</v>
      </c>
      <c r="AW507" s="282">
        <f t="shared" si="295"/>
        <v>0</v>
      </c>
      <c r="AX507" s="28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282">
        <f t="shared" si="294"/>
        <v>0</v>
      </c>
      <c r="AW508" s="282">
        <f t="shared" si="295"/>
        <v>0</v>
      </c>
      <c r="AX508" s="28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282">
        <f t="shared" si="294"/>
        <v>0</v>
      </c>
      <c r="AW509" s="282">
        <f t="shared" si="295"/>
        <v>0</v>
      </c>
      <c r="AX509" s="28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282">
        <f t="shared" si="294"/>
        <v>0</v>
      </c>
      <c r="AW510" s="282">
        <f t="shared" si="295"/>
        <v>0</v>
      </c>
      <c r="AX510" s="28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282">
        <f t="shared" si="294"/>
        <v>0</v>
      </c>
      <c r="AW511" s="282">
        <f t="shared" si="295"/>
        <v>0</v>
      </c>
      <c r="AX511" s="28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282">
        <f t="shared" si="294"/>
        <v>0</v>
      </c>
      <c r="AW512" s="282">
        <f t="shared" si="295"/>
        <v>0</v>
      </c>
      <c r="AX512" s="28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282">
        <f t="shared" si="294"/>
        <v>0</v>
      </c>
      <c r="AW513" s="282">
        <f t="shared" si="295"/>
        <v>0</v>
      </c>
      <c r="AX513" s="28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282">
        <f t="shared" si="294"/>
        <v>0</v>
      </c>
      <c r="AW514" s="282">
        <f t="shared" si="295"/>
        <v>0</v>
      </c>
      <c r="AX514" s="28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282">
        <f t="shared" si="294"/>
        <v>0</v>
      </c>
      <c r="AW515" s="282">
        <f t="shared" si="295"/>
        <v>0</v>
      </c>
      <c r="AX515" s="28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282">
        <f t="shared" si="294"/>
        <v>0</v>
      </c>
      <c r="AW516" s="282">
        <f t="shared" si="295"/>
        <v>0</v>
      </c>
      <c r="AX516" s="28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282">
        <f t="shared" si="294"/>
        <v>0</v>
      </c>
      <c r="AW517" s="282">
        <f t="shared" si="295"/>
        <v>0</v>
      </c>
      <c r="AX517" s="28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282">
        <f t="shared" si="294"/>
        <v>0</v>
      </c>
      <c r="AW518" s="282">
        <f t="shared" si="295"/>
        <v>0</v>
      </c>
      <c r="AX518" s="28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282">
        <f t="shared" si="294"/>
        <v>0</v>
      </c>
      <c r="AW519" s="282">
        <f t="shared" si="295"/>
        <v>0</v>
      </c>
      <c r="AX519" s="28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282">
        <f t="shared" si="294"/>
        <v>0</v>
      </c>
      <c r="AW520" s="282">
        <f t="shared" si="295"/>
        <v>0</v>
      </c>
      <c r="AX520" s="28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282">
        <f t="shared" ref="AV521:AV552" si="298">A521</f>
        <v>0</v>
      </c>
      <c r="AW521" s="282">
        <f t="shared" ref="AW521:AW552" si="299">B521</f>
        <v>0</v>
      </c>
      <c r="AX521" s="28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282">
        <f t="shared" si="298"/>
        <v>0</v>
      </c>
      <c r="AW522" s="282">
        <f t="shared" si="299"/>
        <v>0</v>
      </c>
      <c r="AX522" s="28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282">
        <f t="shared" si="298"/>
        <v>0</v>
      </c>
      <c r="AW523" s="282">
        <f t="shared" si="299"/>
        <v>0</v>
      </c>
      <c r="AX523" s="28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282">
        <f t="shared" si="298"/>
        <v>0</v>
      </c>
      <c r="AW524" s="282">
        <f t="shared" si="299"/>
        <v>0</v>
      </c>
      <c r="AX524" s="28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282">
        <f t="shared" si="298"/>
        <v>0</v>
      </c>
      <c r="AW525" s="282">
        <f t="shared" si="299"/>
        <v>0</v>
      </c>
      <c r="AX525" s="28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282">
        <f t="shared" si="298"/>
        <v>0</v>
      </c>
      <c r="AW526" s="282">
        <f t="shared" si="299"/>
        <v>0</v>
      </c>
      <c r="AX526" s="28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282">
        <f t="shared" si="298"/>
        <v>0</v>
      </c>
      <c r="AW527" s="282">
        <f t="shared" si="299"/>
        <v>0</v>
      </c>
      <c r="AX527" s="28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282">
        <f t="shared" si="298"/>
        <v>0</v>
      </c>
      <c r="AW528" s="282">
        <f t="shared" si="299"/>
        <v>0</v>
      </c>
      <c r="AX528" s="28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282">
        <f t="shared" si="298"/>
        <v>0</v>
      </c>
      <c r="AW529" s="282">
        <f t="shared" si="299"/>
        <v>0</v>
      </c>
      <c r="AX529" s="28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282">
        <f t="shared" si="298"/>
        <v>0</v>
      </c>
      <c r="AW530" s="282">
        <f t="shared" si="299"/>
        <v>0</v>
      </c>
      <c r="AX530" s="28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282">
        <f t="shared" si="298"/>
        <v>0</v>
      </c>
      <c r="AW531" s="282">
        <f t="shared" si="299"/>
        <v>0</v>
      </c>
      <c r="AX531" s="28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282">
        <f t="shared" si="298"/>
        <v>0</v>
      </c>
      <c r="AW532" s="282">
        <f t="shared" si="299"/>
        <v>0</v>
      </c>
      <c r="AX532" s="28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282">
        <f t="shared" si="298"/>
        <v>0</v>
      </c>
      <c r="AW533" s="282">
        <f t="shared" si="299"/>
        <v>0</v>
      </c>
      <c r="AX533" s="28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282">
        <f t="shared" si="298"/>
        <v>0</v>
      </c>
      <c r="AW534" s="282">
        <f t="shared" si="299"/>
        <v>0</v>
      </c>
      <c r="AX534" s="28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282">
        <f t="shared" si="298"/>
        <v>0</v>
      </c>
      <c r="AW535" s="282">
        <f t="shared" si="299"/>
        <v>0</v>
      </c>
      <c r="AX535" s="28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282">
        <f t="shared" si="298"/>
        <v>0</v>
      </c>
      <c r="AW536" s="282">
        <f t="shared" si="299"/>
        <v>0</v>
      </c>
      <c r="AX536" s="28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282">
        <f t="shared" si="298"/>
        <v>0</v>
      </c>
      <c r="AW537" s="282">
        <f t="shared" si="299"/>
        <v>0</v>
      </c>
      <c r="AX537" s="28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282">
        <f t="shared" si="298"/>
        <v>0</v>
      </c>
      <c r="AW538" s="282">
        <f t="shared" si="299"/>
        <v>0</v>
      </c>
      <c r="AX538" s="28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282">
        <f t="shared" si="298"/>
        <v>0</v>
      </c>
      <c r="AW539" s="282">
        <f t="shared" si="299"/>
        <v>0</v>
      </c>
      <c r="AX539" s="28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282">
        <f t="shared" si="298"/>
        <v>0</v>
      </c>
      <c r="AW540" s="282">
        <f t="shared" si="299"/>
        <v>0</v>
      </c>
      <c r="AX540" s="28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282">
        <f t="shared" si="298"/>
        <v>0</v>
      </c>
      <c r="AW541" s="282">
        <f t="shared" si="299"/>
        <v>0</v>
      </c>
      <c r="AX541" s="28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282">
        <f t="shared" si="298"/>
        <v>0</v>
      </c>
      <c r="AW542" s="282">
        <f t="shared" si="299"/>
        <v>0</v>
      </c>
      <c r="AX542" s="28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282">
        <f t="shared" si="298"/>
        <v>0</v>
      </c>
      <c r="AW543" s="282">
        <f t="shared" si="299"/>
        <v>0</v>
      </c>
      <c r="AX543" s="28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282">
        <f t="shared" si="298"/>
        <v>0</v>
      </c>
      <c r="AW544" s="282">
        <f t="shared" si="299"/>
        <v>0</v>
      </c>
      <c r="AX544" s="28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282">
        <f t="shared" si="298"/>
        <v>0</v>
      </c>
      <c r="AW545" s="282">
        <f t="shared" si="299"/>
        <v>0</v>
      </c>
      <c r="AX545" s="28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282">
        <f t="shared" si="298"/>
        <v>0</v>
      </c>
      <c r="AW546" s="282">
        <f t="shared" si="299"/>
        <v>0</v>
      </c>
      <c r="AX546" s="28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282">
        <f t="shared" si="298"/>
        <v>0</v>
      </c>
      <c r="AW547" s="282">
        <f t="shared" si="299"/>
        <v>0</v>
      </c>
      <c r="AX547" s="28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282">
        <f t="shared" si="298"/>
        <v>0</v>
      </c>
      <c r="AW548" s="282">
        <f t="shared" si="299"/>
        <v>0</v>
      </c>
      <c r="AX548" s="28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282">
        <f t="shared" si="298"/>
        <v>0</v>
      </c>
      <c r="AW549" s="282">
        <f t="shared" si="299"/>
        <v>0</v>
      </c>
      <c r="AX549" s="28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282">
        <f t="shared" si="298"/>
        <v>0</v>
      </c>
      <c r="AW550" s="282">
        <f t="shared" si="299"/>
        <v>0</v>
      </c>
      <c r="AX550" s="28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282">
        <f t="shared" si="298"/>
        <v>0</v>
      </c>
      <c r="AW551" s="282">
        <f t="shared" si="299"/>
        <v>0</v>
      </c>
      <c r="AX551" s="28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282">
        <f t="shared" si="298"/>
        <v>0</v>
      </c>
      <c r="AW552" s="282">
        <f t="shared" si="299"/>
        <v>0</v>
      </c>
      <c r="AX552" s="28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282">
        <f t="shared" ref="AV553:AV587" si="330">A553</f>
        <v>0</v>
      </c>
      <c r="AW553" s="282">
        <f t="shared" ref="AW553:AW587" si="331">B553</f>
        <v>0</v>
      </c>
      <c r="AX553" s="28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282">
        <f t="shared" si="330"/>
        <v>0</v>
      </c>
      <c r="AW554" s="282">
        <f t="shared" si="331"/>
        <v>0</v>
      </c>
      <c r="AX554" s="28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282">
        <f t="shared" si="330"/>
        <v>0</v>
      </c>
      <c r="AW555" s="282">
        <f t="shared" si="331"/>
        <v>0</v>
      </c>
      <c r="AX555" s="28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282">
        <f t="shared" si="330"/>
        <v>0</v>
      </c>
      <c r="AW556" s="282">
        <f t="shared" si="331"/>
        <v>0</v>
      </c>
      <c r="AX556" s="28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282">
        <f t="shared" si="330"/>
        <v>0</v>
      </c>
      <c r="AW557" s="282">
        <f t="shared" si="331"/>
        <v>0</v>
      </c>
      <c r="AX557" s="28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282">
        <f t="shared" si="330"/>
        <v>0</v>
      </c>
      <c r="AW558" s="282">
        <f t="shared" si="331"/>
        <v>0</v>
      </c>
      <c r="AX558" s="28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282">
        <f t="shared" si="330"/>
        <v>0</v>
      </c>
      <c r="AW559" s="282">
        <f t="shared" si="331"/>
        <v>0</v>
      </c>
      <c r="AX559" s="28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282">
        <f t="shared" si="330"/>
        <v>0</v>
      </c>
      <c r="AW560" s="282">
        <f t="shared" si="331"/>
        <v>0</v>
      </c>
      <c r="AX560" s="28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282">
        <f t="shared" si="330"/>
        <v>0</v>
      </c>
      <c r="AW561" s="282">
        <f t="shared" si="331"/>
        <v>0</v>
      </c>
      <c r="AX561" s="28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282">
        <f t="shared" si="330"/>
        <v>0</v>
      </c>
      <c r="AW562" s="282">
        <f t="shared" si="331"/>
        <v>0</v>
      </c>
      <c r="AX562" s="28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282">
        <f t="shared" si="330"/>
        <v>0</v>
      </c>
      <c r="AW563" s="282">
        <f t="shared" si="331"/>
        <v>0</v>
      </c>
      <c r="AX563" s="28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282">
        <f t="shared" si="330"/>
        <v>0</v>
      </c>
      <c r="AW564" s="282">
        <f t="shared" si="331"/>
        <v>0</v>
      </c>
      <c r="AX564" s="28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282">
        <f t="shared" si="330"/>
        <v>0</v>
      </c>
      <c r="AW565" s="282">
        <f t="shared" si="331"/>
        <v>0</v>
      </c>
      <c r="AX565" s="28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282">
        <f t="shared" si="330"/>
        <v>0</v>
      </c>
      <c r="AW566" s="282">
        <f t="shared" si="331"/>
        <v>0</v>
      </c>
      <c r="AX566" s="28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282">
        <f t="shared" si="330"/>
        <v>0</v>
      </c>
      <c r="AW567" s="282">
        <f t="shared" si="331"/>
        <v>0</v>
      </c>
      <c r="AX567" s="28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282">
        <f t="shared" si="330"/>
        <v>0</v>
      </c>
      <c r="AW568" s="282">
        <f t="shared" si="331"/>
        <v>0</v>
      </c>
      <c r="AX568" s="28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282">
        <f t="shared" si="330"/>
        <v>0</v>
      </c>
      <c r="AW569" s="282">
        <f t="shared" si="331"/>
        <v>0</v>
      </c>
      <c r="AX569" s="28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282">
        <f t="shared" si="330"/>
        <v>0</v>
      </c>
      <c r="AW570" s="282">
        <f t="shared" si="331"/>
        <v>0</v>
      </c>
      <c r="AX570" s="28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282">
        <f t="shared" si="330"/>
        <v>0</v>
      </c>
      <c r="AW571" s="282">
        <f t="shared" si="331"/>
        <v>0</v>
      </c>
      <c r="AX571" s="28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282">
        <f t="shared" si="330"/>
        <v>0</v>
      </c>
      <c r="AW572" s="282">
        <f t="shared" si="331"/>
        <v>0</v>
      </c>
      <c r="AX572" s="28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282">
        <f t="shared" si="330"/>
        <v>0</v>
      </c>
      <c r="AW573" s="282">
        <f t="shared" si="331"/>
        <v>0</v>
      </c>
      <c r="AX573" s="28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282">
        <f t="shared" si="330"/>
        <v>0</v>
      </c>
      <c r="AW574" s="282">
        <f t="shared" si="331"/>
        <v>0</v>
      </c>
      <c r="AX574" s="28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282">
        <f t="shared" si="330"/>
        <v>0</v>
      </c>
      <c r="AW575" s="282">
        <f t="shared" si="331"/>
        <v>0</v>
      </c>
      <c r="AX575" s="28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282">
        <f t="shared" si="330"/>
        <v>0</v>
      </c>
      <c r="AW576" s="282">
        <f t="shared" si="331"/>
        <v>0</v>
      </c>
      <c r="AX576" s="28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282">
        <f t="shared" si="330"/>
        <v>0</v>
      </c>
      <c r="AW577" s="282">
        <f t="shared" si="331"/>
        <v>0</v>
      </c>
      <c r="AX577" s="28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282">
        <f t="shared" si="330"/>
        <v>0</v>
      </c>
      <c r="AW578" s="282">
        <f t="shared" si="331"/>
        <v>0</v>
      </c>
      <c r="AX578" s="28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282">
        <f t="shared" si="330"/>
        <v>0</v>
      </c>
      <c r="AW579" s="282">
        <f t="shared" si="331"/>
        <v>0</v>
      </c>
      <c r="AX579" s="28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282">
        <f t="shared" si="330"/>
        <v>0</v>
      </c>
      <c r="AW580" s="282">
        <f t="shared" si="331"/>
        <v>0</v>
      </c>
      <c r="AX580" s="28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282">
        <f t="shared" si="330"/>
        <v>0</v>
      </c>
      <c r="AW581" s="282">
        <f t="shared" si="331"/>
        <v>0</v>
      </c>
      <c r="AX581" s="28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282">
        <f t="shared" si="330"/>
        <v>0</v>
      </c>
      <c r="AW582" s="282">
        <f t="shared" si="331"/>
        <v>0</v>
      </c>
      <c r="AX582" s="28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282">
        <f t="shared" si="330"/>
        <v>0</v>
      </c>
      <c r="AW583" s="282">
        <f t="shared" si="331"/>
        <v>0</v>
      </c>
      <c r="AX583" s="28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282">
        <f t="shared" si="330"/>
        <v>0</v>
      </c>
      <c r="AW584" s="282">
        <f t="shared" si="331"/>
        <v>0</v>
      </c>
      <c r="AX584" s="28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282">
        <f t="shared" si="330"/>
        <v>0</v>
      </c>
      <c r="AW585" s="282">
        <f t="shared" si="331"/>
        <v>0</v>
      </c>
      <c r="AX585" s="28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282">
        <f t="shared" si="330"/>
        <v>0</v>
      </c>
      <c r="AW586" s="282">
        <f t="shared" si="331"/>
        <v>0</v>
      </c>
      <c r="AX586" s="28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282">
        <f t="shared" si="330"/>
        <v>0</v>
      </c>
      <c r="AW587" s="282">
        <f t="shared" si="331"/>
        <v>0</v>
      </c>
      <c r="AX587" s="28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90" t="s">
        <v>556</v>
      </c>
      <c r="B1" s="2676"/>
      <c r="C1" s="2676"/>
      <c r="D1" s="2676"/>
      <c r="E1" s="2676"/>
      <c r="F1" s="2676"/>
      <c r="G1" s="2676"/>
      <c r="H1" s="2676"/>
      <c r="I1" s="2676"/>
      <c r="J1" s="2676"/>
      <c r="K1" s="2676"/>
      <c r="L1" s="2676"/>
      <c r="M1" s="2676"/>
      <c r="N1" s="2676"/>
      <c r="O1" s="2676"/>
      <c r="P1" s="2676"/>
    </row>
    <row r="2" ht="14.4" spans="1:16">
      <c r="A2" s="2507" t="s">
        <v>557</v>
      </c>
      <c r="B2" s="2507"/>
      <c r="C2" s="2507"/>
      <c r="D2" s="2507" t="s">
        <v>558</v>
      </c>
      <c r="E2" s="3172" t="s">
        <v>559</v>
      </c>
      <c r="F2" s="3173"/>
      <c r="G2" s="3174"/>
      <c r="H2" s="3175"/>
      <c r="I2" s="2795" t="s">
        <v>560</v>
      </c>
      <c r="J2" s="3173"/>
      <c r="K2" s="3173"/>
      <c r="L2" s="3173"/>
      <c r="M2" s="3173"/>
      <c r="N2" s="294"/>
      <c r="O2" s="3173"/>
      <c r="P2" s="3173"/>
    </row>
    <row r="3" ht="15.15" spans="1:16">
      <c r="A3" s="3176" t="s">
        <v>561</v>
      </c>
      <c r="B3" s="3176"/>
      <c r="C3" s="3176"/>
      <c r="D3" s="3177">
        <f>'数据-基础表'!AY6</f>
        <v>0</v>
      </c>
      <c r="E3" s="3177">
        <f>'数据-基础表'!AZ5</f>
        <v>444.98</v>
      </c>
      <c r="F3" s="3173"/>
      <c r="G3" s="3178"/>
      <c r="H3" s="2624" t="s">
        <v>562</v>
      </c>
      <c r="I3" s="3241" t="e">
        <f>ROUND('数据-基础表'!B3/'数据-基础表'!A3,2)</f>
        <v>#DIV/0!</v>
      </c>
      <c r="J3" s="3173"/>
      <c r="K3" s="3173"/>
      <c r="L3" s="3173"/>
      <c r="M3" s="3173"/>
      <c r="N3" s="294"/>
      <c r="O3" s="3173"/>
      <c r="P3" s="3173"/>
    </row>
    <row r="4" ht="14.4" spans="1:16">
      <c r="A4" s="2793"/>
      <c r="B4" s="2794"/>
      <c r="C4" s="3179"/>
      <c r="D4" s="3180" t="s">
        <v>558</v>
      </c>
      <c r="E4" s="3181" t="s">
        <v>559</v>
      </c>
      <c r="F4" s="3173"/>
      <c r="G4" s="3182" t="s">
        <v>563</v>
      </c>
      <c r="H4" s="2624" t="s">
        <v>564</v>
      </c>
      <c r="I4" s="3241" t="e">
        <f>ROUND(SUMIF('数据-基础表'!I9:AS9,"地上",'数据-基础表'!I5:AS5)/'数据-基础表'!A3,2)</f>
        <v>#DIV/0!</v>
      </c>
      <c r="J4" s="3173"/>
      <c r="K4" s="3173"/>
      <c r="L4" s="3173"/>
      <c r="M4" s="3173"/>
      <c r="N4" s="294"/>
      <c r="O4" s="3173"/>
      <c r="P4" s="3173"/>
    </row>
    <row r="5" ht="14.4" spans="1:16">
      <c r="A5" s="3183" t="s">
        <v>565</v>
      </c>
      <c r="B5" s="300" t="s">
        <v>566</v>
      </c>
      <c r="C5" s="300"/>
      <c r="D5" s="3184">
        <f>ROUND($D$3*E5/$E$3,2)</f>
        <v>0</v>
      </c>
      <c r="E5" s="3185">
        <f>SUMIF('数据-基础表'!$11:$11,"住宅",'数据-基础表'!$5:$5)</f>
        <v>0</v>
      </c>
      <c r="F5" s="3173"/>
      <c r="G5" s="3178"/>
      <c r="H5" s="2624" t="s">
        <v>562</v>
      </c>
      <c r="I5" s="3241" t="e">
        <f>ROUND(E31/D31,2)</f>
        <v>#DIV/0!</v>
      </c>
      <c r="J5" s="3173"/>
      <c r="K5" s="3173"/>
      <c r="L5" s="3173"/>
      <c r="M5" s="3173"/>
      <c r="N5" s="3173"/>
      <c r="O5" s="3173"/>
      <c r="P5" s="3173"/>
    </row>
    <row r="6" ht="15.15" spans="1:16">
      <c r="A6" s="3186"/>
      <c r="B6" s="300" t="s">
        <v>567</v>
      </c>
      <c r="C6" s="300"/>
      <c r="D6" s="3184">
        <f>ROUND($D$3*E6/$E$3,2)</f>
        <v>0</v>
      </c>
      <c r="E6" s="3185">
        <f>E3-E5</f>
        <v>444.98</v>
      </c>
      <c r="F6" s="3173"/>
      <c r="G6" s="3187" t="s">
        <v>568</v>
      </c>
      <c r="H6" s="3188" t="s">
        <v>564</v>
      </c>
      <c r="I6" s="3242" t="e">
        <f>ROUND(F31/D31,2)</f>
        <v>#DIV/0!</v>
      </c>
      <c r="J6" s="3173"/>
      <c r="K6" s="3173"/>
      <c r="L6" s="3173"/>
      <c r="M6" s="3173"/>
      <c r="N6" s="3173"/>
      <c r="O6" s="3173"/>
      <c r="P6" s="3173"/>
    </row>
    <row r="7" ht="15.15" spans="1:16">
      <c r="A7" s="3189"/>
      <c r="B7" s="3190"/>
      <c r="C7" s="3191"/>
      <c r="D7" s="3180" t="s">
        <v>558</v>
      </c>
      <c r="E7" s="3192" t="s">
        <v>569</v>
      </c>
      <c r="F7" s="3173"/>
      <c r="G7" s="3193" t="s">
        <v>570</v>
      </c>
      <c r="H7" s="3194"/>
      <c r="I7" s="3243"/>
      <c r="J7" s="3173"/>
      <c r="K7" s="3173"/>
      <c r="L7" s="3173"/>
      <c r="M7" s="3173"/>
      <c r="N7" s="3173"/>
      <c r="O7" s="3173"/>
      <c r="P7" s="3173"/>
    </row>
    <row r="8" ht="14.4" spans="1:16">
      <c r="A8" s="3183" t="s">
        <v>571</v>
      </c>
      <c r="B8" s="3195" t="s">
        <v>572</v>
      </c>
      <c r="C8" s="3184" t="s">
        <v>573</v>
      </c>
      <c r="D8" s="3184">
        <f t="shared" ref="D8:D15" si="0">ROUND($D$3*E8/$E$3,2)</f>
        <v>0</v>
      </c>
      <c r="E8" s="3196">
        <f>SUMIF('数据-基础表'!BB10:BK10,"地上",'数据-基础表'!BB5:BK5)</f>
        <v>444.98</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0</v>
      </c>
      <c r="E16" s="3201">
        <f>SUM(E8:E15)</f>
        <v>444.98</v>
      </c>
      <c r="F16" s="3173"/>
      <c r="G16" s="3197"/>
      <c r="H16" s="3202" t="s">
        <v>582</v>
      </c>
      <c r="I16" s="3244"/>
      <c r="J16" s="2676"/>
      <c r="K16" s="3245" t="s">
        <v>582</v>
      </c>
      <c r="L16" s="3204"/>
      <c r="M16" s="3204"/>
      <c r="N16" s="3204"/>
      <c r="O16" s="3204"/>
      <c r="P16" s="3246"/>
    </row>
    <row r="17" ht="14.4" spans="1:19">
      <c r="A17" s="3132" t="s">
        <v>583</v>
      </c>
      <c r="B17" s="3203" t="s">
        <v>584</v>
      </c>
      <c r="C17" s="3131" t="s">
        <v>585</v>
      </c>
      <c r="D17" s="3204" t="s">
        <v>558</v>
      </c>
      <c r="E17" s="3205" t="s">
        <v>559</v>
      </c>
      <c r="F17" s="3206"/>
      <c r="G17" s="3207"/>
      <c r="H17" s="3208" t="s">
        <v>586</v>
      </c>
      <c r="I17" s="3247" t="s">
        <v>587</v>
      </c>
      <c r="J17" s="2676"/>
      <c r="K17" s="3248" t="s">
        <v>588</v>
      </c>
      <c r="L17" s="3249"/>
      <c r="M17" s="3250"/>
      <c r="N17" s="3248" t="s">
        <v>589</v>
      </c>
      <c r="O17" s="3249"/>
      <c r="P17" s="3250"/>
      <c r="R17" s="3263" t="s">
        <v>590</v>
      </c>
      <c r="S17" s="2611"/>
    </row>
    <row r="18" ht="14.4" spans="1:19">
      <c r="A18" s="3198"/>
      <c r="B18" s="3209"/>
      <c r="C18" s="3210"/>
      <c r="D18" s="3211"/>
      <c r="E18" s="3212" t="s">
        <v>591</v>
      </c>
      <c r="F18" s="3213" t="s">
        <v>564</v>
      </c>
      <c r="G18" s="3214" t="s">
        <v>592</v>
      </c>
      <c r="H18" s="3137" t="s">
        <v>593</v>
      </c>
      <c r="I18" s="3251" t="s">
        <v>594</v>
      </c>
      <c r="J18" s="2676"/>
      <c r="K18" s="3137" t="s">
        <v>595</v>
      </c>
      <c r="L18" s="2814" t="s">
        <v>596</v>
      </c>
      <c r="M18" s="3241" t="s">
        <v>597</v>
      </c>
      <c r="N18" s="3137" t="s">
        <v>595</v>
      </c>
      <c r="O18" s="2814" t="s">
        <v>596</v>
      </c>
      <c r="P18" s="3241" t="s">
        <v>597</v>
      </c>
      <c r="R18" s="2624" t="s">
        <v>593</v>
      </c>
      <c r="S18" s="2624" t="s">
        <v>594</v>
      </c>
    </row>
    <row r="19" ht="14.4" spans="1:19">
      <c r="A19" s="3215"/>
      <c r="B19" s="3195" t="s">
        <v>598</v>
      </c>
      <c r="C19" s="3216" t="str">
        <f>'数据-基础表'!I10</f>
        <v>商业</v>
      </c>
      <c r="D19" s="3184">
        <f>ROUND($D$3*E19/$E$3,2)</f>
        <v>0</v>
      </c>
      <c r="E19" s="3217">
        <f t="shared" ref="E19:E26" si="1">SUM(F19:G19)</f>
        <v>444.98</v>
      </c>
      <c r="F19" s="3218">
        <f>'数据-基础表'!I13</f>
        <v>444.98</v>
      </c>
      <c r="G19" s="3219"/>
      <c r="H19" s="3121">
        <f>ROUND($D$3*I19/$E$3,2)</f>
        <v>0</v>
      </c>
      <c r="I19" s="3196">
        <f t="shared" ref="I19:I26" si="2">IF($I$17="自定义",P19,M19)</f>
        <v>0</v>
      </c>
      <c r="J19" s="2676"/>
      <c r="K19" s="3252">
        <f t="shared" ref="K19:K26" si="3">ROUND(E$28*E19/E$27,2)</f>
        <v>0</v>
      </c>
      <c r="L19" s="2624">
        <f t="shared" ref="L19:L26" si="4">ROUND(IF(COUNTIF(C19,"*住宅*")&gt;0,E$29*E19/E$32,0),2)</f>
        <v>0</v>
      </c>
      <c r="M19" s="3253">
        <f>K19+L19</f>
        <v>0</v>
      </c>
      <c r="N19" s="3254"/>
      <c r="O19" s="3255"/>
      <c r="P19" s="3253">
        <f>N19+O19</f>
        <v>0</v>
      </c>
      <c r="R19" s="2624">
        <f t="shared" ref="R19:S26" si="5">D19+H19</f>
        <v>0</v>
      </c>
      <c r="S19" s="3264">
        <f t="shared" si="5"/>
        <v>444.98</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76"/>
      <c r="K20" s="3252">
        <f t="shared" si="3"/>
        <v>0</v>
      </c>
      <c r="L20" s="2624">
        <f t="shared" si="4"/>
        <v>0</v>
      </c>
      <c r="M20" s="3253">
        <f t="shared" ref="M20:M26" si="8">K20+L20</f>
        <v>0</v>
      </c>
      <c r="N20" s="3254"/>
      <c r="O20" s="3255"/>
      <c r="P20" s="3253">
        <f t="shared" ref="P20:P26" si="9">N20+O20</f>
        <v>0</v>
      </c>
      <c r="R20" s="2624">
        <f t="shared" si="5"/>
        <v>0</v>
      </c>
      <c r="S20" s="3264">
        <f t="shared" si="5"/>
        <v>0</v>
      </c>
    </row>
    <row r="21" ht="14.4" spans="1:19">
      <c r="A21" s="3220"/>
      <c r="B21" s="3195" t="s">
        <v>598</v>
      </c>
      <c r="C21" s="3216"/>
      <c r="D21" s="3184">
        <f t="shared" si="6"/>
        <v>0</v>
      </c>
      <c r="E21" s="3217">
        <f t="shared" si="1"/>
        <v>0</v>
      </c>
      <c r="F21" s="3218"/>
      <c r="G21" s="3219"/>
      <c r="H21" s="3121">
        <f t="shared" si="7"/>
        <v>0</v>
      </c>
      <c r="I21" s="3196">
        <f t="shared" si="2"/>
        <v>0</v>
      </c>
      <c r="J21" s="2676"/>
      <c r="K21" s="3252">
        <f t="shared" si="3"/>
        <v>0</v>
      </c>
      <c r="L21" s="2624">
        <f t="shared" si="4"/>
        <v>0</v>
      </c>
      <c r="M21" s="3253">
        <f t="shared" si="8"/>
        <v>0</v>
      </c>
      <c r="N21" s="3254"/>
      <c r="O21" s="3255"/>
      <c r="P21" s="3253">
        <f t="shared" si="9"/>
        <v>0</v>
      </c>
      <c r="R21" s="2624">
        <f t="shared" si="5"/>
        <v>0</v>
      </c>
      <c r="S21" s="3264">
        <f t="shared" si="5"/>
        <v>0</v>
      </c>
    </row>
    <row r="22" ht="14.4" spans="1:19">
      <c r="A22" s="3220"/>
      <c r="B22" s="3195" t="s">
        <v>598</v>
      </c>
      <c r="C22" s="3221"/>
      <c r="D22" s="3184">
        <f t="shared" si="6"/>
        <v>0</v>
      </c>
      <c r="E22" s="3217">
        <f t="shared" si="1"/>
        <v>0</v>
      </c>
      <c r="F22" s="3222"/>
      <c r="G22" s="3223"/>
      <c r="H22" s="3121">
        <f t="shared" si="7"/>
        <v>0</v>
      </c>
      <c r="I22" s="3196">
        <f t="shared" si="2"/>
        <v>0</v>
      </c>
      <c r="J22" s="2676"/>
      <c r="K22" s="3252">
        <f t="shared" si="3"/>
        <v>0</v>
      </c>
      <c r="L22" s="2624">
        <f t="shared" si="4"/>
        <v>0</v>
      </c>
      <c r="M22" s="3253">
        <f t="shared" si="8"/>
        <v>0</v>
      </c>
      <c r="N22" s="3254"/>
      <c r="O22" s="3255"/>
      <c r="P22" s="3253">
        <f t="shared" si="9"/>
        <v>0</v>
      </c>
      <c r="R22" s="2624">
        <f t="shared" si="5"/>
        <v>0</v>
      </c>
      <c r="S22" s="3264">
        <f t="shared" si="5"/>
        <v>0</v>
      </c>
    </row>
    <row r="23" ht="14.4" spans="1:19">
      <c r="A23" s="3220"/>
      <c r="B23" s="3195" t="s">
        <v>598</v>
      </c>
      <c r="C23" s="3221"/>
      <c r="D23" s="3184">
        <f t="shared" si="6"/>
        <v>0</v>
      </c>
      <c r="E23" s="3217">
        <f t="shared" si="1"/>
        <v>0</v>
      </c>
      <c r="F23" s="3222"/>
      <c r="G23" s="3223"/>
      <c r="H23" s="3121">
        <f t="shared" si="7"/>
        <v>0</v>
      </c>
      <c r="I23" s="3196">
        <f t="shared" si="2"/>
        <v>0</v>
      </c>
      <c r="J23" s="2676"/>
      <c r="K23" s="3252">
        <f t="shared" si="3"/>
        <v>0</v>
      </c>
      <c r="L23" s="2624">
        <f t="shared" si="4"/>
        <v>0</v>
      </c>
      <c r="M23" s="3253">
        <f t="shared" si="8"/>
        <v>0</v>
      </c>
      <c r="N23" s="3254"/>
      <c r="O23" s="3255"/>
      <c r="P23" s="3253">
        <f t="shared" si="9"/>
        <v>0</v>
      </c>
      <c r="R23" s="2624">
        <f t="shared" si="5"/>
        <v>0</v>
      </c>
      <c r="S23" s="3264">
        <f t="shared" si="5"/>
        <v>0</v>
      </c>
    </row>
    <row r="24" ht="14.4" spans="1:19">
      <c r="A24" s="3220"/>
      <c r="B24" s="3195" t="s">
        <v>598</v>
      </c>
      <c r="C24" s="3221"/>
      <c r="D24" s="3184">
        <f t="shared" si="6"/>
        <v>0</v>
      </c>
      <c r="E24" s="3217">
        <f t="shared" si="1"/>
        <v>0</v>
      </c>
      <c r="F24" s="3222"/>
      <c r="G24" s="3223"/>
      <c r="H24" s="3121">
        <f t="shared" si="7"/>
        <v>0</v>
      </c>
      <c r="I24" s="3196">
        <f t="shared" si="2"/>
        <v>0</v>
      </c>
      <c r="J24" s="2676"/>
      <c r="K24" s="3252">
        <f t="shared" si="3"/>
        <v>0</v>
      </c>
      <c r="L24" s="2624">
        <f t="shared" si="4"/>
        <v>0</v>
      </c>
      <c r="M24" s="3253">
        <f t="shared" si="8"/>
        <v>0</v>
      </c>
      <c r="N24" s="3254"/>
      <c r="O24" s="3255"/>
      <c r="P24" s="3253">
        <f t="shared" si="9"/>
        <v>0</v>
      </c>
      <c r="R24" s="2624">
        <f t="shared" si="5"/>
        <v>0</v>
      </c>
      <c r="S24" s="3264">
        <f t="shared" si="5"/>
        <v>0</v>
      </c>
    </row>
    <row r="25" ht="14.4" spans="1:19">
      <c r="A25" s="3220"/>
      <c r="B25" s="3195" t="s">
        <v>598</v>
      </c>
      <c r="C25" s="3221"/>
      <c r="D25" s="3184">
        <f t="shared" si="6"/>
        <v>0</v>
      </c>
      <c r="E25" s="3217">
        <f t="shared" si="1"/>
        <v>0</v>
      </c>
      <c r="F25" s="3222"/>
      <c r="G25" s="3223"/>
      <c r="H25" s="3183">
        <f t="shared" si="7"/>
        <v>0</v>
      </c>
      <c r="I25" s="3196">
        <f t="shared" si="2"/>
        <v>0</v>
      </c>
      <c r="J25" s="2676"/>
      <c r="K25" s="3252">
        <f t="shared" si="3"/>
        <v>0</v>
      </c>
      <c r="L25" s="2624">
        <f t="shared" si="4"/>
        <v>0</v>
      </c>
      <c r="M25" s="3253">
        <f t="shared" si="8"/>
        <v>0</v>
      </c>
      <c r="N25" s="3254"/>
      <c r="O25" s="3255"/>
      <c r="P25" s="3253">
        <f t="shared" si="9"/>
        <v>0</v>
      </c>
      <c r="R25" s="2624">
        <f t="shared" si="5"/>
        <v>0</v>
      </c>
      <c r="S25" s="3264">
        <f t="shared" si="5"/>
        <v>0</v>
      </c>
    </row>
    <row r="26" ht="14.4" spans="1:19">
      <c r="A26" s="3220"/>
      <c r="B26" s="3195" t="s">
        <v>598</v>
      </c>
      <c r="C26" s="3224"/>
      <c r="D26" s="3184">
        <f t="shared" si="6"/>
        <v>0</v>
      </c>
      <c r="E26" s="3217">
        <f t="shared" si="1"/>
        <v>0</v>
      </c>
      <c r="F26" s="3222"/>
      <c r="G26" s="3223"/>
      <c r="H26" s="3183">
        <f t="shared" si="7"/>
        <v>0</v>
      </c>
      <c r="I26" s="3196">
        <f t="shared" si="2"/>
        <v>0</v>
      </c>
      <c r="J26" s="2676"/>
      <c r="K26" s="3178">
        <f t="shared" si="3"/>
        <v>0</v>
      </c>
      <c r="L26" s="3188">
        <f t="shared" si="4"/>
        <v>0</v>
      </c>
      <c r="M26" s="3231">
        <f t="shared" si="8"/>
        <v>0</v>
      </c>
      <c r="N26" s="3256"/>
      <c r="O26" s="3257"/>
      <c r="P26" s="3231">
        <f t="shared" si="9"/>
        <v>0</v>
      </c>
      <c r="R26" s="2624">
        <f t="shared" si="5"/>
        <v>0</v>
      </c>
      <c r="S26" s="3264">
        <f t="shared" si="5"/>
        <v>0</v>
      </c>
    </row>
    <row r="27" ht="15.15" spans="1:19">
      <c r="A27" s="3220"/>
      <c r="B27" s="3184"/>
      <c r="C27" s="2800" t="s">
        <v>599</v>
      </c>
      <c r="D27" s="3225">
        <f>SUM(D19:D26)</f>
        <v>0</v>
      </c>
      <c r="E27" s="3226">
        <f>IF(SUM(E19:E26)='数据-基础表'!BA5,SUM(E19:E26),IF(F27="地上面积有误","面积有误","地下面积有误"))</f>
        <v>444.98</v>
      </c>
      <c r="F27" s="3225">
        <f>IF(SUM(F19:F26)=E8,SUM(F19:F26),"地上面积有误")</f>
        <v>444.98</v>
      </c>
      <c r="G27" s="3227">
        <f>SUM(G19:G26)</f>
        <v>0</v>
      </c>
      <c r="H27" s="3228">
        <f>SUM(H19:H26)</f>
        <v>0</v>
      </c>
      <c r="I27" s="3258">
        <f>SUM(I19:I26)</f>
        <v>0</v>
      </c>
      <c r="J27" s="2676"/>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0</v>
      </c>
      <c r="S27" s="2624">
        <f>IF(SUM(S19:S26)=$E$3,SUM(S19:S26),SUM(S19:S26)&amp;"误差"&amp;ROUND(SUM(S19:S26)-E3,2))</f>
        <v>444.98</v>
      </c>
    </row>
    <row r="28" ht="14.4" spans="1:16">
      <c r="A28" s="3220"/>
      <c r="B28" s="3195" t="s">
        <v>600</v>
      </c>
      <c r="C28" s="3140" t="s">
        <v>601</v>
      </c>
      <c r="D28" s="3184">
        <f>ROUND($D$3*E28/$E$3,2)</f>
        <v>0</v>
      </c>
      <c r="E28" s="3217">
        <f>SUM(F28:G28)</f>
        <v>0</v>
      </c>
      <c r="F28" s="2611">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74"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548" t="s">
        <v>603</v>
      </c>
      <c r="D31" s="3235">
        <f>D27+D30</f>
        <v>0</v>
      </c>
      <c r="E31" s="3235">
        <f>E27+E30</f>
        <v>444.98</v>
      </c>
      <c r="F31" s="3236">
        <f>F27+F30</f>
        <v>444.98</v>
      </c>
      <c r="G31" s="3237">
        <f>G27+G30</f>
        <v>0</v>
      </c>
      <c r="H31" s="3173"/>
      <c r="I31" s="3173"/>
      <c r="J31" s="3173"/>
      <c r="K31" s="3173"/>
      <c r="L31" s="3173"/>
      <c r="M31" s="3173"/>
      <c r="N31" s="3173"/>
      <c r="O31" s="3173"/>
      <c r="P31" s="3173"/>
    </row>
    <row r="32" ht="14.4" spans="1:16">
      <c r="A32" s="3238"/>
      <c r="B32" s="3238" t="s">
        <v>604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605</v>
      </c>
      <c r="B1" s="2978"/>
      <c r="C1" s="2209"/>
      <c r="D1" s="2979"/>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90"/>
      <c r="AO1" s="2490"/>
      <c r="AP1" s="2490"/>
      <c r="AQ1" s="2490"/>
      <c r="AR1" s="2490"/>
    </row>
    <row r="2" s="2969" customFormat="1" ht="15.15" spans="1:67">
      <c r="A2" s="2980" t="s">
        <v>606</v>
      </c>
      <c r="B2" s="2981">
        <f>项目基本情况!D3</f>
        <v>45042</v>
      </c>
      <c r="C2" s="2982"/>
      <c r="D2" s="2983"/>
      <c r="E2" s="2982"/>
      <c r="F2" s="2982"/>
      <c r="G2" s="2982"/>
      <c r="H2" s="2982"/>
      <c r="I2" s="2982"/>
      <c r="J2" s="2982"/>
      <c r="K2" s="3079"/>
      <c r="L2" s="3079"/>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79"/>
      <c r="L3" s="3079"/>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83" t="s">
        <v>607</v>
      </c>
      <c r="B4" s="2631"/>
      <c r="C4" s="2986"/>
      <c r="D4" s="2987"/>
      <c r="E4" s="2986" t="s">
        <v>608</v>
      </c>
      <c r="F4" s="2986"/>
      <c r="G4" s="2986"/>
      <c r="H4" s="2986"/>
      <c r="I4" s="2986"/>
      <c r="J4" s="3080"/>
      <c r="K4" s="3081"/>
      <c r="L4" s="3082"/>
      <c r="M4" s="2986"/>
      <c r="N4" s="2986" t="s">
        <v>609</v>
      </c>
      <c r="O4" s="2986"/>
      <c r="P4" s="2986"/>
      <c r="Q4" s="2986"/>
      <c r="R4" s="2986"/>
      <c r="S4" s="3080"/>
      <c r="T4" s="3104" t="str">
        <f>'数据-汇总表'!I17</f>
        <v>按面积比例</v>
      </c>
      <c r="U4" s="2631" t="s">
        <v>610</v>
      </c>
      <c r="V4" s="2986"/>
      <c r="W4" s="2986"/>
      <c r="X4" s="2986"/>
      <c r="Y4" s="3080"/>
      <c r="Z4" s="3131" t="s">
        <v>611</v>
      </c>
      <c r="AA4" s="3131"/>
      <c r="AB4" s="3131"/>
      <c r="AC4" s="3131"/>
      <c r="AD4" s="3131"/>
      <c r="AE4" s="3132" t="s">
        <v>612</v>
      </c>
      <c r="AF4" s="3131"/>
      <c r="AG4" s="3144"/>
      <c r="AH4" s="2631"/>
      <c r="AI4" s="2986"/>
      <c r="AJ4" s="2986"/>
      <c r="AK4" s="2986"/>
      <c r="AL4" s="2986"/>
      <c r="AM4" s="3080"/>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613</v>
      </c>
      <c r="D5" s="2991" t="s">
        <v>614</v>
      </c>
      <c r="E5" s="2992" t="s">
        <v>615</v>
      </c>
      <c r="F5" s="2993" t="s">
        <v>616</v>
      </c>
      <c r="G5" s="2992" t="s">
        <v>617</v>
      </c>
      <c r="H5" s="2992" t="s">
        <v>618</v>
      </c>
      <c r="I5" s="2992" t="s">
        <v>619</v>
      </c>
      <c r="J5" s="3083" t="s">
        <v>620</v>
      </c>
      <c r="K5" s="3084" t="s">
        <v>594</v>
      </c>
      <c r="L5" s="3085" t="s">
        <v>621</v>
      </c>
      <c r="M5" s="3086" t="s">
        <v>622</v>
      </c>
      <c r="N5" s="3087" t="s">
        <v>623</v>
      </c>
      <c r="O5" s="3085" t="s">
        <v>624</v>
      </c>
      <c r="P5" s="3088" t="s">
        <v>625</v>
      </c>
      <c r="Q5" s="96" t="s">
        <v>626</v>
      </c>
      <c r="R5" s="3105" t="s">
        <v>627</v>
      </c>
      <c r="S5" s="3106" t="s">
        <v>628</v>
      </c>
      <c r="T5" s="3107" t="s">
        <v>629</v>
      </c>
      <c r="U5" s="3108" t="s">
        <v>630</v>
      </c>
      <c r="V5" s="2992" t="s">
        <v>631</v>
      </c>
      <c r="W5" s="2992" t="s">
        <v>632</v>
      </c>
      <c r="X5" s="69"/>
      <c r="Y5" s="1698" t="s">
        <v>633</v>
      </c>
      <c r="Z5" s="3133" t="s">
        <v>630</v>
      </c>
      <c r="AA5" s="2992" t="s">
        <v>631</v>
      </c>
      <c r="AB5" s="2992" t="s">
        <v>632</v>
      </c>
      <c r="AC5" s="69"/>
      <c r="AD5" s="69" t="s">
        <v>633</v>
      </c>
      <c r="AE5" s="3108" t="s">
        <v>634</v>
      </c>
      <c r="AF5" s="2992" t="s">
        <v>635</v>
      </c>
      <c r="AG5" s="1698" t="s">
        <v>636</v>
      </c>
      <c r="AH5" s="3108" t="s">
        <v>637</v>
      </c>
      <c r="AI5" s="3133" t="s">
        <v>638</v>
      </c>
      <c r="AJ5" s="3133" t="s">
        <v>639</v>
      </c>
      <c r="AK5" s="2992" t="s">
        <v>640</v>
      </c>
      <c r="AL5" s="2992" t="s">
        <v>641</v>
      </c>
      <c r="AM5" s="1698" t="s">
        <v>642</v>
      </c>
      <c r="AN5" s="3145" t="s">
        <v>643</v>
      </c>
      <c r="AO5" s="3163" t="s">
        <v>644</v>
      </c>
      <c r="AP5" s="3164" t="s">
        <v>645</v>
      </c>
      <c r="AQ5" s="3165" t="s">
        <v>646</v>
      </c>
      <c r="AR5" s="3165" t="s">
        <v>647</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546</v>
      </c>
      <c r="D6" s="2997">
        <f>SUMIF(项目基本情况!C$12:I$12,C6,项目基本情况!C$14:I$14)</f>
        <v>40</v>
      </c>
      <c r="E6" s="2998">
        <f>IF(B6="","",SUMIF(项目基本情况!C$12:I$12,C6,项目基本情况!C$13:I$13))</f>
        <v>50369</v>
      </c>
      <c r="F6" s="2999">
        <f>SUMIF(项目基本情况!C$12:I$12,C6,项目基本情况!C$15:I$15)</f>
        <v>14.59</v>
      </c>
      <c r="G6" s="3000">
        <f>IF(ISERROR(ROUND(POWER(1+H6,D6-F6)*(POWER(1+H6,F6)-1)/(POWER(1+H6,D6)-1),3)),0,ROUND(POWER(1+H6,D6-F6)*(POWER(1+H6,F6)-1)/(POWER(1+H6,D6)-1),3))</f>
        <v>0.594</v>
      </c>
      <c r="H6" s="3001">
        <v>0.05</v>
      </c>
      <c r="I6" s="3001">
        <v>0.055</v>
      </c>
      <c r="J6" s="3002">
        <v>0.075</v>
      </c>
      <c r="K6" s="3089">
        <f>SUMIF('数据-汇总表'!C$19:C$33,A6,'数据-汇总表'!E$19:E$33)</f>
        <v>444.98</v>
      </c>
      <c r="L6" s="3090">
        <v>3000</v>
      </c>
      <c r="M6" s="3091">
        <f t="shared" ref="M6:M14" si="0">ROUND(K6*L6/10000,0)</f>
        <v>133</v>
      </c>
      <c r="N6" s="3092">
        <v>0.7</v>
      </c>
      <c r="O6" s="3091" t="str">
        <f>IF($N$5="成新度","——",ROUND(M6*N6,0))</f>
        <v>——</v>
      </c>
      <c r="P6" s="3093" t="str">
        <f>IF($N$5="成新度","——",M6-O6)</f>
        <v>——</v>
      </c>
      <c r="Q6" s="3109">
        <v>0.2</v>
      </c>
      <c r="R6" s="3110">
        <f ca="1">SUMIF('数据-汇总表'!C$19:C$33,A6,'数据-汇总表'!R$19:R$27)</f>
        <v>0</v>
      </c>
      <c r="S6" s="3111">
        <f>IF('数据-汇总表'!$I$17="按面积比例",SUMIF('数据-汇总表'!C$19:C$33,A6,'数据-汇总表'!K$19:K$33),SUMIF('数据-汇总表'!C$19:C$33,A6,'数据-汇总表'!N$19:N$33))</f>
        <v>0</v>
      </c>
      <c r="T6" s="3112">
        <f>ROUND($L$14*S6/10000,0)</f>
        <v>0</v>
      </c>
      <c r="U6" s="3113">
        <v>4.4</v>
      </c>
      <c r="V6" s="3114">
        <v>0.03</v>
      </c>
      <c r="W6" s="3114">
        <v>0.1</v>
      </c>
      <c r="X6" s="3115"/>
      <c r="Y6" s="3134">
        <f>N6</f>
        <v>0.7</v>
      </c>
      <c r="Z6" s="3135"/>
      <c r="AA6" s="3002"/>
      <c r="AB6" s="3002"/>
      <c r="AC6" s="3115"/>
      <c r="AD6" s="3136"/>
      <c r="AE6" s="3137">
        <f ca="1">IF(AN6="",0,SUMIF(INDIRECT("'"&amp;AN6&amp;"'"&amp;"!E:E"),$AE$5,INDIRECT("'"&amp;AN6&amp;"'"&amp;"!F:F")))</f>
        <v>14.59</v>
      </c>
      <c r="AF6" s="2606"/>
      <c r="AG6" s="1850">
        <f ca="1">IF(AF6="",0,AE6-AF6)</f>
        <v>0</v>
      </c>
      <c r="AH6" s="3146"/>
      <c r="AI6" s="3147">
        <v>365</v>
      </c>
      <c r="AJ6" s="3148"/>
      <c r="AK6" s="3149">
        <v>0.005</v>
      </c>
      <c r="AL6" s="3150">
        <v>0.001</v>
      </c>
      <c r="AM6" s="3151">
        <v>0.005</v>
      </c>
      <c r="AN6" s="3152" t="s">
        <v>266</v>
      </c>
      <c r="AO6" s="300">
        <f ca="1">SUMIF(INDIRECT("'"&amp;AN6&amp;"'"&amp;"!A:A"),"总价",INDIRECT("'"&amp;AN6&amp;"'"&amp;"!B:B"))</f>
        <v>647.7047</v>
      </c>
      <c r="AP6" s="3166">
        <f>IF(C6="住宅",K6*L6,0)</f>
        <v>0</v>
      </c>
      <c r="AQ6" s="300">
        <f>ROUND($L$14*$N$14*S6/10000,0)</f>
        <v>0</v>
      </c>
      <c r="AR6" s="300">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89">
        <f>SUMIF('数据-汇总表'!C$19:C$33,A7,'数据-汇总表'!E$19:E$33)</f>
        <v>0</v>
      </c>
      <c r="L7" s="3090"/>
      <c r="M7" s="3091">
        <f t="shared" si="0"/>
        <v>0</v>
      </c>
      <c r="N7" s="3092"/>
      <c r="O7" s="3091" t="str">
        <f t="shared" ref="O7:O14" si="3">IF($N$5="成新度","——",ROUND(M7*N7,0))</f>
        <v>——</v>
      </c>
      <c r="P7" s="3093"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2"/>
      <c r="AB7" s="3002"/>
      <c r="AC7" s="3115"/>
      <c r="AD7" s="3136"/>
      <c r="AE7" s="3137">
        <f ca="1" t="shared" ref="AE7:AE13" si="6">IF(AN7="",0,SUMIF(INDIRECT("'"&amp;AN7&amp;"'"&amp;"!E:E"),$AE$5,INDIRECT("'"&amp;AN7&amp;"'"&amp;"!F:F")))</f>
        <v>0</v>
      </c>
      <c r="AF7" s="2606"/>
      <c r="AG7" s="1850">
        <f ca="1" t="shared" ref="AG7:AG13" si="7">IF(AF7="",0,AE7-AF7)</f>
        <v>0</v>
      </c>
      <c r="AH7" s="3146"/>
      <c r="AI7" s="3147"/>
      <c r="AJ7" s="3148"/>
      <c r="AK7" s="3149"/>
      <c r="AL7" s="3150"/>
      <c r="AM7" s="3151"/>
      <c r="AN7" s="3152"/>
      <c r="AO7" s="300" t="e">
        <f ca="1" t="shared" ref="AO7:AO13" si="8">SUMIF(INDIRECT("'"&amp;AN7&amp;"'"&amp;"!A:A"),"总价",INDIRECT("'"&amp;AN7&amp;"'"&amp;"!B:B"))</f>
        <v>#REF!</v>
      </c>
      <c r="AP7" s="3166">
        <f t="shared" ref="AP7:AP13" si="9">IF(C7="住宅",K7*L7,0)</f>
        <v>0</v>
      </c>
      <c r="AQ7" s="300">
        <f t="shared" ref="AQ7:AQ13" si="10">ROUND($L$14*$N$14*S7/10000,0)</f>
        <v>0</v>
      </c>
      <c r="AR7" s="300">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89">
        <f>SUMIF('数据-汇总表'!C$19:C$33,A8,'数据-汇总表'!E$19:E$33)</f>
        <v>0</v>
      </c>
      <c r="L8" s="3090"/>
      <c r="M8" s="3091">
        <f t="shared" si="0"/>
        <v>0</v>
      </c>
      <c r="N8" s="3092"/>
      <c r="O8" s="3091" t="str">
        <f t="shared" si="3"/>
        <v>——</v>
      </c>
      <c r="P8" s="3093"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2"/>
      <c r="AB8" s="3002"/>
      <c r="AC8" s="3115"/>
      <c r="AD8" s="3136"/>
      <c r="AE8" s="3137">
        <f ca="1" t="shared" si="6"/>
        <v>0</v>
      </c>
      <c r="AF8" s="2606"/>
      <c r="AG8" s="1850">
        <f ca="1" t="shared" si="7"/>
        <v>0</v>
      </c>
      <c r="AH8" s="3153"/>
      <c r="AI8" s="3147"/>
      <c r="AJ8" s="3148"/>
      <c r="AK8" s="3154"/>
      <c r="AL8" s="3155"/>
      <c r="AM8" s="3156"/>
      <c r="AN8" s="3152"/>
      <c r="AO8" s="300" t="e">
        <f ca="1" t="shared" si="8"/>
        <v>#REF!</v>
      </c>
      <c r="AP8" s="3166">
        <f t="shared" si="9"/>
        <v>0</v>
      </c>
      <c r="AQ8" s="300">
        <f t="shared" si="10"/>
        <v>0</v>
      </c>
      <c r="AR8" s="300">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89">
        <f>SUMIF('数据-汇总表'!C$19:C$33,A9,'数据-汇总表'!E$19:E$33)</f>
        <v>0</v>
      </c>
      <c r="L9" s="3090"/>
      <c r="M9" s="3091">
        <f t="shared" si="0"/>
        <v>0</v>
      </c>
      <c r="N9" s="3092"/>
      <c r="O9" s="3091" t="str">
        <f t="shared" si="3"/>
        <v>——</v>
      </c>
      <c r="P9" s="3093"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2"/>
      <c r="AB9" s="3002"/>
      <c r="AC9" s="3115"/>
      <c r="AD9" s="3136"/>
      <c r="AE9" s="3137">
        <f ca="1" t="shared" si="6"/>
        <v>0</v>
      </c>
      <c r="AF9" s="2606"/>
      <c r="AG9" s="1850">
        <f ca="1" t="shared" si="7"/>
        <v>0</v>
      </c>
      <c r="AH9" s="3146"/>
      <c r="AI9" s="3147"/>
      <c r="AJ9" s="3148"/>
      <c r="AK9" s="3149"/>
      <c r="AL9" s="3150"/>
      <c r="AM9" s="3151"/>
      <c r="AN9" s="3152"/>
      <c r="AO9" s="300" t="e">
        <f ca="1" t="shared" si="8"/>
        <v>#REF!</v>
      </c>
      <c r="AP9" s="3166">
        <f t="shared" si="9"/>
        <v>0</v>
      </c>
      <c r="AQ9" s="300">
        <f t="shared" si="10"/>
        <v>0</v>
      </c>
      <c r="AR9" s="300">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89">
        <f>SUMIF('数据-汇总表'!C$19:C$33,A10,'数据-汇总表'!E$19:E$33)</f>
        <v>0</v>
      </c>
      <c r="L10" s="3090"/>
      <c r="M10" s="3091">
        <f t="shared" si="0"/>
        <v>0</v>
      </c>
      <c r="N10" s="3092"/>
      <c r="O10" s="3091" t="str">
        <f t="shared" si="3"/>
        <v>——</v>
      </c>
      <c r="P10" s="3093"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2"/>
      <c r="AB10" s="3002"/>
      <c r="AC10" s="3115"/>
      <c r="AD10" s="3136"/>
      <c r="AE10" s="3137">
        <f ca="1" t="shared" si="6"/>
        <v>0</v>
      </c>
      <c r="AF10" s="2606"/>
      <c r="AG10" s="1850">
        <f ca="1" t="shared" si="7"/>
        <v>0</v>
      </c>
      <c r="AH10" s="3146"/>
      <c r="AI10" s="3147"/>
      <c r="AJ10" s="3148"/>
      <c r="AK10" s="3149"/>
      <c r="AL10" s="3150"/>
      <c r="AM10" s="3151"/>
      <c r="AN10" s="3152"/>
      <c r="AO10" s="300" t="e">
        <f ca="1" t="shared" si="8"/>
        <v>#REF!</v>
      </c>
      <c r="AP10" s="3166">
        <f t="shared" si="9"/>
        <v>0</v>
      </c>
      <c r="AQ10" s="300">
        <f t="shared" si="10"/>
        <v>0</v>
      </c>
      <c r="AR10" s="300">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89">
        <f>SUMIF('数据-汇总表'!C$19:C$33,A11,'数据-汇总表'!E$19:E$33)</f>
        <v>0</v>
      </c>
      <c r="L11" s="3094"/>
      <c r="M11" s="3091">
        <f t="shared" si="0"/>
        <v>0</v>
      </c>
      <c r="N11" s="3092"/>
      <c r="O11" s="3091" t="str">
        <f t="shared" si="3"/>
        <v>——</v>
      </c>
      <c r="P11" s="3093"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2"/>
      <c r="W11" s="3002"/>
      <c r="X11" s="3115"/>
      <c r="Y11" s="3134"/>
      <c r="Z11" s="3138"/>
      <c r="AA11" s="3002"/>
      <c r="AB11" s="3002"/>
      <c r="AC11" s="3115"/>
      <c r="AD11" s="3136"/>
      <c r="AE11" s="3137">
        <f ca="1" t="shared" si="6"/>
        <v>0</v>
      </c>
      <c r="AF11" s="2606"/>
      <c r="AG11" s="1850">
        <f ca="1" t="shared" si="7"/>
        <v>0</v>
      </c>
      <c r="AH11" s="3146"/>
      <c r="AI11" s="3147"/>
      <c r="AJ11" s="3148"/>
      <c r="AK11" s="3157"/>
      <c r="AL11" s="3158"/>
      <c r="AM11" s="3159"/>
      <c r="AN11" s="3152"/>
      <c r="AO11" s="300" t="e">
        <f ca="1" t="shared" si="8"/>
        <v>#REF!</v>
      </c>
      <c r="AP11" s="3166">
        <f t="shared" si="9"/>
        <v>0</v>
      </c>
      <c r="AQ11" s="300">
        <f t="shared" si="10"/>
        <v>0</v>
      </c>
      <c r="AR11" s="300">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89">
        <f>SUMIF('数据-汇总表'!C$19:C$33,A12,'数据-汇总表'!E$19:E$33)</f>
        <v>0</v>
      </c>
      <c r="L12" s="3094"/>
      <c r="M12" s="3091">
        <f t="shared" si="0"/>
        <v>0</v>
      </c>
      <c r="N12" s="3092"/>
      <c r="O12" s="3091" t="str">
        <f t="shared" si="3"/>
        <v>——</v>
      </c>
      <c r="P12" s="3093"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2"/>
      <c r="W12" s="3002"/>
      <c r="X12" s="3115"/>
      <c r="Y12" s="3134"/>
      <c r="Z12" s="3138"/>
      <c r="AA12" s="3002"/>
      <c r="AB12" s="3002"/>
      <c r="AC12" s="3115"/>
      <c r="AD12" s="3136"/>
      <c r="AE12" s="3137">
        <f ca="1" t="shared" si="6"/>
        <v>0</v>
      </c>
      <c r="AF12" s="2606"/>
      <c r="AG12" s="1850">
        <f ca="1" t="shared" si="7"/>
        <v>0</v>
      </c>
      <c r="AH12" s="3146"/>
      <c r="AI12" s="3147"/>
      <c r="AJ12" s="3148"/>
      <c r="AK12" s="3157"/>
      <c r="AL12" s="3158"/>
      <c r="AM12" s="3159"/>
      <c r="AN12" s="3152"/>
      <c r="AO12" s="300" t="e">
        <f ca="1" t="shared" si="8"/>
        <v>#REF!</v>
      </c>
      <c r="AP12" s="3166">
        <f t="shared" si="9"/>
        <v>0</v>
      </c>
      <c r="AQ12" s="300">
        <f t="shared" si="10"/>
        <v>0</v>
      </c>
      <c r="AR12" s="300">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89">
        <f>SUMIF('数据-汇总表'!C$19:C$33,A13,'数据-汇总表'!E$19:E$33)</f>
        <v>0</v>
      </c>
      <c r="L13" s="3094"/>
      <c r="M13" s="3091">
        <f t="shared" si="0"/>
        <v>0</v>
      </c>
      <c r="N13" s="3095"/>
      <c r="O13" s="3091" t="str">
        <f t="shared" si="3"/>
        <v>——</v>
      </c>
      <c r="P13" s="3093"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2"/>
      <c r="AB13" s="3002"/>
      <c r="AC13" s="3115"/>
      <c r="AD13" s="3136"/>
      <c r="AE13" s="3137">
        <f ca="1" t="shared" si="6"/>
        <v>0</v>
      </c>
      <c r="AF13" s="2606"/>
      <c r="AG13" s="1850">
        <f ca="1" t="shared" si="7"/>
        <v>0</v>
      </c>
      <c r="AH13" s="3146"/>
      <c r="AI13" s="3147"/>
      <c r="AJ13" s="3148"/>
      <c r="AK13" s="3149"/>
      <c r="AL13" s="3150"/>
      <c r="AM13" s="3151"/>
      <c r="AN13" s="3152"/>
      <c r="AO13" s="300" t="e">
        <f ca="1" t="shared" si="8"/>
        <v>#REF!</v>
      </c>
      <c r="AP13" s="3166">
        <f t="shared" si="9"/>
        <v>0</v>
      </c>
      <c r="AQ13" s="300">
        <f t="shared" si="10"/>
        <v>0</v>
      </c>
      <c r="AR13" s="300">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89">
        <f>SUMIF('数据-汇总表'!C$19:C$33,A14,'数据-汇总表'!E$19:E$33)</f>
        <v>0</v>
      </c>
      <c r="L14" s="3094"/>
      <c r="M14" s="3091">
        <f t="shared" si="0"/>
        <v>0</v>
      </c>
      <c r="N14" s="3095"/>
      <c r="O14" s="3091" t="str">
        <f t="shared" si="3"/>
        <v>——</v>
      </c>
      <c r="P14" s="3093" t="str">
        <f t="shared" si="4"/>
        <v>——</v>
      </c>
      <c r="Q14" s="3120"/>
      <c r="R14" s="3110"/>
      <c r="S14" s="3111"/>
      <c r="T14" s="3112"/>
      <c r="U14" s="3121"/>
      <c r="V14" s="3122"/>
      <c r="W14" s="3122"/>
      <c r="X14" s="3123"/>
      <c r="Y14" s="3139"/>
      <c r="Z14" s="3140"/>
      <c r="AA14" s="3141"/>
      <c r="AB14" s="3141"/>
      <c r="AC14" s="3115"/>
      <c r="AD14" s="3123"/>
      <c r="AE14" s="3137"/>
      <c r="AF14" s="300"/>
      <c r="AG14" s="1850"/>
      <c r="AH14" s="3137"/>
      <c r="AI14" s="281"/>
      <c r="AJ14" s="299"/>
      <c r="AK14" s="3160"/>
      <c r="AL14" s="3161"/>
      <c r="AM14" s="3162"/>
      <c r="AN14" s="2490"/>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648</v>
      </c>
      <c r="D15" s="2997"/>
      <c r="E15" s="2998"/>
      <c r="F15" s="2999"/>
      <c r="G15" s="3000"/>
      <c r="H15" s="3005"/>
      <c r="I15" s="3005"/>
      <c r="J15" s="3005"/>
      <c r="K15" s="3089">
        <f>SUMIF('数据-汇总表'!C$19:C$33,A15,'数据-汇总表'!E$19:E$33)</f>
        <v>0</v>
      </c>
      <c r="L15" s="3096"/>
      <c r="M15" s="3091"/>
      <c r="N15" s="3097"/>
      <c r="O15" s="3091"/>
      <c r="P15" s="3093"/>
      <c r="Q15" s="3120"/>
      <c r="R15" s="3110"/>
      <c r="S15" s="3111"/>
      <c r="T15" s="3112"/>
      <c r="U15" s="3121"/>
      <c r="V15" s="3122"/>
      <c r="W15" s="3122"/>
      <c r="X15" s="3123"/>
      <c r="Y15" s="3139"/>
      <c r="Z15" s="3140"/>
      <c r="AA15" s="3141"/>
      <c r="AB15" s="3141"/>
      <c r="AC15" s="3115"/>
      <c r="AD15" s="3123"/>
      <c r="AE15" s="3137"/>
      <c r="AF15" s="300"/>
      <c r="AG15" s="1850"/>
      <c r="AH15" s="3137"/>
      <c r="AI15" s="281"/>
      <c r="AJ15" s="299"/>
      <c r="AK15" s="3160"/>
      <c r="AL15" s="3161"/>
      <c r="AM15" s="3162"/>
      <c r="AN15" s="2490"/>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546"/>
      <c r="D16" s="3008"/>
      <c r="E16" s="3007"/>
      <c r="F16" s="3007"/>
      <c r="G16" s="3009">
        <f>ROUND(SUMPRODUCT(G6:G13,K6:K13)/SUMPRODUCT((G6:G13&gt;0)*(K6:K13)),3)</f>
        <v>0.594</v>
      </c>
      <c r="H16" s="3010">
        <f>ROUND(SUMPRODUCT(H6:H13,K6:K13)/SUMPRODUCT((H6:H13&gt;0)*(K6:K13)),3)</f>
        <v>0.05</v>
      </c>
      <c r="I16" s="3098"/>
      <c r="J16" s="3098"/>
      <c r="K16" s="3099">
        <f>SUM(K6:K15)</f>
        <v>444.98</v>
      </c>
      <c r="L16" s="3100">
        <f>ROUND(M16*10000/SUM(K6:K14),0)</f>
        <v>2989</v>
      </c>
      <c r="M16" s="3100">
        <f>SUM(M6:M14)</f>
        <v>133</v>
      </c>
      <c r="N16" s="3101">
        <f>ROUND(SUMPRODUCT(M6:M14,N6:N14)/M16,3)</f>
        <v>0.7</v>
      </c>
      <c r="O16" s="3100">
        <f>SUM(O6:O14)</f>
        <v>0</v>
      </c>
      <c r="P16" s="3100">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90"/>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90"/>
      <c r="D17" s="3013"/>
      <c r="E17" s="3013"/>
      <c r="F17" s="2490"/>
      <c r="G17" s="2490"/>
      <c r="H17" s="2490"/>
      <c r="I17" s="2490"/>
      <c r="J17" s="2490"/>
      <c r="K17" s="3102"/>
      <c r="L17" s="3102"/>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row>
    <row r="18" ht="15.15" spans="1:44">
      <c r="A18" s="1683" t="s">
        <v>649</v>
      </c>
      <c r="B18" s="3014"/>
      <c r="C18" s="3015"/>
      <c r="D18" s="3016"/>
      <c r="E18" s="3015"/>
      <c r="F18" s="3015"/>
      <c r="G18" s="3015"/>
      <c r="H18" s="3015"/>
      <c r="I18" s="3015"/>
      <c r="J18" s="3015"/>
      <c r="K18" s="3102"/>
      <c r="L18" s="3102"/>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row>
    <row r="19" ht="14.4" spans="1:44">
      <c r="A19" s="3017" t="s">
        <v>650</v>
      </c>
      <c r="B19" s="3018">
        <v>0</v>
      </c>
      <c r="C19" s="3019" t="s">
        <v>651</v>
      </c>
      <c r="D19" s="3016"/>
      <c r="E19" s="3015"/>
      <c r="F19" s="3015"/>
      <c r="G19" s="3015"/>
      <c r="H19" s="3015"/>
      <c r="I19" s="3015"/>
      <c r="J19" s="3015"/>
      <c r="K19" s="3102"/>
      <c r="L19" s="3102"/>
      <c r="M19" s="2490"/>
      <c r="N19" s="2490"/>
      <c r="O19" s="2490"/>
      <c r="P19" s="2490"/>
      <c r="Q19" s="2490"/>
      <c r="R19" s="2490"/>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row>
    <row r="20" ht="14.4" spans="1:44">
      <c r="A20" s="3020" t="s">
        <v>652</v>
      </c>
      <c r="B20" s="3021">
        <v>2</v>
      </c>
      <c r="C20" s="3022" t="s">
        <v>653</v>
      </c>
      <c r="D20" s="3016"/>
      <c r="E20" s="3015"/>
      <c r="F20" s="3015"/>
      <c r="G20" s="3015"/>
      <c r="H20" s="3015"/>
      <c r="I20" s="3015"/>
      <c r="J20" s="3015"/>
      <c r="K20" s="3102"/>
      <c r="L20" s="3102"/>
      <c r="M20" s="2490"/>
      <c r="N20" s="2490"/>
      <c r="O20" s="2490"/>
      <c r="P20" s="2490"/>
      <c r="Q20" s="2490"/>
      <c r="R20" s="2490"/>
      <c r="S20" s="2490"/>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row>
    <row r="21" ht="14.4" spans="1:44">
      <c r="A21" s="3023" t="s">
        <v>654</v>
      </c>
      <c r="B21" s="3021">
        <v>2</v>
      </c>
      <c r="C21" s="3015"/>
      <c r="D21" s="3016"/>
      <c r="E21" s="3015"/>
      <c r="F21" s="3015"/>
      <c r="G21" s="3015"/>
      <c r="H21" s="3015"/>
      <c r="I21" s="3015"/>
      <c r="J21" s="3015"/>
      <c r="K21" s="3102"/>
      <c r="L21" s="3102"/>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row>
    <row r="22" ht="14.4" spans="1:44">
      <c r="A22" s="3020" t="s">
        <v>655</v>
      </c>
      <c r="B22" s="3024">
        <f>B19+B20</f>
        <v>2</v>
      </c>
      <c r="C22" s="3015"/>
      <c r="D22" s="3016"/>
      <c r="E22" s="3015"/>
      <c r="F22" s="3015"/>
      <c r="G22" s="3015"/>
      <c r="H22" s="3015"/>
      <c r="I22" s="3015"/>
      <c r="J22" s="3015"/>
      <c r="K22" s="3102"/>
      <c r="L22" s="3102"/>
      <c r="M22" s="2490"/>
      <c r="N22" s="2490"/>
      <c r="O22" s="2490"/>
      <c r="P22" s="2490"/>
      <c r="Q22" s="2490"/>
      <c r="R22" s="2490"/>
      <c r="S22" s="2490"/>
      <c r="T22" s="2490"/>
      <c r="U22" s="2490"/>
      <c r="V22" s="2490"/>
      <c r="W22" s="2490"/>
      <c r="X22" s="249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row>
    <row r="23" ht="14.4" spans="1:44">
      <c r="A23" s="3023" t="s">
        <v>656</v>
      </c>
      <c r="B23" s="3024">
        <f>B19+B21</f>
        <v>2</v>
      </c>
      <c r="C23" s="3015"/>
      <c r="D23" s="3016"/>
      <c r="E23" s="3015"/>
      <c r="F23" s="3015"/>
      <c r="G23" s="3015"/>
      <c r="H23" s="3015"/>
      <c r="I23" s="3015"/>
      <c r="J23" s="3015"/>
      <c r="K23" s="3102"/>
      <c r="L23" s="3102"/>
      <c r="M23" s="2490"/>
      <c r="N23" s="2490"/>
      <c r="O23" s="2490"/>
      <c r="P23" s="2490"/>
      <c r="Q23" s="2490"/>
      <c r="R23" s="2490"/>
      <c r="S23" s="2490"/>
      <c r="T23" s="2490"/>
      <c r="U23" s="2490"/>
      <c r="V23" s="2490"/>
      <c r="W23" s="2490"/>
      <c r="X23" s="2490"/>
      <c r="Y23" s="2490"/>
      <c r="Z23" s="2490"/>
      <c r="AA23" s="2490"/>
      <c r="AB23" s="2490"/>
      <c r="AC23" s="2490"/>
      <c r="AD23" s="2490"/>
      <c r="AE23" s="2490"/>
      <c r="AF23" s="2490"/>
      <c r="AG23" s="2490"/>
      <c r="AH23" s="2490"/>
      <c r="AI23" s="2490"/>
      <c r="AJ23" s="2490"/>
      <c r="AK23" s="2490"/>
      <c r="AL23" s="2490"/>
      <c r="AM23" s="2490"/>
      <c r="AN23" s="2490"/>
      <c r="AO23" s="2490"/>
      <c r="AP23" s="2490"/>
      <c r="AQ23" s="2490"/>
      <c r="AR23" s="2490"/>
    </row>
    <row r="24" ht="15.15" spans="1:44">
      <c r="A24" s="3025" t="s">
        <v>657</v>
      </c>
      <c r="B24" s="3026">
        <f>B20-B21</f>
        <v>0</v>
      </c>
      <c r="C24" s="3015"/>
      <c r="D24" s="3016"/>
      <c r="E24" s="3015"/>
      <c r="F24" s="3015"/>
      <c r="G24" s="3015"/>
      <c r="H24" s="3015"/>
      <c r="I24" s="3015"/>
      <c r="J24" s="3015"/>
      <c r="K24" s="3102"/>
      <c r="L24" s="3102"/>
      <c r="M24" s="2490"/>
      <c r="N24" s="2490">
        <v>1994</v>
      </c>
      <c r="O24" s="2490"/>
      <c r="P24" s="2490"/>
      <c r="Q24" s="2490"/>
      <c r="R24" s="2490"/>
      <c r="S24" s="2490"/>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row>
    <row r="25" ht="14.55" spans="1:44">
      <c r="A25" s="2984"/>
      <c r="B25" s="2985"/>
      <c r="C25" s="3015"/>
      <c r="D25" s="3016"/>
      <c r="E25" s="3015"/>
      <c r="F25" s="3015"/>
      <c r="G25" s="3015"/>
      <c r="H25" s="3015"/>
      <c r="I25" s="3015"/>
      <c r="J25" s="3015"/>
      <c r="K25" s="3102"/>
      <c r="L25" s="3102"/>
      <c r="M25" s="2490"/>
      <c r="N25" s="2490">
        <f>ROUND(1-(1-2%)*(2023-N24)/50,2)</f>
        <v>0.43</v>
      </c>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row>
    <row r="26" ht="15.15" spans="1:44">
      <c r="A26" s="2980" t="s">
        <v>658</v>
      </c>
      <c r="B26" s="3027" t="s">
        <v>659</v>
      </c>
      <c r="C26" s="3028" t="s">
        <v>660</v>
      </c>
      <c r="D26" s="3016"/>
      <c r="E26" s="3015"/>
      <c r="F26" s="3015"/>
      <c r="G26" s="3015"/>
      <c r="H26" s="3015"/>
      <c r="I26" s="3015"/>
      <c r="J26" s="3015"/>
      <c r="K26" s="3102"/>
      <c r="L26" s="3102"/>
      <c r="M26" s="2490"/>
      <c r="N26" s="2490"/>
      <c r="O26" s="2490"/>
      <c r="P26" s="2490"/>
      <c r="Q26" s="2490"/>
      <c r="R26" s="2490"/>
      <c r="S26" s="2490"/>
      <c r="T26" s="2490"/>
      <c r="U26" s="2490"/>
      <c r="V26" s="2490"/>
      <c r="W26" s="2490"/>
      <c r="X26" s="249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row>
    <row r="27" s="2971" customFormat="1" ht="28.8" spans="1:67">
      <c r="A27" s="3029" t="s">
        <v>661</v>
      </c>
      <c r="B27" s="3030"/>
      <c r="C27" s="3031" t="s">
        <v>662</v>
      </c>
      <c r="D27" s="3032"/>
      <c r="E27" s="294"/>
      <c r="F27" s="294"/>
      <c r="G27" s="3015"/>
      <c r="H27" s="3015"/>
      <c r="I27" s="3015"/>
      <c r="J27" s="3015"/>
      <c r="K27" s="3102"/>
      <c r="L27" s="3102"/>
      <c r="M27" s="2490"/>
      <c r="N27" s="2490"/>
      <c r="O27" s="2490"/>
      <c r="P27" s="2490"/>
      <c r="Q27" s="2490"/>
      <c r="R27" s="2490"/>
      <c r="S27" s="2490"/>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78"/>
      <c r="AT27" s="2478"/>
      <c r="AU27" s="2478"/>
      <c r="AV27" s="2478"/>
      <c r="AW27" s="2478"/>
      <c r="AX27" s="2478"/>
      <c r="AY27" s="2478"/>
      <c r="AZ27" s="2478"/>
      <c r="BA27" s="2478"/>
      <c r="BB27" s="2478"/>
      <c r="BC27" s="2478"/>
      <c r="BD27" s="2478"/>
      <c r="BE27" s="2478"/>
      <c r="BF27" s="2478"/>
      <c r="BG27" s="2478"/>
      <c r="BH27" s="2478"/>
      <c r="BI27" s="2478"/>
      <c r="BJ27" s="2478"/>
      <c r="BK27" s="2478"/>
      <c r="BL27" s="2478"/>
      <c r="BM27" s="2478"/>
      <c r="BN27" s="2478"/>
      <c r="BO27" s="2478"/>
    </row>
    <row r="28" s="2971" customFormat="1" ht="28.8" spans="1:67">
      <c r="A28" s="3033" t="s">
        <v>663</v>
      </c>
      <c r="B28" s="3034">
        <v>200</v>
      </c>
      <c r="C28" s="3035"/>
      <c r="D28" s="3032"/>
      <c r="E28" s="294"/>
      <c r="F28" s="294"/>
      <c r="G28" s="3015"/>
      <c r="H28" s="3015"/>
      <c r="I28" s="3015"/>
      <c r="J28" s="3015"/>
      <c r="K28" s="3102"/>
      <c r="L28" s="3102"/>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78"/>
      <c r="AT28" s="2478"/>
      <c r="AU28" s="2478"/>
      <c r="AV28" s="2478"/>
      <c r="AW28" s="2478"/>
      <c r="AX28" s="2478"/>
      <c r="AY28" s="2478"/>
      <c r="AZ28" s="2478"/>
      <c r="BA28" s="2478"/>
      <c r="BB28" s="2478"/>
      <c r="BC28" s="2478"/>
      <c r="BD28" s="2478"/>
      <c r="BE28" s="2478"/>
      <c r="BF28" s="2478"/>
      <c r="BG28" s="2478"/>
      <c r="BH28" s="2478"/>
      <c r="BI28" s="2478"/>
      <c r="BJ28" s="2478"/>
      <c r="BK28" s="2478"/>
      <c r="BL28" s="2478"/>
      <c r="BM28" s="2478"/>
      <c r="BN28" s="2478"/>
      <c r="BO28" s="2478"/>
    </row>
    <row r="29" s="2971" customFormat="1" ht="29.55" spans="1:67">
      <c r="A29" s="3036" t="s">
        <v>664</v>
      </c>
      <c r="B29" s="3037"/>
      <c r="C29" s="3038" t="s">
        <v>665</v>
      </c>
      <c r="D29" s="3032"/>
      <c r="E29" s="294"/>
      <c r="F29" s="294"/>
      <c r="G29" s="3015"/>
      <c r="H29" s="3015"/>
      <c r="I29" s="3015"/>
      <c r="J29" s="3015"/>
      <c r="K29" s="3102"/>
      <c r="L29" s="3102"/>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78"/>
      <c r="AT29" s="2478"/>
      <c r="AU29" s="2478"/>
      <c r="AV29" s="2478"/>
      <c r="AW29" s="2478"/>
      <c r="AX29" s="2478"/>
      <c r="AY29" s="2478"/>
      <c r="AZ29" s="2478"/>
      <c r="BA29" s="2478"/>
      <c r="BB29" s="2478"/>
      <c r="BC29" s="2478"/>
      <c r="BD29" s="2478"/>
      <c r="BE29" s="2478"/>
      <c r="BF29" s="2478"/>
      <c r="BG29" s="2478"/>
      <c r="BH29" s="2478"/>
      <c r="BI29" s="2478"/>
      <c r="BJ29" s="2478"/>
      <c r="BK29" s="2478"/>
      <c r="BL29" s="2478"/>
      <c r="BM29" s="2478"/>
      <c r="BN29" s="2478"/>
      <c r="BO29" s="2478"/>
    </row>
    <row r="30" s="2971" customFormat="1" ht="28.8" spans="1:67">
      <c r="A30" s="3039" t="s">
        <v>666</v>
      </c>
      <c r="B30" s="3040">
        <v>200</v>
      </c>
      <c r="C30" s="3035"/>
      <c r="D30" s="3032"/>
      <c r="E30" s="294"/>
      <c r="F30" s="294"/>
      <c r="G30" s="3015"/>
      <c r="H30" s="3015"/>
      <c r="I30" s="3015"/>
      <c r="J30" s="3015"/>
      <c r="K30" s="3102"/>
      <c r="L30" s="3102"/>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row>
    <row r="31" s="2971" customFormat="1" ht="28.8" spans="1:67">
      <c r="A31" s="3033" t="s">
        <v>667</v>
      </c>
      <c r="B31" s="3041">
        <f>B30-B32</f>
        <v>200</v>
      </c>
      <c r="C31" s="3042"/>
      <c r="D31" s="3032"/>
      <c r="E31" s="294"/>
      <c r="F31" s="294"/>
      <c r="G31" s="3015"/>
      <c r="H31" s="3015"/>
      <c r="I31" s="3015"/>
      <c r="J31" s="3015"/>
      <c r="K31" s="3102"/>
      <c r="L31" s="3102"/>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78"/>
      <c r="AT31" s="2478"/>
      <c r="AU31" s="2478"/>
      <c r="AV31" s="2478"/>
      <c r="AW31" s="2478"/>
      <c r="AX31" s="2478"/>
      <c r="AY31" s="2478"/>
      <c r="AZ31" s="2478"/>
      <c r="BA31" s="2478"/>
      <c r="BB31" s="2478"/>
      <c r="BC31" s="2478"/>
      <c r="BD31" s="2478"/>
      <c r="BE31" s="2478"/>
      <c r="BF31" s="2478"/>
      <c r="BG31" s="2478"/>
      <c r="BH31" s="2478"/>
      <c r="BI31" s="2478"/>
      <c r="BJ31" s="2478"/>
      <c r="BK31" s="2478"/>
      <c r="BL31" s="2478"/>
      <c r="BM31" s="2478"/>
      <c r="BN31" s="2478"/>
      <c r="BO31" s="2478"/>
    </row>
    <row r="32" s="2971" customFormat="1" ht="29.55" spans="1:67">
      <c r="A32" s="3043" t="s">
        <v>668</v>
      </c>
      <c r="B32" s="3044">
        <v>0</v>
      </c>
      <c r="C32" s="3035"/>
      <c r="D32" s="3016"/>
      <c r="E32" s="3015"/>
      <c r="F32" s="3015"/>
      <c r="G32" s="3015"/>
      <c r="H32" s="3015"/>
      <c r="I32" s="3015"/>
      <c r="J32" s="3015"/>
      <c r="K32" s="3102"/>
      <c r="L32" s="3102"/>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78"/>
      <c r="AT32" s="2478"/>
      <c r="AU32" s="2478"/>
      <c r="AV32" s="2478"/>
      <c r="AW32" s="2478"/>
      <c r="AX32" s="2478"/>
      <c r="AY32" s="2478"/>
      <c r="AZ32" s="2478"/>
      <c r="BA32" s="2478"/>
      <c r="BB32" s="2478"/>
      <c r="BC32" s="2478"/>
      <c r="BD32" s="2478"/>
      <c r="BE32" s="2478"/>
      <c r="BF32" s="2478"/>
      <c r="BG32" s="2478"/>
      <c r="BH32" s="2478"/>
      <c r="BI32" s="2478"/>
      <c r="BJ32" s="2478"/>
      <c r="BK32" s="2478"/>
      <c r="BL32" s="2478"/>
      <c r="BM32" s="2478"/>
      <c r="BN32" s="2478"/>
      <c r="BO32" s="2478"/>
    </row>
    <row r="33" s="2971" customFormat="1" ht="14.4" spans="1:67">
      <c r="A33" s="3029" t="s">
        <v>669</v>
      </c>
      <c r="B33" s="3045">
        <v>0.03</v>
      </c>
      <c r="C33" s="3046" t="s">
        <v>670</v>
      </c>
      <c r="D33" s="3016"/>
      <c r="E33" s="3015"/>
      <c r="F33" s="3015"/>
      <c r="G33" s="3015"/>
      <c r="H33" s="3015"/>
      <c r="I33" s="3015"/>
      <c r="J33" s="3015"/>
      <c r="K33" s="3102"/>
      <c r="L33" s="3102"/>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row>
    <row r="34" s="2971" customFormat="1" ht="14.4" spans="1:67">
      <c r="A34" s="3033" t="s">
        <v>671</v>
      </c>
      <c r="B34" s="3047">
        <v>0.05</v>
      </c>
      <c r="C34" s="3046" t="s">
        <v>672</v>
      </c>
      <c r="D34" s="3048" t="s">
        <v>673</v>
      </c>
      <c r="E34" s="3012"/>
      <c r="F34" s="3015"/>
      <c r="G34" s="3015"/>
      <c r="H34" s="3015"/>
      <c r="I34" s="3015"/>
      <c r="J34" s="3015"/>
      <c r="K34" s="3102"/>
      <c r="L34" s="3102"/>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78"/>
      <c r="AT34" s="2478"/>
      <c r="AU34" s="2478"/>
      <c r="AV34" s="2478"/>
      <c r="AW34" s="2478"/>
      <c r="AX34" s="2478"/>
      <c r="AY34" s="2478"/>
      <c r="AZ34" s="2478"/>
      <c r="BA34" s="2478"/>
      <c r="BB34" s="2478"/>
      <c r="BC34" s="2478"/>
      <c r="BD34" s="2478"/>
      <c r="BE34" s="2478"/>
      <c r="BF34" s="2478"/>
      <c r="BG34" s="2478"/>
      <c r="BH34" s="2478"/>
      <c r="BI34" s="2478"/>
      <c r="BJ34" s="2478"/>
      <c r="BK34" s="2478"/>
      <c r="BL34" s="2478"/>
      <c r="BM34" s="2478"/>
      <c r="BN34" s="2478"/>
      <c r="BO34" s="2478"/>
    </row>
    <row r="35" s="2971" customFormat="1" ht="14.4" spans="1:67">
      <c r="A35" s="3033" t="s">
        <v>674</v>
      </c>
      <c r="B35" s="3034">
        <v>200</v>
      </c>
      <c r="C35" s="3046" t="s">
        <v>675</v>
      </c>
      <c r="D35" s="3032"/>
      <c r="E35" s="294"/>
      <c r="F35" s="294"/>
      <c r="G35" s="3015"/>
      <c r="H35" s="3015"/>
      <c r="I35" s="3015"/>
      <c r="J35" s="3015"/>
      <c r="K35" s="3102"/>
      <c r="L35" s="3102"/>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0"/>
      <c r="AJ35" s="2490"/>
      <c r="AK35" s="2490"/>
      <c r="AL35" s="2490"/>
      <c r="AM35" s="2490"/>
      <c r="AN35" s="2490"/>
      <c r="AO35" s="2490"/>
      <c r="AP35" s="2490"/>
      <c r="AQ35" s="2490"/>
      <c r="AR35" s="2490"/>
      <c r="AS35" s="2478"/>
      <c r="AT35" s="2478"/>
      <c r="AU35" s="2478"/>
      <c r="AV35" s="2478"/>
      <c r="AW35" s="2478"/>
      <c r="AX35" s="2478"/>
      <c r="AY35" s="2478"/>
      <c r="AZ35" s="2478"/>
      <c r="BA35" s="2478"/>
      <c r="BB35" s="2478"/>
      <c r="BC35" s="2478"/>
      <c r="BD35" s="2478"/>
      <c r="BE35" s="2478"/>
      <c r="BF35" s="2478"/>
      <c r="BG35" s="2478"/>
      <c r="BH35" s="2478"/>
      <c r="BI35" s="2478"/>
      <c r="BJ35" s="2478"/>
      <c r="BK35" s="2478"/>
      <c r="BL35" s="2478"/>
      <c r="BM35" s="2478"/>
      <c r="BN35" s="2478"/>
      <c r="BO35" s="2478"/>
    </row>
    <row r="36" ht="15.15" spans="1:44">
      <c r="A36" s="3036" t="s">
        <v>676</v>
      </c>
      <c r="B36" s="3049">
        <v>0.015</v>
      </c>
      <c r="C36" s="3046" t="s">
        <v>677</v>
      </c>
      <c r="D36" s="3016"/>
      <c r="E36" s="3015"/>
      <c r="F36" s="3015"/>
      <c r="G36" s="3015"/>
      <c r="H36" s="3015"/>
      <c r="I36" s="3015"/>
      <c r="J36" s="3015"/>
      <c r="K36" s="3102"/>
      <c r="L36" s="3102"/>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row>
    <row r="37" ht="14.4" spans="1:44">
      <c r="A37" s="3039" t="s">
        <v>678</v>
      </c>
      <c r="B37" s="3050">
        <v>0.02</v>
      </c>
      <c r="C37" s="3046" t="s">
        <v>679</v>
      </c>
      <c r="D37" s="3016"/>
      <c r="E37" s="3015"/>
      <c r="F37" s="3015"/>
      <c r="G37" s="3015"/>
      <c r="H37" s="3015"/>
      <c r="I37" s="3015"/>
      <c r="J37" s="3015"/>
      <c r="K37" s="3102"/>
      <c r="L37" s="3102"/>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row>
    <row r="38" ht="14.4" spans="1:44">
      <c r="A38" s="3033" t="s">
        <v>680</v>
      </c>
      <c r="B38" s="3047">
        <v>0.02</v>
      </c>
      <c r="C38" s="3046" t="s">
        <v>679</v>
      </c>
      <c r="D38" s="3016"/>
      <c r="E38" s="3015"/>
      <c r="F38" s="3015"/>
      <c r="G38" s="3015"/>
      <c r="H38" s="3015"/>
      <c r="I38" s="3015"/>
      <c r="J38" s="3015"/>
      <c r="K38" s="3102"/>
      <c r="L38" s="3102"/>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row>
    <row r="39" ht="14.4" spans="1:44">
      <c r="A39" s="3043" t="s">
        <v>681</v>
      </c>
      <c r="B39" s="3051">
        <f ca="1">存贷款利率!I1</f>
        <v>0.015</v>
      </c>
      <c r="C39" s="3052"/>
      <c r="D39" s="3016"/>
      <c r="E39" s="3015"/>
      <c r="F39" s="3015"/>
      <c r="G39" s="3015"/>
      <c r="H39" s="3015"/>
      <c r="I39" s="3015"/>
      <c r="J39" s="3015"/>
      <c r="K39" s="3102"/>
      <c r="L39" s="3102"/>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row>
    <row r="40" ht="29.55" spans="1:44">
      <c r="A40" s="3053" t="s">
        <v>682</v>
      </c>
      <c r="B40" s="3054">
        <f ca="1">IF(A40="利息：取LPR",存贷款利率!G1,存贷款利率!G1+C40)</f>
        <v>0.0415</v>
      </c>
      <c r="C40" s="3055">
        <v>0.005</v>
      </c>
      <c r="D40" s="2490"/>
      <c r="E40" s="3016"/>
      <c r="F40" s="3015"/>
      <c r="G40" s="3015"/>
      <c r="H40" s="3015"/>
      <c r="I40" s="3015"/>
      <c r="J40" s="3015"/>
      <c r="K40" s="3102"/>
      <c r="L40" s="3102"/>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row>
    <row r="41" ht="14.4" spans="1:44">
      <c r="A41" s="3029" t="s">
        <v>683</v>
      </c>
      <c r="B41" s="3056">
        <f>B42+B43</f>
        <v>0.055</v>
      </c>
      <c r="C41" s="3042"/>
      <c r="D41" s="2490"/>
      <c r="E41" s="3016"/>
      <c r="F41" s="3015"/>
      <c r="G41" s="3015"/>
      <c r="H41" s="3015"/>
      <c r="I41" s="3015"/>
      <c r="J41" s="3015"/>
      <c r="K41" s="3102"/>
      <c r="L41" s="3102"/>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row>
    <row r="42" ht="14.4" spans="1:44">
      <c r="A42" s="3057" t="s">
        <v>684</v>
      </c>
      <c r="B42" s="3058">
        <v>0.05</v>
      </c>
      <c r="C42" s="3059">
        <f>IF(B2&lt;DATE(2016,5,1),0,B42)</f>
        <v>0.05</v>
      </c>
      <c r="D42" s="3016"/>
      <c r="E42" s="3015"/>
      <c r="F42" s="3015"/>
      <c r="G42" s="3015"/>
      <c r="H42" s="3015"/>
      <c r="I42" s="3015"/>
      <c r="J42" s="3015"/>
      <c r="K42" s="3102"/>
      <c r="L42" s="3102"/>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row>
    <row r="43" ht="14.4" spans="1:44">
      <c r="A43" s="3057" t="s">
        <v>685</v>
      </c>
      <c r="B43" s="3060">
        <f>B42*(B44+B45+B46)+B47</f>
        <v>0.005</v>
      </c>
      <c r="C43" s="3042"/>
      <c r="D43" s="3016"/>
      <c r="E43" s="3015"/>
      <c r="F43" s="3015"/>
      <c r="G43" s="3015"/>
      <c r="H43" s="3015"/>
      <c r="I43" s="3015"/>
      <c r="J43" s="3015"/>
      <c r="K43" s="3102"/>
      <c r="L43" s="3102"/>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row>
    <row r="44" ht="14.4" spans="1:44">
      <c r="A44" s="3061" t="s">
        <v>686</v>
      </c>
      <c r="B44" s="3062">
        <v>0.05</v>
      </c>
      <c r="C44" s="3046" t="s">
        <v>687</v>
      </c>
      <c r="D44" s="3016"/>
      <c r="E44" s="3015"/>
      <c r="F44" s="3015"/>
      <c r="G44" s="3015"/>
      <c r="H44" s="3015"/>
      <c r="I44" s="3015"/>
      <c r="J44" s="3015"/>
      <c r="K44" s="3102"/>
      <c r="L44" s="3102"/>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row>
    <row r="45" ht="14.4" spans="1:44">
      <c r="A45" s="3061" t="s">
        <v>688</v>
      </c>
      <c r="B45" s="3058">
        <v>0.03</v>
      </c>
      <c r="C45" s="3038" t="s">
        <v>689</v>
      </c>
      <c r="D45" s="3016"/>
      <c r="E45" s="3015"/>
      <c r="F45" s="3015"/>
      <c r="G45" s="3015"/>
      <c r="H45" s="3015"/>
      <c r="I45" s="3015"/>
      <c r="J45" s="3015"/>
      <c r="K45" s="3102"/>
      <c r="L45" s="3102"/>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row>
    <row r="46" ht="14.4" spans="1:44">
      <c r="A46" s="3061" t="s">
        <v>690</v>
      </c>
      <c r="B46" s="3058">
        <v>0.02</v>
      </c>
      <c r="C46" s="3038" t="s">
        <v>691</v>
      </c>
      <c r="D46" s="3016"/>
      <c r="E46" s="3015"/>
      <c r="F46" s="3015"/>
      <c r="G46" s="3015"/>
      <c r="H46" s="3015"/>
      <c r="I46" s="3015"/>
      <c r="J46" s="3015"/>
      <c r="K46" s="3102"/>
      <c r="L46" s="3102"/>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row>
    <row r="47" ht="15.15" spans="1:44">
      <c r="A47" s="3063" t="s">
        <v>692</v>
      </c>
      <c r="B47" s="3064"/>
      <c r="C47" s="3065" t="s">
        <v>693</v>
      </c>
      <c r="D47" s="3016"/>
      <c r="E47" s="3015"/>
      <c r="F47" s="3015"/>
      <c r="G47" s="3015"/>
      <c r="H47" s="3015"/>
      <c r="I47" s="3015"/>
      <c r="J47" s="3015"/>
      <c r="K47" s="3102"/>
      <c r="L47" s="3102"/>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row>
    <row r="48" ht="14.4" spans="1:44">
      <c r="A48" s="3066" t="s">
        <v>694</v>
      </c>
      <c r="B48" s="3067">
        <v>0.03</v>
      </c>
      <c r="C48" s="3038" t="s">
        <v>689</v>
      </c>
      <c r="D48" s="3016"/>
      <c r="E48" s="3015"/>
      <c r="F48" s="3015"/>
      <c r="G48" s="3015"/>
      <c r="H48" s="3015"/>
      <c r="I48" s="3015"/>
      <c r="J48" s="3015"/>
      <c r="K48" s="3102"/>
      <c r="L48" s="3102"/>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row>
    <row r="49" ht="15.15" spans="1:44">
      <c r="A49" s="3043" t="s">
        <v>695</v>
      </c>
      <c r="B49" s="3058">
        <v>0.0005</v>
      </c>
      <c r="C49" s="3038" t="s">
        <v>696</v>
      </c>
      <c r="D49" s="3016"/>
      <c r="E49" s="3015"/>
      <c r="F49" s="3015"/>
      <c r="G49" s="3015"/>
      <c r="H49" s="3015"/>
      <c r="I49" s="3015"/>
      <c r="J49" s="3015"/>
      <c r="K49" s="3102"/>
      <c r="L49" s="3102"/>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row>
    <row r="50" ht="14.4" spans="1:44">
      <c r="A50" s="3068" t="s">
        <v>697</v>
      </c>
      <c r="B50" s="3069">
        <v>0.012</v>
      </c>
      <c r="C50" s="294"/>
      <c r="D50" s="3016"/>
      <c r="E50" s="3015"/>
      <c r="F50" s="3015"/>
      <c r="G50" s="3015"/>
      <c r="H50" s="3015"/>
      <c r="I50" s="3015"/>
      <c r="J50" s="3015"/>
      <c r="K50" s="3102"/>
      <c r="L50" s="3102"/>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row>
    <row r="51" ht="15.15" spans="1:44">
      <c r="A51" s="3036" t="s">
        <v>698</v>
      </c>
      <c r="B51" s="3070">
        <v>0.12</v>
      </c>
      <c r="C51" s="294"/>
      <c r="D51" s="3016"/>
      <c r="E51" s="3015"/>
      <c r="F51" s="3015"/>
      <c r="G51" s="3015"/>
      <c r="H51" s="3015"/>
      <c r="I51" s="3015"/>
      <c r="J51" s="3015"/>
      <c r="K51" s="3102"/>
      <c r="L51" s="3102"/>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row>
    <row r="52" ht="14.4" spans="1:44">
      <c r="A52" s="3068" t="s">
        <v>699</v>
      </c>
      <c r="B52" s="3071">
        <f>SUMIF(A54:A63,B53,B54:B63)</f>
        <v>0</v>
      </c>
      <c r="C52" s="294"/>
      <c r="D52" s="3016"/>
      <c r="E52" s="3015"/>
      <c r="F52" s="3015"/>
      <c r="G52" s="3015"/>
      <c r="H52" s="3015"/>
      <c r="I52" s="3015"/>
      <c r="J52" s="3015"/>
      <c r="K52" s="3102"/>
      <c r="L52" s="3102"/>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row>
    <row r="53" ht="28.8" spans="1:44">
      <c r="A53" s="3033" t="s">
        <v>700</v>
      </c>
      <c r="B53" s="3072"/>
      <c r="C53" s="294" t="s">
        <v>701</v>
      </c>
      <c r="D53" s="3073" t="s">
        <v>702</v>
      </c>
      <c r="E53" s="3015"/>
      <c r="F53" s="3015"/>
      <c r="G53" s="3015"/>
      <c r="H53" s="3015"/>
      <c r="I53" s="3015"/>
      <c r="J53" s="3015"/>
      <c r="K53" s="3102"/>
      <c r="L53" s="3102"/>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row>
    <row r="54" ht="14.4" spans="1:44">
      <c r="A54" s="3074" t="s">
        <v>703</v>
      </c>
      <c r="B54" s="3075"/>
      <c r="C54" s="294">
        <v>30</v>
      </c>
      <c r="D54" s="3016"/>
      <c r="E54" s="3015"/>
      <c r="F54" s="3015"/>
      <c r="G54" s="3015"/>
      <c r="H54" s="3015"/>
      <c r="I54" s="3015"/>
      <c r="J54" s="3015"/>
      <c r="K54" s="3102"/>
      <c r="L54" s="3102"/>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row>
    <row r="55" ht="14.4" spans="1:44">
      <c r="A55" s="3074" t="s">
        <v>704</v>
      </c>
      <c r="B55" s="3075"/>
      <c r="C55" s="294">
        <v>24</v>
      </c>
      <c r="D55" s="3016"/>
      <c r="E55" s="3015"/>
      <c r="F55" s="3015"/>
      <c r="G55" s="3015"/>
      <c r="H55" s="3015"/>
      <c r="I55" s="3103"/>
      <c r="J55" s="3015"/>
      <c r="K55" s="3102"/>
      <c r="L55" s="3102"/>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row>
    <row r="56" ht="14.4" spans="1:44">
      <c r="A56" s="3074" t="s">
        <v>705</v>
      </c>
      <c r="B56" s="3075"/>
      <c r="C56" s="294">
        <v>18</v>
      </c>
      <c r="D56" s="3016"/>
      <c r="E56" s="3015"/>
      <c r="F56" s="3015"/>
      <c r="G56" s="3015"/>
      <c r="H56" s="3015"/>
      <c r="I56" s="3015"/>
      <c r="J56" s="3015"/>
      <c r="K56" s="3102"/>
      <c r="L56" s="3102"/>
      <c r="M56" s="2490"/>
      <c r="N56" s="2490"/>
      <c r="O56" s="2490"/>
      <c r="P56" s="2490"/>
      <c r="Q56" s="2490"/>
      <c r="R56" s="2490"/>
      <c r="S56" s="2490"/>
      <c r="T56" s="2490"/>
      <c r="U56" s="2490"/>
      <c r="V56" s="2490"/>
      <c r="W56" s="2490"/>
      <c r="X56" s="2490"/>
      <c r="Y56" s="2490"/>
      <c r="Z56" s="2490"/>
      <c r="AA56" s="2490"/>
      <c r="AB56" s="2490"/>
      <c r="AC56" s="2490"/>
      <c r="AD56" s="2490"/>
      <c r="AE56" s="2490"/>
      <c r="AF56" s="2490"/>
      <c r="AG56" s="2490"/>
      <c r="AH56" s="2490"/>
      <c r="AI56" s="2490"/>
      <c r="AJ56" s="2490"/>
      <c r="AK56" s="2490"/>
      <c r="AL56" s="2490"/>
      <c r="AM56" s="2490"/>
      <c r="AN56" s="2490"/>
      <c r="AO56" s="2490"/>
      <c r="AP56" s="2490"/>
      <c r="AQ56" s="2490"/>
      <c r="AR56" s="2490"/>
    </row>
    <row r="57" ht="14.4" spans="1:44">
      <c r="A57" s="3074" t="s">
        <v>706</v>
      </c>
      <c r="B57" s="3075"/>
      <c r="C57" s="294">
        <v>12</v>
      </c>
      <c r="D57" s="3016"/>
      <c r="E57" s="3015"/>
      <c r="F57" s="3015"/>
      <c r="G57" s="3015"/>
      <c r="H57" s="3015"/>
      <c r="I57" s="3015"/>
      <c r="J57" s="3015"/>
      <c r="K57" s="3102"/>
      <c r="L57" s="3102"/>
      <c r="M57" s="2490"/>
      <c r="N57" s="2490"/>
      <c r="O57" s="2490"/>
      <c r="P57" s="2490"/>
      <c r="Q57" s="2490"/>
      <c r="R57" s="2490"/>
      <c r="S57" s="2490"/>
      <c r="T57" s="2490"/>
      <c r="U57" s="2490"/>
      <c r="V57" s="2490"/>
      <c r="W57" s="2490"/>
      <c r="X57" s="2490"/>
      <c r="Y57" s="2490"/>
      <c r="Z57" s="2490"/>
      <c r="AA57" s="2490"/>
      <c r="AB57" s="2490"/>
      <c r="AC57" s="2490"/>
      <c r="AD57" s="2490"/>
      <c r="AE57" s="2490"/>
      <c r="AF57" s="2490"/>
      <c r="AG57" s="2490"/>
      <c r="AH57" s="2490"/>
      <c r="AI57" s="2490"/>
      <c r="AJ57" s="2490"/>
      <c r="AK57" s="2490"/>
      <c r="AL57" s="2490"/>
      <c r="AM57" s="2490"/>
      <c r="AN57" s="2490"/>
      <c r="AO57" s="2490"/>
      <c r="AP57" s="2490"/>
      <c r="AQ57" s="2490"/>
      <c r="AR57" s="2490"/>
    </row>
    <row r="58" ht="14.4" spans="1:44">
      <c r="A58" s="3074" t="s">
        <v>707</v>
      </c>
      <c r="B58" s="3075"/>
      <c r="C58" s="294">
        <v>3</v>
      </c>
      <c r="D58" s="3016"/>
      <c r="E58" s="3015"/>
      <c r="F58" s="3015"/>
      <c r="G58" s="3015"/>
      <c r="H58" s="3015"/>
      <c r="I58" s="3015"/>
      <c r="J58" s="3015"/>
      <c r="K58" s="3102"/>
      <c r="L58" s="3102"/>
      <c r="M58" s="2490"/>
      <c r="N58" s="2490"/>
      <c r="O58" s="2490"/>
      <c r="P58" s="2490"/>
      <c r="Q58" s="2490"/>
      <c r="R58" s="2490"/>
      <c r="S58" s="2490"/>
      <c r="T58" s="2490"/>
      <c r="U58" s="2490"/>
      <c r="V58" s="2490"/>
      <c r="W58" s="2490"/>
      <c r="X58" s="2490"/>
      <c r="Y58" s="2490"/>
      <c r="Z58" s="2490"/>
      <c r="AA58" s="2490"/>
      <c r="AB58" s="2490"/>
      <c r="AC58" s="2490"/>
      <c r="AD58" s="2490"/>
      <c r="AE58" s="2490"/>
      <c r="AF58" s="2490"/>
      <c r="AG58" s="2490"/>
      <c r="AH58" s="2490"/>
      <c r="AI58" s="2490"/>
      <c r="AJ58" s="2490"/>
      <c r="AK58" s="2490"/>
      <c r="AL58" s="2490"/>
      <c r="AM58" s="2490"/>
      <c r="AN58" s="2490"/>
      <c r="AO58" s="2490"/>
      <c r="AP58" s="2490"/>
      <c r="AQ58" s="2490"/>
      <c r="AR58" s="2490"/>
    </row>
    <row r="59" ht="14.4" spans="1:44">
      <c r="A59" s="3074" t="s">
        <v>708</v>
      </c>
      <c r="B59" s="3075"/>
      <c r="C59" s="294">
        <v>1.5</v>
      </c>
      <c r="D59" s="3016"/>
      <c r="E59" s="3015"/>
      <c r="F59" s="3015"/>
      <c r="G59" s="3015"/>
      <c r="H59" s="3015"/>
      <c r="I59" s="3015"/>
      <c r="J59" s="3015"/>
      <c r="K59" s="3102"/>
      <c r="L59" s="3102"/>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row>
    <row r="60" ht="14.4" spans="1:44">
      <c r="A60" s="3074" t="s">
        <v>709</v>
      </c>
      <c r="B60" s="3075"/>
      <c r="C60" s="3015"/>
      <c r="D60" s="3016"/>
      <c r="E60" s="3015"/>
      <c r="F60" s="3015"/>
      <c r="G60" s="3015"/>
      <c r="H60" s="3015"/>
      <c r="I60" s="3015"/>
      <c r="J60" s="3015"/>
      <c r="K60" s="3102"/>
      <c r="L60" s="3102"/>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row>
    <row r="61" ht="14.4" spans="1:44">
      <c r="A61" s="3074" t="s">
        <v>710</v>
      </c>
      <c r="B61" s="3075"/>
      <c r="C61" s="3015"/>
      <c r="D61" s="3016"/>
      <c r="E61" s="3015"/>
      <c r="F61" s="3015"/>
      <c r="G61" s="3015"/>
      <c r="H61" s="3015"/>
      <c r="I61" s="3015"/>
      <c r="J61" s="3015"/>
      <c r="K61" s="3102"/>
      <c r="L61" s="3102"/>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row>
    <row r="62" ht="14.4" spans="1:44">
      <c r="A62" s="3074" t="s">
        <v>711</v>
      </c>
      <c r="B62" s="3075"/>
      <c r="C62" s="3015"/>
      <c r="D62" s="3016"/>
      <c r="E62" s="3015"/>
      <c r="F62" s="3015"/>
      <c r="G62" s="3015"/>
      <c r="H62" s="3015"/>
      <c r="I62" s="3015"/>
      <c r="J62" s="3015"/>
      <c r="K62" s="3102"/>
      <c r="L62" s="3102"/>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row>
    <row r="63" ht="15.15" spans="1:44">
      <c r="A63" s="3076" t="s">
        <v>712</v>
      </c>
      <c r="B63" s="3077"/>
      <c r="C63" s="3015"/>
      <c r="D63" s="3016"/>
      <c r="E63" s="3015"/>
      <c r="F63" s="3015"/>
      <c r="G63" s="3015"/>
      <c r="H63" s="3015"/>
      <c r="I63" s="3015"/>
      <c r="J63" s="3015"/>
      <c r="K63" s="3102"/>
      <c r="L63" s="3102"/>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row>
    <row r="64" s="2561" customFormat="1" spans="1:44">
      <c r="A64" s="3078"/>
      <c r="B64" s="2490"/>
      <c r="C64" s="2490"/>
      <c r="D64" s="3013"/>
      <c r="E64" s="2490"/>
      <c r="F64" s="2490"/>
      <c r="G64" s="2490"/>
      <c r="H64" s="2490"/>
      <c r="I64" s="2490"/>
      <c r="J64" s="2490"/>
      <c r="K64" s="3102"/>
      <c r="L64" s="3102"/>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row>
    <row r="65" s="2561" customFormat="1" spans="1:44">
      <c r="A65" s="3078"/>
      <c r="B65" s="2490"/>
      <c r="C65" s="2490"/>
      <c r="D65" s="3013"/>
      <c r="E65" s="2490"/>
      <c r="F65" s="2490"/>
      <c r="G65" s="2490"/>
      <c r="H65" s="2490"/>
      <c r="I65" s="2490"/>
      <c r="J65" s="2490"/>
      <c r="K65" s="3102"/>
      <c r="L65" s="3102"/>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row>
    <row r="66" s="2561" customFormat="1" spans="1:44">
      <c r="A66" s="3078"/>
      <c r="B66" s="2490"/>
      <c r="C66" s="2490"/>
      <c r="D66" s="3013"/>
      <c r="E66" s="2490"/>
      <c r="F66" s="2490"/>
      <c r="G66" s="2490"/>
      <c r="H66" s="2490"/>
      <c r="I66" s="2490"/>
      <c r="J66" s="2490"/>
      <c r="K66" s="3102"/>
      <c r="L66" s="3102"/>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row>
    <row r="67" s="2561" customFormat="1" spans="1:44">
      <c r="A67" s="3078"/>
      <c r="B67" s="2490"/>
      <c r="C67" s="2490"/>
      <c r="D67" s="3013"/>
      <c r="E67" s="2490"/>
      <c r="F67" s="2490"/>
      <c r="G67" s="2490"/>
      <c r="H67" s="2490"/>
      <c r="I67" s="2490"/>
      <c r="J67" s="2490"/>
      <c r="K67" s="3102"/>
      <c r="L67" s="3102"/>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row>
    <row r="68" s="2561" customFormat="1" spans="1:44">
      <c r="A68" s="3078"/>
      <c r="B68" s="2490"/>
      <c r="C68" s="2490"/>
      <c r="D68" s="3013"/>
      <c r="E68" s="2490"/>
      <c r="F68" s="2490"/>
      <c r="G68" s="2490"/>
      <c r="H68" s="2490"/>
      <c r="I68" s="2490"/>
      <c r="J68" s="2490"/>
      <c r="K68" s="3102"/>
      <c r="L68" s="3102"/>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row>
    <row r="69" s="2561" customFormat="1" spans="1:12">
      <c r="A69" s="2874"/>
      <c r="D69" s="3167"/>
      <c r="K69" s="1469"/>
      <c r="L69" s="1469"/>
    </row>
    <row r="70" s="2561" customFormat="1" spans="1:12">
      <c r="A70" s="2874"/>
      <c r="D70" s="3167"/>
      <c r="K70" s="1469"/>
      <c r="L70" s="1469"/>
    </row>
    <row r="71" s="2561" customFormat="1" spans="1:12">
      <c r="A71" s="2874"/>
      <c r="D71" s="3167"/>
      <c r="K71" s="1469"/>
      <c r="L71" s="1469"/>
    </row>
    <row r="72" s="2561" customFormat="1" spans="1:12">
      <c r="A72" s="2874"/>
      <c r="D72" s="3167"/>
      <c r="K72" s="1469"/>
      <c r="L72" s="1469"/>
    </row>
    <row r="73" s="2561" customFormat="1" spans="1:12">
      <c r="A73" s="2874"/>
      <c r="D73" s="3167"/>
      <c r="K73" s="1469"/>
      <c r="L73" s="1469"/>
    </row>
    <row r="74" s="2561" customFormat="1" spans="1:12">
      <c r="A74" s="2874"/>
      <c r="D74" s="3167"/>
      <c r="K74" s="1469"/>
      <c r="L74" s="1469"/>
    </row>
    <row r="75" s="2561" customFormat="1" spans="1:12">
      <c r="A75" s="2874"/>
      <c r="D75" s="3167"/>
      <c r="K75" s="1469"/>
      <c r="L75" s="1469"/>
    </row>
    <row r="76" s="2561" customFormat="1" spans="1:12">
      <c r="A76" s="2874"/>
      <c r="D76" s="3167"/>
      <c r="K76" s="1469"/>
      <c r="L76" s="1469"/>
    </row>
    <row r="77" s="2561" customFormat="1" spans="1:12">
      <c r="A77" s="2874"/>
      <c r="D77" s="3167"/>
      <c r="K77" s="1469"/>
      <c r="L77" s="1469"/>
    </row>
    <row r="78" s="2561" customFormat="1" spans="1:12">
      <c r="A78" s="2874"/>
      <c r="D78" s="3167"/>
      <c r="K78" s="1469"/>
      <c r="L78" s="1469"/>
    </row>
    <row r="79" s="2561" customFormat="1" spans="1:12">
      <c r="A79" s="2874"/>
      <c r="D79" s="3167"/>
      <c r="K79" s="1469"/>
      <c r="L79" s="1469"/>
    </row>
    <row r="80" s="2561" customFormat="1" spans="1:12">
      <c r="A80" s="2874"/>
      <c r="D80" s="3167"/>
      <c r="K80" s="1469"/>
      <c r="L80" s="1469"/>
    </row>
    <row r="81" s="2561" customFormat="1" spans="1:12">
      <c r="A81" s="2874"/>
      <c r="D81" s="3167"/>
      <c r="K81" s="1469"/>
      <c r="L81" s="1469"/>
    </row>
    <row r="82" s="2561" customFormat="1" spans="1:12">
      <c r="A82" s="2874"/>
      <c r="D82" s="3167"/>
      <c r="K82" s="1469"/>
      <c r="L82" s="1469"/>
    </row>
    <row r="83" s="2561" customFormat="1" spans="1:12">
      <c r="A83" s="2874"/>
      <c r="D83" s="3167"/>
      <c r="K83" s="1469"/>
      <c r="L83" s="1469"/>
    </row>
    <row r="84" s="2561" customFormat="1" spans="1:12">
      <c r="A84" s="2874"/>
      <c r="D84" s="3167"/>
      <c r="K84" s="1469"/>
      <c r="L84" s="1469"/>
    </row>
    <row r="85" s="2561" customFormat="1" spans="1:12">
      <c r="A85" s="2874"/>
      <c r="D85" s="3167"/>
      <c r="K85" s="1469"/>
      <c r="L85" s="1469"/>
    </row>
    <row r="86" s="2561" customFormat="1" spans="1:12">
      <c r="A86" s="2874"/>
      <c r="D86" s="3167"/>
      <c r="K86" s="1469"/>
      <c r="L86" s="1469"/>
    </row>
    <row r="87" s="2561" customFormat="1" spans="1:12">
      <c r="A87" s="2874"/>
      <c r="D87" s="3167"/>
      <c r="K87" s="1469"/>
      <c r="L87" s="1469"/>
    </row>
    <row r="88" s="2561" customFormat="1" spans="1:12">
      <c r="A88" s="2874"/>
      <c r="D88" s="3167"/>
      <c r="K88" s="1469"/>
      <c r="L88" s="1469"/>
    </row>
    <row r="89" s="2561" customFormat="1" spans="1:12">
      <c r="A89" s="2874"/>
      <c r="D89" s="3167"/>
      <c r="K89" s="1469"/>
      <c r="L89" s="1469"/>
    </row>
    <row r="90" s="2561" customFormat="1" spans="1:12">
      <c r="A90" s="2874"/>
      <c r="D90" s="3167"/>
      <c r="K90" s="1469"/>
      <c r="L90" s="1469"/>
    </row>
    <row r="91" s="2561" customFormat="1" spans="1:12">
      <c r="A91" s="2874"/>
      <c r="D91" s="3167"/>
      <c r="K91" s="1469"/>
      <c r="L91" s="1469"/>
    </row>
    <row r="92" s="2561" customFormat="1" spans="1:12">
      <c r="A92" s="2874"/>
      <c r="D92" s="3167"/>
      <c r="K92" s="1469"/>
      <c r="L92" s="1469"/>
    </row>
    <row r="93" s="2561" customFormat="1" spans="1:12">
      <c r="A93" s="2874"/>
      <c r="D93" s="3167"/>
      <c r="K93" s="1469"/>
      <c r="L93" s="1469"/>
    </row>
    <row r="94" s="2561" customFormat="1" spans="1:12">
      <c r="A94" s="2874"/>
      <c r="D94" s="3167"/>
      <c r="K94" s="1469"/>
      <c r="L94" s="1469"/>
    </row>
    <row r="95" s="2561" customFormat="1" spans="1:12">
      <c r="A95" s="2874"/>
      <c r="D95" s="3167"/>
      <c r="K95" s="1469"/>
      <c r="L95" s="1469"/>
    </row>
    <row r="96" s="2561" customFormat="1" spans="1:12">
      <c r="A96" s="2874"/>
      <c r="D96" s="3167"/>
      <c r="K96" s="1469"/>
      <c r="L96" s="1469"/>
    </row>
    <row r="97" s="2561" customFormat="1" spans="1:12">
      <c r="A97" s="2874"/>
      <c r="D97" s="3167"/>
      <c r="K97" s="1469"/>
      <c r="L97" s="1469"/>
    </row>
    <row r="98" s="2561" customFormat="1" spans="1:12">
      <c r="A98" s="2874"/>
      <c r="D98" s="3167"/>
      <c r="K98" s="1469"/>
      <c r="L98" s="1469"/>
    </row>
    <row r="99" s="2561" customFormat="1" spans="1:12">
      <c r="A99" s="2874"/>
      <c r="D99" s="3167"/>
      <c r="K99" s="1469"/>
      <c r="L99" s="1469"/>
    </row>
    <row r="100" s="2561" customFormat="1" spans="1:12">
      <c r="A100" s="2874"/>
      <c r="D100" s="3167"/>
      <c r="K100" s="1469"/>
      <c r="L100" s="1469"/>
    </row>
    <row r="101" s="2561" customFormat="1" spans="1:12">
      <c r="A101" s="2874"/>
      <c r="D101" s="3167"/>
      <c r="K101" s="1469"/>
      <c r="L101" s="1469"/>
    </row>
    <row r="102" s="2561" customFormat="1" spans="1:12">
      <c r="A102" s="2874"/>
      <c r="D102" s="3167"/>
      <c r="K102" s="1469"/>
      <c r="L102" s="1469"/>
    </row>
    <row r="103" s="2561" customFormat="1" spans="1:12">
      <c r="A103" s="2874"/>
      <c r="D103" s="3167"/>
      <c r="K103" s="1469"/>
      <c r="L103" s="1469"/>
    </row>
    <row r="104" s="2561" customFormat="1" spans="1:12">
      <c r="A104" s="2874"/>
      <c r="D104" s="3167"/>
      <c r="K104" s="1469"/>
      <c r="L104" s="1469"/>
    </row>
    <row r="105" s="2561" customFormat="1" spans="1:12">
      <c r="A105" s="2874"/>
      <c r="D105" s="3167"/>
      <c r="K105" s="1469"/>
      <c r="L105" s="1469"/>
    </row>
    <row r="106" s="2561" customFormat="1" spans="1:12">
      <c r="A106" s="2874"/>
      <c r="D106" s="3167"/>
      <c r="K106" s="1469"/>
      <c r="L106" s="1469"/>
    </row>
    <row r="107" s="2561" customFormat="1" spans="1:12">
      <c r="A107" s="2874"/>
      <c r="D107" s="3167"/>
      <c r="K107" s="1469"/>
      <c r="L107" s="1469"/>
    </row>
    <row r="108" s="2561" customFormat="1" spans="1:12">
      <c r="A108" s="2874"/>
      <c r="D108" s="3167"/>
      <c r="K108" s="1469"/>
      <c r="L108" s="1469"/>
    </row>
    <row r="109" s="2561" customFormat="1" spans="1:12">
      <c r="A109" s="2874"/>
      <c r="D109" s="3167"/>
      <c r="K109" s="1469"/>
      <c r="L109" s="1469"/>
    </row>
    <row r="110" s="2561" customFormat="1" spans="1:12">
      <c r="A110" s="2874"/>
      <c r="D110" s="3167"/>
      <c r="K110" s="1469"/>
      <c r="L110" s="1469"/>
    </row>
    <row r="111" s="2561" customFormat="1" spans="1:12">
      <c r="A111" s="2874"/>
      <c r="D111" s="3167"/>
      <c r="K111" s="1469"/>
      <c r="L111" s="1469"/>
    </row>
    <row r="112" s="2561" customFormat="1" spans="1:12">
      <c r="A112" s="2874"/>
      <c r="D112" s="3167"/>
      <c r="K112" s="1469"/>
      <c r="L112" s="1469"/>
    </row>
    <row r="113" s="2561" customFormat="1" spans="1:12">
      <c r="A113" s="2874"/>
      <c r="D113" s="3167"/>
      <c r="K113" s="1469"/>
      <c r="L113" s="1469"/>
    </row>
    <row r="114" s="2561" customFormat="1" spans="1:12">
      <c r="A114" s="2874"/>
      <c r="D114" s="3167"/>
      <c r="K114" s="1469"/>
      <c r="L114" s="1469"/>
    </row>
    <row r="115" s="2561" customFormat="1" spans="1:12">
      <c r="A115" s="2874"/>
      <c r="D115" s="3167"/>
      <c r="K115" s="1469"/>
      <c r="L115" s="1469"/>
    </row>
    <row r="116" s="2561" customFormat="1" spans="1:12">
      <c r="A116" s="2874"/>
      <c r="D116" s="3167"/>
      <c r="K116" s="1469"/>
      <c r="L116" s="1469"/>
    </row>
    <row r="117" s="2561" customFormat="1" spans="1:12">
      <c r="A117" s="2874"/>
      <c r="D117" s="3167"/>
      <c r="K117" s="1469"/>
      <c r="L117" s="1469"/>
    </row>
    <row r="118" s="2561" customFormat="1" spans="1:12">
      <c r="A118" s="2874"/>
      <c r="D118" s="3167"/>
      <c r="K118" s="1469"/>
      <c r="L118" s="1469"/>
    </row>
    <row r="119" s="2561" customFormat="1" spans="1:12">
      <c r="A119" s="2874"/>
      <c r="D119" s="3167"/>
      <c r="K119" s="1469"/>
      <c r="L119" s="1469"/>
    </row>
    <row r="120" s="2561" customFormat="1" spans="1:12">
      <c r="A120" s="2874"/>
      <c r="D120" s="3167"/>
      <c r="K120" s="1469"/>
      <c r="L120" s="1469"/>
    </row>
    <row r="121" s="2561" customFormat="1" spans="1:12">
      <c r="A121" s="2874"/>
      <c r="D121" s="3167"/>
      <c r="K121" s="1469"/>
      <c r="L121" s="1469"/>
    </row>
    <row r="122" s="2561" customFormat="1" spans="1:12">
      <c r="A122" s="2874"/>
      <c r="D122" s="3167"/>
      <c r="K122" s="1469"/>
      <c r="L122" s="1469"/>
    </row>
    <row r="123" s="2561" customFormat="1" spans="1:12">
      <c r="A123" s="2874"/>
      <c r="D123" s="3167"/>
      <c r="K123" s="1469"/>
      <c r="L123" s="1469"/>
    </row>
    <row r="124" s="2561" customFormat="1" spans="1:12">
      <c r="A124" s="2874"/>
      <c r="D124" s="3167"/>
      <c r="K124" s="1469"/>
      <c r="L124" s="1469"/>
    </row>
    <row r="125" s="2561" customFormat="1" spans="1:12">
      <c r="A125" s="2874"/>
      <c r="D125" s="3167"/>
      <c r="K125" s="1469"/>
      <c r="L125" s="1469"/>
    </row>
    <row r="126" s="2561" customFormat="1" spans="1:12">
      <c r="A126" s="2874"/>
      <c r="D126" s="3167"/>
      <c r="K126" s="1469"/>
      <c r="L126" s="1469"/>
    </row>
    <row r="127" s="2561" customFormat="1" spans="1:12">
      <c r="A127" s="2874"/>
      <c r="D127" s="3167"/>
      <c r="K127" s="1469"/>
      <c r="L127" s="1469"/>
    </row>
    <row r="128" s="2561" customFormat="1" spans="1:12">
      <c r="A128" s="2874"/>
      <c r="D128" s="3167"/>
      <c r="K128" s="1469"/>
      <c r="L128" s="1469"/>
    </row>
    <row r="129" s="2561" customFormat="1" spans="1:12">
      <c r="A129" s="2874"/>
      <c r="D129" s="3167"/>
      <c r="K129" s="1469"/>
      <c r="L129" s="1469"/>
    </row>
    <row r="130" s="2561" customFormat="1" spans="1:12">
      <c r="A130" s="2874"/>
      <c r="D130" s="3167"/>
      <c r="K130" s="1469"/>
      <c r="L130" s="1469"/>
    </row>
    <row r="131" s="2561" customFormat="1" spans="1:12">
      <c r="A131" s="2874"/>
      <c r="D131" s="3167"/>
      <c r="K131" s="1469"/>
      <c r="L131" s="1469"/>
    </row>
    <row r="132" s="2561" customFormat="1" spans="1:12">
      <c r="A132" s="2874"/>
      <c r="D132" s="3167"/>
      <c r="K132" s="1469"/>
      <c r="L132" s="1469"/>
    </row>
    <row r="133" s="2561" customFormat="1" spans="1:12">
      <c r="A133" s="2874"/>
      <c r="D133" s="3167"/>
      <c r="K133" s="1469"/>
      <c r="L133" s="1469"/>
    </row>
    <row r="134" s="2972" customFormat="1" spans="1:12">
      <c r="A134" s="3168"/>
      <c r="D134" s="3169"/>
      <c r="K134" s="1370"/>
      <c r="L134" s="1370"/>
    </row>
    <row r="135" s="2972" customFormat="1" spans="1:12">
      <c r="A135" s="3168"/>
      <c r="D135" s="3169"/>
      <c r="K135" s="1370"/>
      <c r="L135" s="1370"/>
    </row>
    <row r="136" s="2972" customFormat="1" spans="1:12">
      <c r="A136" s="3168"/>
      <c r="D136" s="3169"/>
      <c r="K136" s="1370"/>
      <c r="L136" s="1370"/>
    </row>
    <row r="137" s="2972" customFormat="1" spans="1:12">
      <c r="A137" s="3168"/>
      <c r="D137" s="3169"/>
      <c r="K137" s="1370"/>
      <c r="L137" s="1370"/>
    </row>
    <row r="138" s="2972" customFormat="1" spans="1:12">
      <c r="A138" s="3168"/>
      <c r="D138" s="3169"/>
      <c r="K138" s="1370"/>
      <c r="L138" s="1370"/>
    </row>
    <row r="139" s="2972" customFormat="1" spans="1:12">
      <c r="A139" s="3168"/>
      <c r="D139" s="3169"/>
      <c r="K139" s="1370"/>
      <c r="L139" s="1370"/>
    </row>
    <row r="140" s="2972" customFormat="1" spans="1:12">
      <c r="A140" s="3168"/>
      <c r="D140" s="3169"/>
      <c r="K140" s="1370"/>
      <c r="L140" s="1370"/>
    </row>
    <row r="141" s="2972" customFormat="1" spans="1:12">
      <c r="A141" s="3168"/>
      <c r="D141" s="3169"/>
      <c r="K141" s="1370"/>
      <c r="L141" s="1370"/>
    </row>
    <row r="142" s="2972" customFormat="1" spans="1:12">
      <c r="A142" s="3168"/>
      <c r="D142" s="3169"/>
      <c r="K142" s="1370"/>
      <c r="L142" s="1370"/>
    </row>
    <row r="143" s="2972" customFormat="1" spans="1:12">
      <c r="A143" s="3168"/>
      <c r="D143" s="3169"/>
      <c r="K143" s="1370"/>
      <c r="L143" s="1370"/>
    </row>
    <row r="144" s="2972" customFormat="1" spans="1:12">
      <c r="A144" s="3168"/>
      <c r="D144" s="3169"/>
      <c r="K144" s="1370"/>
      <c r="L144" s="1370"/>
    </row>
    <row r="145" s="2972" customFormat="1" spans="1:12">
      <c r="A145" s="3168"/>
      <c r="D145" s="3169"/>
      <c r="K145" s="1370"/>
      <c r="L145" s="1370"/>
    </row>
    <row r="146" s="2972" customFormat="1" spans="1:12">
      <c r="A146" s="3168"/>
      <c r="D146" s="3169"/>
      <c r="K146" s="1370"/>
      <c r="L146" s="1370"/>
    </row>
    <row r="147" s="2972" customFormat="1" spans="1:12">
      <c r="A147" s="3168"/>
      <c r="D147" s="3169"/>
      <c r="K147" s="1370"/>
      <c r="L147" s="1370"/>
    </row>
    <row r="148" s="2972" customFormat="1" spans="1:12">
      <c r="A148" s="3168"/>
      <c r="D148" s="3169"/>
      <c r="K148" s="1370"/>
      <c r="L148" s="1370"/>
    </row>
    <row r="149" s="2972" customFormat="1" spans="1:12">
      <c r="A149" s="3168"/>
      <c r="D149" s="3169"/>
      <c r="K149" s="1370"/>
      <c r="L149" s="1370"/>
    </row>
    <row r="150" s="2972" customFormat="1" spans="1:12">
      <c r="A150" s="3168"/>
      <c r="D150" s="3169"/>
      <c r="K150" s="1370"/>
      <c r="L150" s="1370"/>
    </row>
    <row r="151" s="2972" customFormat="1" spans="1:12">
      <c r="A151" s="3168"/>
      <c r="D151" s="3169"/>
      <c r="K151" s="1370"/>
      <c r="L151" s="1370"/>
    </row>
    <row r="152" s="2972" customFormat="1" spans="1:12">
      <c r="A152" s="3168"/>
      <c r="D152" s="3169"/>
      <c r="K152" s="1370"/>
      <c r="L152" s="1370"/>
    </row>
    <row r="153" s="2972" customFormat="1" spans="1:12">
      <c r="A153" s="3168"/>
      <c r="D153" s="3169"/>
      <c r="K153" s="1370"/>
      <c r="L153" s="1370"/>
    </row>
    <row r="154" s="2972" customFormat="1" spans="1:12">
      <c r="A154" s="3168"/>
      <c r="D154" s="3169"/>
      <c r="K154" s="1370"/>
      <c r="L154" s="1370"/>
    </row>
    <row r="155" s="2972" customFormat="1" spans="1:12">
      <c r="A155" s="3168"/>
      <c r="D155" s="3169"/>
      <c r="K155" s="1370"/>
      <c r="L155" s="1370"/>
    </row>
    <row r="156" s="2972" customFormat="1" spans="1:12">
      <c r="A156" s="3168"/>
      <c r="D156" s="3169"/>
      <c r="K156" s="1370"/>
      <c r="L156" s="1370"/>
    </row>
    <row r="157" s="2972" customFormat="1" spans="1:12">
      <c r="A157" s="3168"/>
      <c r="D157" s="3169"/>
      <c r="K157" s="1370"/>
      <c r="L157" s="1370"/>
    </row>
    <row r="158" s="2972" customFormat="1" spans="1:12">
      <c r="A158" s="3168"/>
      <c r="D158" s="3169"/>
      <c r="K158" s="1370"/>
      <c r="L158" s="1370"/>
    </row>
    <row r="159" s="2972" customFormat="1" spans="1:12">
      <c r="A159" s="3168"/>
      <c r="D159" s="3169"/>
      <c r="K159" s="1370"/>
      <c r="L159" s="1370"/>
    </row>
    <row r="160" s="2972" customFormat="1" spans="1:12">
      <c r="A160" s="3168"/>
      <c r="D160" s="3169"/>
      <c r="K160" s="1370"/>
      <c r="L160" s="1370"/>
    </row>
    <row r="161" s="2972" customFormat="1" spans="1:12">
      <c r="A161" s="3168"/>
      <c r="D161" s="3169"/>
      <c r="K161" s="1370"/>
      <c r="L161" s="1370"/>
    </row>
    <row r="162" s="2972" customFormat="1" spans="1:12">
      <c r="A162" s="3168"/>
      <c r="D162" s="3169"/>
      <c r="K162" s="1370"/>
      <c r="L162" s="1370"/>
    </row>
    <row r="163" s="2972" customFormat="1" spans="1:12">
      <c r="A163" s="3168"/>
      <c r="D163" s="3169"/>
      <c r="K163" s="1370"/>
      <c r="L163" s="1370"/>
    </row>
    <row r="164" s="2972" customFormat="1" spans="1:12">
      <c r="A164" s="3168"/>
      <c r="D164" s="3169"/>
      <c r="K164" s="1370"/>
      <c r="L164" s="1370"/>
    </row>
    <row r="165" s="2972" customFormat="1" spans="1:12">
      <c r="A165" s="3168"/>
      <c r="D165" s="3169"/>
      <c r="K165" s="1370"/>
      <c r="L165" s="1370"/>
    </row>
    <row r="166" s="2972" customFormat="1" spans="1:12">
      <c r="A166" s="3168"/>
      <c r="D166" s="3169"/>
      <c r="K166" s="1370"/>
      <c r="L166" s="1370"/>
    </row>
    <row r="167" s="2972" customFormat="1" spans="1:12">
      <c r="A167" s="3168"/>
      <c r="D167" s="3169"/>
      <c r="K167" s="1370"/>
      <c r="L167" s="1370"/>
    </row>
    <row r="168" s="2972" customFormat="1" spans="1:12">
      <c r="A168" s="3168"/>
      <c r="D168" s="3169"/>
      <c r="K168" s="1370"/>
      <c r="L168" s="1370"/>
    </row>
    <row r="169" s="2972" customFormat="1" spans="1:12">
      <c r="A169" s="3168"/>
      <c r="D169" s="3169"/>
      <c r="K169" s="1370"/>
      <c r="L169" s="1370"/>
    </row>
    <row r="170" s="2972" customFormat="1" spans="1:12">
      <c r="A170" s="3168"/>
      <c r="D170" s="3169"/>
      <c r="K170" s="1370"/>
      <c r="L170" s="1370"/>
    </row>
    <row r="171" s="2972" customFormat="1" spans="1:12">
      <c r="A171" s="3168"/>
      <c r="D171" s="3169"/>
      <c r="K171" s="1370"/>
      <c r="L171" s="1370"/>
    </row>
    <row r="172" s="2972" customFormat="1" spans="1:12">
      <c r="A172" s="3168"/>
      <c r="D172" s="3169"/>
      <c r="K172" s="1370"/>
      <c r="L172" s="1370"/>
    </row>
    <row r="173" s="2972" customFormat="1" spans="1:12">
      <c r="A173" s="3168"/>
      <c r="D173" s="3169"/>
      <c r="K173" s="1370"/>
      <c r="L173" s="1370"/>
    </row>
    <row r="174" s="2972" customFormat="1" spans="1:12">
      <c r="A174" s="3168"/>
      <c r="D174" s="3169"/>
      <c r="K174" s="1370"/>
      <c r="L174" s="1370"/>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79"/>
    <col min="30" max="16384" width="9" style="2898"/>
  </cols>
  <sheetData>
    <row r="1" s="2896" customFormat="1" ht="18.15" spans="1:29">
      <c r="A1" s="2905" t="s">
        <v>713</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714</v>
      </c>
      <c r="D2" s="2911"/>
      <c r="E2" s="2908"/>
      <c r="F2" s="2912"/>
      <c r="G2" s="2910" t="s">
        <v>715</v>
      </c>
      <c r="H2" s="2479"/>
      <c r="I2" s="2479"/>
      <c r="J2" s="2479"/>
      <c r="K2" s="2479"/>
      <c r="L2" s="2479"/>
      <c r="M2" s="2479"/>
      <c r="N2" s="2479"/>
      <c r="O2" s="2479"/>
      <c r="P2" s="2479"/>
      <c r="Q2" s="2479"/>
      <c r="R2" s="2479"/>
    </row>
    <row r="3" ht="48" spans="1:18">
      <c r="A3" s="2913" t="s">
        <v>716</v>
      </c>
      <c r="B3" s="2914" t="s">
        <v>717</v>
      </c>
      <c r="C3" s="2915" t="s">
        <v>718</v>
      </c>
      <c r="D3" s="2916"/>
      <c r="E3" s="2917" t="s">
        <v>716</v>
      </c>
      <c r="F3" s="2918" t="s">
        <v>719</v>
      </c>
      <c r="G3" s="2919" t="s">
        <v>720</v>
      </c>
      <c r="H3" s="2479"/>
      <c r="I3" s="2479"/>
      <c r="J3" s="2479"/>
      <c r="K3" s="2479"/>
      <c r="L3" s="2479"/>
      <c r="M3" s="2479"/>
      <c r="N3" s="2479"/>
      <c r="O3" s="2479"/>
      <c r="P3" s="2479"/>
      <c r="Q3" s="2479"/>
      <c r="R3" s="2479"/>
    </row>
    <row r="4" ht="37.2" spans="1:18">
      <c r="A4" s="2917"/>
      <c r="B4" s="2173" t="s">
        <v>721</v>
      </c>
      <c r="C4" s="2920" t="s">
        <v>722</v>
      </c>
      <c r="D4" s="2916"/>
      <c r="E4" s="2921"/>
      <c r="F4" s="2473" t="s">
        <v>723</v>
      </c>
      <c r="G4" s="2922" t="s">
        <v>724</v>
      </c>
      <c r="H4" s="2479"/>
      <c r="I4" s="2479"/>
      <c r="J4" s="2479"/>
      <c r="K4" s="2479"/>
      <c r="L4" s="2479"/>
      <c r="M4" s="2479"/>
      <c r="N4" s="2479"/>
      <c r="O4" s="2479"/>
      <c r="P4" s="2479"/>
      <c r="Q4" s="2479"/>
      <c r="R4" s="2479"/>
    </row>
    <row r="5" ht="37.2" spans="1:18">
      <c r="A5" s="2917"/>
      <c r="B5" s="2173" t="s">
        <v>725</v>
      </c>
      <c r="C5" s="2920" t="s">
        <v>726</v>
      </c>
      <c r="D5" s="2916"/>
      <c r="E5" s="2921"/>
      <c r="F5" s="2173" t="s">
        <v>547</v>
      </c>
      <c r="G5" s="2922" t="s">
        <v>727</v>
      </c>
      <c r="H5" s="2479"/>
      <c r="I5" s="2479"/>
      <c r="J5" s="2479"/>
      <c r="K5" s="2479"/>
      <c r="L5" s="2479"/>
      <c r="M5" s="2479"/>
      <c r="N5" s="2479"/>
      <c r="O5" s="2479"/>
      <c r="P5" s="2479"/>
      <c r="Q5" s="2479"/>
      <c r="R5" s="2479"/>
    </row>
    <row r="6" ht="48" spans="1:18">
      <c r="A6" s="2917"/>
      <c r="B6" s="2173" t="s">
        <v>723</v>
      </c>
      <c r="C6" s="2922" t="s">
        <v>724</v>
      </c>
      <c r="D6" s="2916"/>
      <c r="E6" s="2921"/>
      <c r="F6" s="2173" t="s">
        <v>728</v>
      </c>
      <c r="G6" s="2922" t="s">
        <v>729</v>
      </c>
      <c r="H6" s="2479"/>
      <c r="I6" s="2479"/>
      <c r="J6" s="2479"/>
      <c r="K6" s="2479"/>
      <c r="L6" s="2479"/>
      <c r="M6" s="2479"/>
      <c r="N6" s="2479"/>
      <c r="O6" s="2479"/>
      <c r="P6" s="2479"/>
      <c r="Q6" s="2479"/>
      <c r="R6" s="2479"/>
    </row>
    <row r="7" ht="36.75" spans="1:18">
      <c r="A7" s="2917"/>
      <c r="B7" s="2173" t="s">
        <v>547</v>
      </c>
      <c r="C7" s="2922" t="s">
        <v>727</v>
      </c>
      <c r="D7" s="2923"/>
      <c r="E7" s="2924"/>
      <c r="F7" s="2925" t="s">
        <v>730</v>
      </c>
      <c r="G7" s="2926" t="s">
        <v>731</v>
      </c>
      <c r="H7" s="2479"/>
      <c r="I7" s="2479"/>
      <c r="J7" s="2479"/>
      <c r="K7" s="2479"/>
      <c r="L7" s="2479"/>
      <c r="M7" s="2479"/>
      <c r="N7" s="2479"/>
      <c r="O7" s="2479"/>
      <c r="P7" s="2479"/>
      <c r="Q7" s="2479"/>
      <c r="R7" s="2479"/>
    </row>
    <row r="8" ht="24" spans="1:18">
      <c r="A8" s="2917"/>
      <c r="B8" s="2173" t="s">
        <v>728</v>
      </c>
      <c r="C8" s="2922" t="s">
        <v>729</v>
      </c>
      <c r="D8" s="2923"/>
      <c r="E8" s="2923"/>
      <c r="F8" s="2295"/>
      <c r="G8" s="2295"/>
      <c r="H8" s="2479"/>
      <c r="I8" s="2479"/>
      <c r="J8" s="2479"/>
      <c r="K8" s="2479"/>
      <c r="L8" s="2479"/>
      <c r="M8" s="2479"/>
      <c r="N8" s="2479"/>
      <c r="O8" s="2479"/>
      <c r="P8" s="2479"/>
      <c r="Q8" s="2479"/>
      <c r="R8" s="2479"/>
    </row>
    <row r="9" ht="24" spans="1:18">
      <c r="A9" s="2917"/>
      <c r="B9" s="2173" t="s">
        <v>732</v>
      </c>
      <c r="C9" s="2920" t="s">
        <v>733</v>
      </c>
      <c r="D9" s="2916"/>
      <c r="E9" s="2923"/>
      <c r="F9" s="2295"/>
      <c r="G9" s="2295"/>
      <c r="H9" s="2479"/>
      <c r="I9" s="2479"/>
      <c r="J9" s="2479"/>
      <c r="K9" s="2479"/>
      <c r="L9" s="2479"/>
      <c r="M9" s="2479"/>
      <c r="N9" s="2479"/>
      <c r="O9" s="2479"/>
      <c r="P9" s="2479"/>
      <c r="Q9" s="2479"/>
      <c r="R9" s="2479"/>
    </row>
    <row r="10" s="2897" customFormat="1" ht="14.55" spans="1:29">
      <c r="A10" s="2927"/>
      <c r="B10" s="2928" t="s">
        <v>734</v>
      </c>
      <c r="C10" s="2929"/>
      <c r="D10" s="2916"/>
      <c r="E10" s="2916"/>
      <c r="F10" s="2295"/>
      <c r="G10" s="2295"/>
      <c r="H10" s="2930"/>
      <c r="I10" s="2960"/>
      <c r="J10" s="2961"/>
      <c r="K10" s="2930"/>
      <c r="L10" s="2960"/>
      <c r="M10" s="2961"/>
      <c r="N10" s="2930"/>
      <c r="O10" s="2960"/>
      <c r="P10" s="2961"/>
      <c r="Q10" s="2930"/>
      <c r="R10" s="2960"/>
      <c r="S10" s="2479"/>
      <c r="T10" s="2479"/>
      <c r="U10" s="2479"/>
      <c r="V10" s="2479"/>
      <c r="W10" s="2479"/>
      <c r="X10" s="2479"/>
      <c r="Y10" s="2479"/>
      <c r="Z10" s="2479"/>
      <c r="AA10" s="2479"/>
      <c r="AB10" s="2479"/>
      <c r="AC10" s="2479"/>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79"/>
      <c r="T11" s="2479"/>
      <c r="U11" s="2479"/>
      <c r="V11" s="2479"/>
      <c r="W11" s="2479"/>
      <c r="X11" s="2479"/>
      <c r="Y11" s="2479"/>
      <c r="Z11" s="2479"/>
      <c r="AA11" s="2479"/>
      <c r="AB11" s="2479"/>
      <c r="AC11" s="2479"/>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735</v>
      </c>
      <c r="B13" s="2933"/>
      <c r="C13" s="2933"/>
      <c r="D13" s="2931"/>
      <c r="E13" s="2933"/>
      <c r="F13" s="2933"/>
      <c r="G13" s="2933"/>
    </row>
    <row r="14" ht="14.55" spans="1:7">
      <c r="A14" s="2936"/>
      <c r="B14" s="2936"/>
      <c r="C14" s="2937" t="s">
        <v>714</v>
      </c>
      <c r="D14" s="2916"/>
      <c r="E14" s="2938"/>
      <c r="F14" s="2938"/>
      <c r="G14" s="2910" t="s">
        <v>715</v>
      </c>
    </row>
    <row r="15" ht="48" spans="1:7">
      <c r="A15" s="2939" t="s">
        <v>716</v>
      </c>
      <c r="B15" s="2940" t="s">
        <v>717</v>
      </c>
      <c r="C15" s="2941" t="str">
        <f>C3</f>
        <v>估价对象周边居住用地比例、居住小区规模和社区发展完善程度，综合评价居住社区成熟度一般</v>
      </c>
      <c r="D15" s="2916"/>
      <c r="E15" s="2942" t="s">
        <v>716</v>
      </c>
      <c r="F15" s="2940" t="s">
        <v>719</v>
      </c>
      <c r="G15" s="2943" t="str">
        <f>G3</f>
        <v>估价对象位于XX开发区，园区建设成熟度XX，产业集聚程度XX</v>
      </c>
    </row>
    <row r="16" ht="37.2" spans="1:7">
      <c r="A16" s="2944"/>
      <c r="B16" s="2945" t="s">
        <v>721</v>
      </c>
      <c r="C16" s="2946" t="str">
        <f>C4</f>
        <v>估价对象位于XX商圈，周边商业氛围成熟，人流量大，商业繁华度好</v>
      </c>
      <c r="D16" s="2916"/>
      <c r="E16" s="2947"/>
      <c r="F16" s="2948" t="s">
        <v>723</v>
      </c>
      <c r="G16" s="2949" t="str">
        <f>G4</f>
        <v>估价对象周边道路状况、公共交通通达情况、停车便捷程度，综合评价交通便捷度较好</v>
      </c>
    </row>
    <row r="17" ht="37.2" spans="1:7">
      <c r="A17" s="2944"/>
      <c r="B17" s="2945" t="s">
        <v>725</v>
      </c>
      <c r="C17" s="2946" t="str">
        <f>C5</f>
        <v>估价对象位于XX商圈，周边办公楼项目较多，入驻率高，办公集聚程度较好</v>
      </c>
      <c r="D17" s="2923"/>
      <c r="E17" s="2947"/>
      <c r="F17" s="2948" t="s">
        <v>736</v>
      </c>
      <c r="G17" s="2950"/>
    </row>
    <row r="18" ht="48" spans="1:7">
      <c r="A18" s="2944"/>
      <c r="B18" s="2948" t="s">
        <v>723</v>
      </c>
      <c r="C18" s="2949" t="str">
        <f>C6</f>
        <v>估价对象周边道路状况、公共交通通达情况、停车便捷程度，综合评价交通便捷度较好</v>
      </c>
      <c r="D18" s="2923"/>
      <c r="E18" s="2947"/>
      <c r="F18" s="2948" t="s">
        <v>730</v>
      </c>
      <c r="G18" s="2949" t="str">
        <f>G7</f>
        <v>该园区内是否有污染型企业，绿化情况，卫生条件，整体环境状况判断</v>
      </c>
    </row>
    <row r="19" ht="24" spans="1:7">
      <c r="A19" s="2944"/>
      <c r="B19" s="2948" t="s">
        <v>736</v>
      </c>
      <c r="C19" s="2950"/>
      <c r="D19" s="2916"/>
      <c r="E19" s="2947"/>
      <c r="F19" s="2173" t="s">
        <v>547</v>
      </c>
      <c r="G19" s="2949" t="str">
        <f>G5</f>
        <v>估价对象所在区域公共配套设施齐备情况</v>
      </c>
    </row>
    <row r="20" ht="24" spans="1:7">
      <c r="A20" s="2944"/>
      <c r="B20" s="2948" t="s">
        <v>737</v>
      </c>
      <c r="C20" s="2946" t="str">
        <f>C9</f>
        <v>区域自然环境：；人文环境；综合评价环境状况一般</v>
      </c>
      <c r="D20" s="2923"/>
      <c r="E20" s="2947"/>
      <c r="F20" s="2173" t="s">
        <v>728</v>
      </c>
      <c r="G20" s="2949" t="str">
        <f>G6</f>
        <v>估价对象所在区域基础设施水平</v>
      </c>
    </row>
    <row r="21" ht="24" spans="1:7">
      <c r="A21" s="2944"/>
      <c r="B21" s="2173" t="s">
        <v>547</v>
      </c>
      <c r="C21" s="2949" t="str">
        <f>C7</f>
        <v>估价对象所在区域公共配套设施齐备情况</v>
      </c>
      <c r="D21" s="2916"/>
      <c r="E21" s="2947"/>
      <c r="F21" s="2948" t="s">
        <v>738</v>
      </c>
      <c r="G21" s="2951"/>
    </row>
    <row r="22" ht="13.5" customHeight="1" spans="1:7">
      <c r="A22" s="2944"/>
      <c r="B22" s="2173" t="s">
        <v>728</v>
      </c>
      <c r="C22" s="2949" t="str">
        <f>C8</f>
        <v>估价对象所在区域基础设施水平</v>
      </c>
      <c r="D22" s="2916"/>
      <c r="E22" s="2947"/>
      <c r="F22" s="2948" t="s">
        <v>734</v>
      </c>
      <c r="G22" s="2950"/>
    </row>
    <row r="23" s="2479" customFormat="1" ht="14.55" spans="1:18">
      <c r="A23" s="2944"/>
      <c r="B23" s="2948" t="s">
        <v>738</v>
      </c>
      <c r="C23" s="2951"/>
      <c r="D23" s="2874"/>
      <c r="E23" s="2952"/>
      <c r="F23" s="2953" t="s">
        <v>496</v>
      </c>
      <c r="G23" s="2954"/>
      <c r="H23" s="2902"/>
      <c r="I23" s="2903"/>
      <c r="J23" s="2902"/>
      <c r="K23" s="2902"/>
      <c r="L23" s="2903"/>
      <c r="M23" s="2902"/>
      <c r="N23" s="2902"/>
      <c r="O23" s="2903"/>
      <c r="P23" s="2902"/>
      <c r="Q23" s="2902"/>
      <c r="R23" s="2904"/>
    </row>
    <row r="24" s="2479" customFormat="1" ht="14.55" spans="1:18">
      <c r="A24" s="2955"/>
      <c r="B24" s="2953" t="s">
        <v>734</v>
      </c>
      <c r="C24" s="2956">
        <f>C10</f>
        <v>0</v>
      </c>
      <c r="D24" s="2874"/>
      <c r="E24" s="2957"/>
      <c r="F24" s="2957"/>
      <c r="G24" s="2958"/>
      <c r="H24" s="2902"/>
      <c r="I24" s="2903"/>
      <c r="J24" s="2902"/>
      <c r="K24" s="2902"/>
      <c r="L24" s="2903"/>
      <c r="M24" s="2902"/>
      <c r="N24" s="2902"/>
      <c r="O24" s="2903"/>
      <c r="P24" s="2902"/>
      <c r="Q24" s="2902"/>
      <c r="R24" s="2904"/>
    </row>
    <row r="25" s="2479" customFormat="1" spans="2:18">
      <c r="B25" s="2902"/>
      <c r="C25" s="2902"/>
      <c r="D25" s="2902"/>
      <c r="H25" s="2902"/>
      <c r="I25" s="2903"/>
      <c r="J25" s="2902"/>
      <c r="K25" s="2902"/>
      <c r="L25" s="2903"/>
      <c r="M25" s="2902"/>
      <c r="N25" s="2902"/>
      <c r="O25" s="2903"/>
      <c r="P25" s="2902"/>
      <c r="Q25" s="2902"/>
      <c r="R25" s="2904"/>
    </row>
    <row r="26" s="2479" customFormat="1" spans="2:18">
      <c r="B26" s="2902"/>
      <c r="C26" s="2902"/>
      <c r="D26" s="2902"/>
      <c r="H26" s="2902"/>
      <c r="I26" s="2903"/>
      <c r="J26" s="2902"/>
      <c r="K26" s="2902"/>
      <c r="L26" s="2903"/>
      <c r="M26" s="2902"/>
      <c r="N26" s="2902"/>
      <c r="O26" s="2903"/>
      <c r="P26" s="2902"/>
      <c r="Q26" s="2902"/>
      <c r="R26" s="2904"/>
    </row>
    <row r="27" s="2479" customFormat="1" spans="2:18">
      <c r="B27" s="2902"/>
      <c r="C27" s="2902"/>
      <c r="D27" s="2902"/>
      <c r="H27" s="2902"/>
      <c r="I27" s="2903"/>
      <c r="J27" s="2902"/>
      <c r="K27" s="2902"/>
      <c r="L27" s="2903"/>
      <c r="M27" s="2902"/>
      <c r="N27" s="2902"/>
      <c r="O27" s="2903"/>
      <c r="P27" s="2902"/>
      <c r="Q27" s="2902"/>
      <c r="R27" s="2904"/>
    </row>
    <row r="28" s="2479" customFormat="1" spans="2:18">
      <c r="B28" s="2902"/>
      <c r="C28" s="2902"/>
      <c r="D28" s="2902"/>
      <c r="H28" s="2902"/>
      <c r="I28" s="2903"/>
      <c r="J28" s="2902"/>
      <c r="K28" s="2902"/>
      <c r="L28" s="2903"/>
      <c r="M28" s="2902"/>
      <c r="N28" s="2902"/>
      <c r="O28" s="2903"/>
      <c r="P28" s="2902"/>
      <c r="Q28" s="2902"/>
      <c r="R28" s="2904"/>
    </row>
    <row r="29" s="2479" customFormat="1" spans="2:18">
      <c r="B29" s="2902"/>
      <c r="C29" s="2902"/>
      <c r="D29" s="2902"/>
      <c r="H29" s="2902"/>
      <c r="I29" s="2903"/>
      <c r="J29" s="2902"/>
      <c r="K29" s="2902"/>
      <c r="L29" s="2903"/>
      <c r="M29" s="2902"/>
      <c r="N29" s="2902"/>
      <c r="O29" s="2903"/>
      <c r="P29" s="2902"/>
      <c r="Q29" s="2902"/>
      <c r="R29" s="2904"/>
    </row>
    <row r="30" s="2479" customFormat="1" spans="2:18">
      <c r="B30" s="2902"/>
      <c r="C30" s="2902"/>
      <c r="D30" s="2902"/>
      <c r="H30" s="2902"/>
      <c r="I30" s="2903"/>
      <c r="J30" s="2902"/>
      <c r="K30" s="2902"/>
      <c r="L30" s="2903"/>
      <c r="M30" s="2902"/>
      <c r="N30" s="2902"/>
      <c r="O30" s="2903"/>
      <c r="P30" s="2902"/>
      <c r="Q30" s="2902"/>
      <c r="R30" s="2904"/>
    </row>
    <row r="31" s="2479" customFormat="1" spans="2:18">
      <c r="B31" s="2902"/>
      <c r="C31" s="2902"/>
      <c r="D31" s="2902"/>
      <c r="H31" s="2902"/>
      <c r="I31" s="2903"/>
      <c r="J31" s="2902"/>
      <c r="K31" s="2902"/>
      <c r="L31" s="2903"/>
      <c r="M31" s="2902"/>
      <c r="N31" s="2902"/>
      <c r="O31" s="2903"/>
      <c r="P31" s="2902"/>
      <c r="Q31" s="2902"/>
      <c r="R31" s="2904"/>
    </row>
    <row r="32" s="2479" customFormat="1" spans="2:18">
      <c r="B32" s="2902"/>
      <c r="C32" s="2902"/>
      <c r="D32" s="2902"/>
      <c r="H32" s="2902"/>
      <c r="I32" s="2903"/>
      <c r="J32" s="2902"/>
      <c r="K32" s="2902"/>
      <c r="L32" s="2903"/>
      <c r="M32" s="2902"/>
      <c r="N32" s="2902"/>
      <c r="O32" s="2903"/>
      <c r="P32" s="2902"/>
      <c r="Q32" s="2902"/>
      <c r="R32" s="2904"/>
    </row>
    <row r="33" s="2479" customFormat="1" spans="2:18">
      <c r="B33" s="2902"/>
      <c r="C33" s="2902"/>
      <c r="D33" s="2902"/>
      <c r="H33" s="2902"/>
      <c r="I33" s="2903"/>
      <c r="J33" s="2902"/>
      <c r="K33" s="2902"/>
      <c r="L33" s="2903"/>
      <c r="M33" s="2902"/>
      <c r="N33" s="2902"/>
      <c r="O33" s="2903"/>
      <c r="P33" s="2902"/>
      <c r="Q33" s="2902"/>
      <c r="R33" s="2904"/>
    </row>
    <row r="34" s="2479" customFormat="1" spans="2:18">
      <c r="B34" s="2902"/>
      <c r="C34" s="2902"/>
      <c r="D34" s="2902"/>
      <c r="H34" s="2902"/>
      <c r="I34" s="2903"/>
      <c r="J34" s="2902"/>
      <c r="K34" s="2902"/>
      <c r="L34" s="2903"/>
      <c r="M34" s="2902"/>
      <c r="N34" s="2902"/>
      <c r="O34" s="2903"/>
      <c r="P34" s="2902"/>
      <c r="Q34" s="2902"/>
      <c r="R34" s="2904"/>
    </row>
    <row r="35" s="2479" customFormat="1" spans="2:18">
      <c r="B35" s="2902"/>
      <c r="C35" s="2902"/>
      <c r="D35" s="2902"/>
      <c r="H35" s="2902"/>
      <c r="I35" s="2903"/>
      <c r="J35" s="2902"/>
      <c r="K35" s="2902"/>
      <c r="L35" s="2903"/>
      <c r="M35" s="2902"/>
      <c r="N35" s="2902"/>
      <c r="O35" s="2903"/>
      <c r="P35" s="2902"/>
      <c r="Q35" s="2902"/>
      <c r="R35" s="2904"/>
    </row>
    <row r="36" s="2479" customFormat="1" spans="2:18">
      <c r="B36" s="2902"/>
      <c r="C36" s="2902"/>
      <c r="D36" s="2902"/>
      <c r="H36" s="2902"/>
      <c r="I36" s="2903"/>
      <c r="J36" s="2902"/>
      <c r="K36" s="2902"/>
      <c r="L36" s="2903"/>
      <c r="M36" s="2902"/>
      <c r="N36" s="2902"/>
      <c r="O36" s="2903"/>
      <c r="P36" s="2902"/>
      <c r="Q36" s="2902"/>
      <c r="R36" s="2904"/>
    </row>
    <row r="37" s="2479" customFormat="1" spans="2:18">
      <c r="B37" s="2902"/>
      <c r="C37" s="2902"/>
      <c r="D37" s="2902"/>
      <c r="H37" s="2902"/>
      <c r="I37" s="2903"/>
      <c r="J37" s="2902"/>
      <c r="K37" s="2902"/>
      <c r="L37" s="2903"/>
      <c r="M37" s="2902"/>
      <c r="N37" s="2902"/>
      <c r="O37" s="2903"/>
      <c r="P37" s="2902"/>
      <c r="Q37" s="2902"/>
      <c r="R37" s="2904"/>
    </row>
    <row r="38" s="2479" customFormat="1" spans="2:18">
      <c r="B38" s="2902"/>
      <c r="C38" s="2902"/>
      <c r="D38" s="2902"/>
      <c r="E38" s="2902"/>
      <c r="F38" s="2902"/>
      <c r="G38" s="2903"/>
      <c r="H38" s="2902"/>
      <c r="I38" s="2903"/>
      <c r="J38" s="2902"/>
      <c r="K38" s="2902"/>
      <c r="L38" s="2903"/>
      <c r="M38" s="2902"/>
      <c r="N38" s="2902"/>
      <c r="O38" s="2903"/>
      <c r="P38" s="2902"/>
      <c r="Q38" s="2902"/>
      <c r="R38" s="2904"/>
    </row>
    <row r="39" s="2479" customFormat="1" spans="2:18">
      <c r="B39" s="2902"/>
      <c r="C39" s="2902"/>
      <c r="D39" s="2902"/>
      <c r="E39" s="2902"/>
      <c r="F39" s="2902"/>
      <c r="G39" s="2903"/>
      <c r="H39" s="2902"/>
      <c r="I39" s="2903"/>
      <c r="J39" s="2902"/>
      <c r="K39" s="2902"/>
      <c r="L39" s="2903"/>
      <c r="M39" s="2902"/>
      <c r="N39" s="2902"/>
      <c r="O39" s="2903"/>
      <c r="P39" s="2902"/>
      <c r="Q39" s="2902"/>
      <c r="R39" s="2904"/>
    </row>
    <row r="40" s="2479" customFormat="1" spans="2:18">
      <c r="B40" s="2902"/>
      <c r="C40" s="2902"/>
      <c r="D40" s="2902"/>
      <c r="E40" s="2902"/>
      <c r="F40" s="2902"/>
      <c r="G40" s="2903"/>
      <c r="H40" s="2902"/>
      <c r="I40" s="2903"/>
      <c r="J40" s="2902"/>
      <c r="K40" s="2902"/>
      <c r="L40" s="2903"/>
      <c r="M40" s="2902"/>
      <c r="N40" s="2902"/>
      <c r="O40" s="2903"/>
      <c r="P40" s="2902"/>
      <c r="Q40" s="2902"/>
      <c r="R40" s="2904"/>
    </row>
    <row r="41" s="2479" customFormat="1" spans="2:18">
      <c r="B41" s="2902"/>
      <c r="C41" s="2902"/>
      <c r="D41" s="2902"/>
      <c r="E41" s="2902"/>
      <c r="F41" s="2902"/>
      <c r="G41" s="2903"/>
      <c r="H41" s="2902"/>
      <c r="I41" s="2903"/>
      <c r="J41" s="2902"/>
      <c r="K41" s="2902"/>
      <c r="L41" s="2903"/>
      <c r="M41" s="2902"/>
      <c r="N41" s="2902"/>
      <c r="O41" s="2903"/>
      <c r="P41" s="2902"/>
      <c r="Q41" s="2902"/>
      <c r="R41" s="2904"/>
    </row>
    <row r="42" s="2479" customFormat="1" spans="2:18">
      <c r="B42" s="2902"/>
      <c r="C42" s="2902"/>
      <c r="D42" s="2902"/>
      <c r="E42" s="2902"/>
      <c r="F42" s="2902"/>
      <c r="G42" s="2903"/>
      <c r="H42" s="2902"/>
      <c r="I42" s="2903"/>
      <c r="J42" s="2902"/>
      <c r="K42" s="2902"/>
      <c r="L42" s="2903"/>
      <c r="M42" s="2902"/>
      <c r="N42" s="2902"/>
      <c r="O42" s="2903"/>
      <c r="P42" s="2902"/>
      <c r="Q42" s="2902"/>
      <c r="R42" s="2904"/>
    </row>
    <row r="43" s="2479" customFormat="1" spans="2:18">
      <c r="B43" s="2902"/>
      <c r="C43" s="2902"/>
      <c r="D43" s="2902"/>
      <c r="E43" s="2902"/>
      <c r="F43" s="2902"/>
      <c r="G43" s="2903"/>
      <c r="H43" s="2902"/>
      <c r="I43" s="2903"/>
      <c r="J43" s="2902"/>
      <c r="K43" s="2902"/>
      <c r="L43" s="2903"/>
      <c r="M43" s="2902"/>
      <c r="N43" s="2902"/>
      <c r="O43" s="2903"/>
      <c r="P43" s="2902"/>
      <c r="Q43" s="2902"/>
      <c r="R43" s="2904"/>
    </row>
    <row r="44" s="2479" customFormat="1" spans="2:18">
      <c r="B44" s="2902"/>
      <c r="C44" s="2902"/>
      <c r="D44" s="2902"/>
      <c r="E44" s="2902"/>
      <c r="F44" s="2902"/>
      <c r="G44" s="2903"/>
      <c r="H44" s="2902"/>
      <c r="I44" s="2903"/>
      <c r="J44" s="2902"/>
      <c r="K44" s="2902"/>
      <c r="L44" s="2903"/>
      <c r="M44" s="2902"/>
      <c r="N44" s="2902"/>
      <c r="O44" s="2903"/>
      <c r="P44" s="2902"/>
      <c r="Q44" s="2902"/>
      <c r="R44" s="2904"/>
    </row>
    <row r="45" s="2479" customFormat="1" spans="2:18">
      <c r="B45" s="2902"/>
      <c r="C45" s="2902"/>
      <c r="D45" s="2902"/>
      <c r="E45" s="2902"/>
      <c r="F45" s="2902"/>
      <c r="G45" s="2903"/>
      <c r="H45" s="2902"/>
      <c r="I45" s="2903"/>
      <c r="J45" s="2902"/>
      <c r="K45" s="2902"/>
      <c r="L45" s="2903"/>
      <c r="M45" s="2902"/>
      <c r="N45" s="2902"/>
      <c r="O45" s="2903"/>
      <c r="P45" s="2902"/>
      <c r="Q45" s="2902"/>
      <c r="R45" s="2904"/>
    </row>
    <row r="46" s="2479" customFormat="1" spans="2:18">
      <c r="B46" s="2902"/>
      <c r="C46" s="2902"/>
      <c r="D46" s="2902"/>
      <c r="E46" s="2902"/>
      <c r="F46" s="2902"/>
      <c r="G46" s="2903"/>
      <c r="H46" s="2902"/>
      <c r="I46" s="2903"/>
      <c r="J46" s="2902"/>
      <c r="K46" s="2902"/>
      <c r="L46" s="2903"/>
      <c r="M46" s="2902"/>
      <c r="N46" s="2902"/>
      <c r="O46" s="2903"/>
      <c r="P46" s="2902"/>
      <c r="Q46" s="2902"/>
      <c r="R46" s="2904"/>
    </row>
    <row r="47" s="2479" customFormat="1" spans="2:18">
      <c r="B47" s="2902"/>
      <c r="C47" s="2902"/>
      <c r="D47" s="2902"/>
      <c r="E47" s="2902"/>
      <c r="F47" s="2902"/>
      <c r="G47" s="2903"/>
      <c r="H47" s="2902"/>
      <c r="I47" s="2903"/>
      <c r="J47" s="2902"/>
      <c r="K47" s="2902"/>
      <c r="L47" s="2903"/>
      <c r="M47" s="2902"/>
      <c r="N47" s="2902"/>
      <c r="O47" s="2903"/>
      <c r="P47" s="2902"/>
      <c r="Q47" s="2902"/>
      <c r="R47" s="2904"/>
    </row>
    <row r="48" s="2479" customFormat="1" spans="2:18">
      <c r="B48" s="2902"/>
      <c r="C48" s="2902"/>
      <c r="D48" s="2902"/>
      <c r="E48" s="2902"/>
      <c r="F48" s="2902"/>
      <c r="G48" s="2903"/>
      <c r="H48" s="2902"/>
      <c r="I48" s="2903"/>
      <c r="J48" s="2902"/>
      <c r="K48" s="2902"/>
      <c r="L48" s="2903"/>
      <c r="M48" s="2902"/>
      <c r="N48" s="2902"/>
      <c r="O48" s="2903"/>
      <c r="P48" s="2902"/>
      <c r="Q48" s="2902"/>
      <c r="R48" s="2904"/>
    </row>
    <row r="49" s="2479" customFormat="1" spans="2:18">
      <c r="B49" s="2902"/>
      <c r="C49" s="2902"/>
      <c r="D49" s="2902"/>
      <c r="E49" s="2902"/>
      <c r="F49" s="2902"/>
      <c r="G49" s="2903"/>
      <c r="H49" s="2902"/>
      <c r="I49" s="2903"/>
      <c r="J49" s="2902"/>
      <c r="K49" s="2902"/>
      <c r="L49" s="2903"/>
      <c r="M49" s="2902"/>
      <c r="N49" s="2902"/>
      <c r="O49" s="2903"/>
      <c r="P49" s="2902"/>
      <c r="Q49" s="2902"/>
      <c r="R49" s="2904"/>
    </row>
    <row r="50" s="2479" customFormat="1" spans="2:18">
      <c r="B50" s="2902"/>
      <c r="C50" s="2902"/>
      <c r="D50" s="2902"/>
      <c r="E50" s="2902"/>
      <c r="F50" s="2902"/>
      <c r="G50" s="2903"/>
      <c r="H50" s="2902"/>
      <c r="I50" s="2903"/>
      <c r="J50" s="2902"/>
      <c r="K50" s="2902"/>
      <c r="L50" s="2903"/>
      <c r="M50" s="2902"/>
      <c r="N50" s="2902"/>
      <c r="O50" s="2903"/>
      <c r="P50" s="2902"/>
      <c r="Q50" s="2902"/>
      <c r="R50" s="2904"/>
    </row>
    <row r="51" s="2479" customFormat="1" spans="2:18">
      <c r="B51" s="2902"/>
      <c r="C51" s="2902"/>
      <c r="D51" s="2902"/>
      <c r="E51" s="2902"/>
      <c r="F51" s="2902"/>
      <c r="G51" s="2903"/>
      <c r="H51" s="2902"/>
      <c r="I51" s="2903"/>
      <c r="J51" s="2902"/>
      <c r="K51" s="2902"/>
      <c r="L51" s="2903"/>
      <c r="M51" s="2902"/>
      <c r="N51" s="2902"/>
      <c r="O51" s="2903"/>
      <c r="P51" s="2902"/>
      <c r="Q51" s="2902"/>
      <c r="R51" s="2904"/>
    </row>
    <row r="52" s="2479" customFormat="1" spans="2:18">
      <c r="B52" s="2902"/>
      <c r="C52" s="2902"/>
      <c r="D52" s="2902"/>
      <c r="E52" s="2902"/>
      <c r="F52" s="2902"/>
      <c r="G52" s="2903"/>
      <c r="H52" s="2902"/>
      <c r="I52" s="2903"/>
      <c r="J52" s="2902"/>
      <c r="K52" s="2902"/>
      <c r="L52" s="2903"/>
      <c r="M52" s="2902"/>
      <c r="N52" s="2902"/>
      <c r="O52" s="2903"/>
      <c r="P52" s="2902"/>
      <c r="Q52" s="2902"/>
      <c r="R52" s="2904"/>
    </row>
    <row r="53" s="2479" customFormat="1" spans="2:18">
      <c r="B53" s="2902"/>
      <c r="C53" s="2902"/>
      <c r="D53" s="2902"/>
      <c r="E53" s="2902"/>
      <c r="F53" s="2902"/>
      <c r="G53" s="2903"/>
      <c r="H53" s="2902"/>
      <c r="I53" s="2903"/>
      <c r="J53" s="2902"/>
      <c r="K53" s="2902"/>
      <c r="L53" s="2903"/>
      <c r="M53" s="2902"/>
      <c r="N53" s="2902"/>
      <c r="O53" s="2903"/>
      <c r="P53" s="2902"/>
      <c r="Q53" s="2902"/>
      <c r="R53" s="2904"/>
    </row>
    <row r="54" s="2479" customFormat="1" spans="2:18">
      <c r="B54" s="2902"/>
      <c r="C54" s="2902"/>
      <c r="D54" s="2902"/>
      <c r="E54" s="2902"/>
      <c r="F54" s="2902"/>
      <c r="G54" s="2903"/>
      <c r="H54" s="2902"/>
      <c r="I54" s="2903"/>
      <c r="J54" s="2902"/>
      <c r="K54" s="2902"/>
      <c r="L54" s="2903"/>
      <c r="M54" s="2902"/>
      <c r="N54" s="2902"/>
      <c r="O54" s="2903"/>
      <c r="P54" s="2902"/>
      <c r="Q54" s="2902"/>
      <c r="R54" s="2904"/>
    </row>
    <row r="55" s="2479" customFormat="1" spans="2:18">
      <c r="B55" s="2902"/>
      <c r="C55" s="2902"/>
      <c r="D55" s="2902"/>
      <c r="E55" s="2902"/>
      <c r="F55" s="2902"/>
      <c r="G55" s="2903"/>
      <c r="H55" s="2902"/>
      <c r="I55" s="2903"/>
      <c r="J55" s="2902"/>
      <c r="K55" s="2902"/>
      <c r="L55" s="2903"/>
      <c r="M55" s="2902"/>
      <c r="N55" s="2902"/>
      <c r="O55" s="2903"/>
      <c r="P55" s="2902"/>
      <c r="Q55" s="2902"/>
      <c r="R55" s="2904"/>
    </row>
    <row r="56" s="2479" customFormat="1" spans="2:18">
      <c r="B56" s="2902"/>
      <c r="C56" s="2902"/>
      <c r="D56" s="2902"/>
      <c r="E56" s="2902"/>
      <c r="F56" s="2902"/>
      <c r="G56" s="2903"/>
      <c r="H56" s="2902"/>
      <c r="I56" s="2903"/>
      <c r="J56" s="2902"/>
      <c r="K56" s="2902"/>
      <c r="L56" s="2903"/>
      <c r="M56" s="2902"/>
      <c r="N56" s="2902"/>
      <c r="O56" s="2903"/>
      <c r="P56" s="2902"/>
      <c r="Q56" s="2902"/>
      <c r="R56" s="2904"/>
    </row>
    <row r="57" s="2479" customFormat="1" spans="2:18">
      <c r="B57" s="2902"/>
      <c r="C57" s="2902"/>
      <c r="D57" s="2902"/>
      <c r="E57" s="2902"/>
      <c r="F57" s="2902"/>
      <c r="G57" s="2903"/>
      <c r="H57" s="2902"/>
      <c r="I57" s="2903"/>
      <c r="J57" s="2902"/>
      <c r="K57" s="2902"/>
      <c r="L57" s="2903"/>
      <c r="M57" s="2902"/>
      <c r="N57" s="2902"/>
      <c r="O57" s="2903"/>
      <c r="P57" s="2902"/>
      <c r="Q57" s="2902"/>
      <c r="R57" s="2904"/>
    </row>
    <row r="58" s="2479" customFormat="1" spans="2:18">
      <c r="B58" s="2902"/>
      <c r="C58" s="2902"/>
      <c r="D58" s="2902"/>
      <c r="E58" s="2902"/>
      <c r="F58" s="2902"/>
      <c r="G58" s="2903"/>
      <c r="H58" s="2902"/>
      <c r="I58" s="2903"/>
      <c r="J58" s="2902"/>
      <c r="K58" s="2902"/>
      <c r="L58" s="2903"/>
      <c r="M58" s="2902"/>
      <c r="N58" s="2902"/>
      <c r="O58" s="2903"/>
      <c r="P58" s="2902"/>
      <c r="Q58" s="2902"/>
      <c r="R58" s="2904"/>
    </row>
    <row r="59" s="2479" customFormat="1" spans="2:18">
      <c r="B59" s="2902"/>
      <c r="C59" s="2902"/>
      <c r="D59" s="2902"/>
      <c r="E59" s="2902"/>
      <c r="F59" s="2902"/>
      <c r="G59" s="2903"/>
      <c r="H59" s="2902"/>
      <c r="I59" s="2903"/>
      <c r="J59" s="2902"/>
      <c r="K59" s="2902"/>
      <c r="L59" s="2903"/>
      <c r="M59" s="2902"/>
      <c r="N59" s="2902"/>
      <c r="O59" s="2903"/>
      <c r="P59" s="2902"/>
      <c r="Q59" s="2902"/>
      <c r="R59" s="2904"/>
    </row>
    <row r="60" s="2479" customFormat="1" spans="2:18">
      <c r="B60" s="2902"/>
      <c r="C60" s="2902"/>
      <c r="D60" s="2902"/>
      <c r="E60" s="2902"/>
      <c r="F60" s="2902"/>
      <c r="G60" s="2903"/>
      <c r="H60" s="2902"/>
      <c r="I60" s="2903"/>
      <c r="J60" s="2902"/>
      <c r="K60" s="2902"/>
      <c r="L60" s="2903"/>
      <c r="M60" s="2902"/>
      <c r="N60" s="2902"/>
      <c r="O60" s="2903"/>
      <c r="P60" s="2902"/>
      <c r="Q60" s="2902"/>
      <c r="R60" s="2904"/>
    </row>
    <row r="61" s="2479" customFormat="1" spans="2:18">
      <c r="B61" s="2902"/>
      <c r="C61" s="2902"/>
      <c r="D61" s="2902"/>
      <c r="E61" s="2902"/>
      <c r="F61" s="2902"/>
      <c r="G61" s="2903"/>
      <c r="H61" s="2902"/>
      <c r="I61" s="2903"/>
      <c r="J61" s="2902"/>
      <c r="K61" s="2902"/>
      <c r="L61" s="2903"/>
      <c r="M61" s="2902"/>
      <c r="N61" s="2902"/>
      <c r="O61" s="2903"/>
      <c r="P61" s="2902"/>
      <c r="Q61" s="2902"/>
      <c r="R61" s="2904"/>
    </row>
    <row r="62" s="2479" customFormat="1" spans="2:18">
      <c r="B62" s="2902"/>
      <c r="C62" s="2902"/>
      <c r="D62" s="2902"/>
      <c r="E62" s="2902"/>
      <c r="F62" s="2902"/>
      <c r="G62" s="2903"/>
      <c r="H62" s="2902"/>
      <c r="I62" s="2903"/>
      <c r="J62" s="2902"/>
      <c r="K62" s="2902"/>
      <c r="L62" s="2903"/>
      <c r="M62" s="2902"/>
      <c r="N62" s="2902"/>
      <c r="O62" s="2903"/>
      <c r="P62" s="2902"/>
      <c r="Q62" s="2902"/>
      <c r="R62" s="2904"/>
    </row>
    <row r="63" s="2479" customFormat="1" spans="2:18">
      <c r="B63" s="2902"/>
      <c r="C63" s="2902"/>
      <c r="D63" s="2902"/>
      <c r="E63" s="2902"/>
      <c r="F63" s="2902"/>
      <c r="G63" s="2903"/>
      <c r="H63" s="2902"/>
      <c r="I63" s="2903"/>
      <c r="J63" s="2902"/>
      <c r="K63" s="2902"/>
      <c r="L63" s="2903"/>
      <c r="M63" s="2902"/>
      <c r="N63" s="2902"/>
      <c r="O63" s="2903"/>
      <c r="P63" s="2902"/>
      <c r="Q63" s="2902"/>
      <c r="R63" s="2904"/>
    </row>
    <row r="64" s="2479" customFormat="1" spans="2:18">
      <c r="B64" s="2902"/>
      <c r="C64" s="2902"/>
      <c r="D64" s="2902"/>
      <c r="E64" s="2902"/>
      <c r="F64" s="2902"/>
      <c r="G64" s="2903"/>
      <c r="H64" s="2902"/>
      <c r="I64" s="2903"/>
      <c r="J64" s="2902"/>
      <c r="K64" s="2902"/>
      <c r="L64" s="2903"/>
      <c r="M64" s="2902"/>
      <c r="N64" s="2902"/>
      <c r="O64" s="2903"/>
      <c r="P64" s="2902"/>
      <c r="Q64" s="2902"/>
      <c r="R64" s="2904"/>
    </row>
    <row r="65" s="2479" customFormat="1" spans="2:18">
      <c r="B65" s="2902"/>
      <c r="C65" s="2902"/>
      <c r="D65" s="2902"/>
      <c r="E65" s="2902"/>
      <c r="F65" s="2902"/>
      <c r="G65" s="2903"/>
      <c r="H65" s="2902"/>
      <c r="I65" s="2903"/>
      <c r="J65" s="2902"/>
      <c r="K65" s="2902"/>
      <c r="L65" s="2903"/>
      <c r="M65" s="2902"/>
      <c r="N65" s="2902"/>
      <c r="O65" s="2903"/>
      <c r="P65" s="2902"/>
      <c r="Q65" s="2902"/>
      <c r="R65" s="2904"/>
    </row>
    <row r="66" s="2479" customFormat="1" spans="2:18">
      <c r="B66" s="2902"/>
      <c r="C66" s="2902"/>
      <c r="D66" s="2902"/>
      <c r="E66" s="2902"/>
      <c r="F66" s="2902"/>
      <c r="G66" s="2903"/>
      <c r="H66" s="2902"/>
      <c r="I66" s="2903"/>
      <c r="J66" s="2902"/>
      <c r="K66" s="2902"/>
      <c r="L66" s="2903"/>
      <c r="M66" s="2902"/>
      <c r="N66" s="2902"/>
      <c r="O66" s="2903"/>
      <c r="P66" s="2902"/>
      <c r="Q66" s="2902"/>
      <c r="R66" s="2904"/>
    </row>
    <row r="67" s="2479" customFormat="1" spans="2:18">
      <c r="B67" s="2902"/>
      <c r="C67" s="2902"/>
      <c r="D67" s="2902"/>
      <c r="E67" s="2902"/>
      <c r="F67" s="2902"/>
      <c r="G67" s="2903"/>
      <c r="H67" s="2902"/>
      <c r="I67" s="2903"/>
      <c r="J67" s="2902"/>
      <c r="K67" s="2902"/>
      <c r="L67" s="2903"/>
      <c r="M67" s="2902"/>
      <c r="N67" s="2902"/>
      <c r="O67" s="2903"/>
      <c r="P67" s="2902"/>
      <c r="Q67" s="2902"/>
      <c r="R67" s="2904"/>
    </row>
    <row r="68" s="2479" customFormat="1" spans="2:18">
      <c r="B68" s="2902"/>
      <c r="C68" s="2902"/>
      <c r="D68" s="2902"/>
      <c r="E68" s="2902"/>
      <c r="F68" s="2902"/>
      <c r="G68" s="2903"/>
      <c r="H68" s="2902"/>
      <c r="I68" s="2903"/>
      <c r="J68" s="2902"/>
      <c r="K68" s="2902"/>
      <c r="L68" s="2903"/>
      <c r="M68" s="2902"/>
      <c r="N68" s="2902"/>
      <c r="O68" s="2903"/>
      <c r="P68" s="2902"/>
      <c r="Q68" s="2902"/>
      <c r="R68" s="2904"/>
    </row>
    <row r="69" s="2479" customFormat="1" spans="2:18">
      <c r="B69" s="2902"/>
      <c r="C69" s="2902"/>
      <c r="D69" s="2902"/>
      <c r="E69" s="2902"/>
      <c r="F69" s="2902"/>
      <c r="G69" s="2903"/>
      <c r="H69" s="2902"/>
      <c r="I69" s="2903"/>
      <c r="J69" s="2902"/>
      <c r="K69" s="2902"/>
      <c r="L69" s="2903"/>
      <c r="M69" s="2902"/>
      <c r="N69" s="2902"/>
      <c r="O69" s="2903"/>
      <c r="P69" s="2902"/>
      <c r="Q69" s="2902"/>
      <c r="R69" s="2904"/>
    </row>
    <row r="70" s="2479" customFormat="1" spans="2:18">
      <c r="B70" s="2902"/>
      <c r="C70" s="2902"/>
      <c r="D70" s="2902"/>
      <c r="E70" s="2902"/>
      <c r="F70" s="2902"/>
      <c r="G70" s="2903"/>
      <c r="H70" s="2902"/>
      <c r="I70" s="2903"/>
      <c r="J70" s="2902"/>
      <c r="K70" s="2902"/>
      <c r="L70" s="2903"/>
      <c r="M70" s="2902"/>
      <c r="N70" s="2902"/>
      <c r="O70" s="2903"/>
      <c r="P70" s="2902"/>
      <c r="Q70" s="2902"/>
      <c r="R70" s="2904"/>
    </row>
    <row r="71" s="2479" customFormat="1" spans="2:18">
      <c r="B71" s="2902"/>
      <c r="C71" s="2902"/>
      <c r="D71" s="2902"/>
      <c r="E71" s="2902"/>
      <c r="F71" s="2902"/>
      <c r="G71" s="2903"/>
      <c r="H71" s="2902"/>
      <c r="I71" s="2903"/>
      <c r="J71" s="2902"/>
      <c r="K71" s="2902"/>
      <c r="L71" s="2903"/>
      <c r="M71" s="2902"/>
      <c r="N71" s="2902"/>
      <c r="O71" s="2903"/>
      <c r="P71" s="2902"/>
      <c r="Q71" s="2902"/>
      <c r="R71" s="2904"/>
    </row>
    <row r="72" s="2479" customFormat="1" spans="2:18">
      <c r="B72" s="2902"/>
      <c r="C72" s="2902"/>
      <c r="D72" s="2902"/>
      <c r="E72" s="2902"/>
      <c r="F72" s="2902"/>
      <c r="G72" s="2903"/>
      <c r="H72" s="2902"/>
      <c r="I72" s="2903"/>
      <c r="J72" s="2902"/>
      <c r="K72" s="2902"/>
      <c r="L72" s="2903"/>
      <c r="M72" s="2902"/>
      <c r="N72" s="2902"/>
      <c r="O72" s="2903"/>
      <c r="P72" s="2902"/>
      <c r="Q72" s="2902"/>
      <c r="R72" s="2904"/>
    </row>
    <row r="73" s="2479" customFormat="1" spans="2:18">
      <c r="B73" s="2902"/>
      <c r="C73" s="2902"/>
      <c r="D73" s="2902"/>
      <c r="E73" s="2902"/>
      <c r="F73" s="2902"/>
      <c r="G73" s="2903"/>
      <c r="H73" s="2902"/>
      <c r="I73" s="2903"/>
      <c r="J73" s="2902"/>
      <c r="K73" s="2902"/>
      <c r="L73" s="2903"/>
      <c r="M73" s="2902"/>
      <c r="N73" s="2902"/>
      <c r="O73" s="2903"/>
      <c r="P73" s="2902"/>
      <c r="Q73" s="2902"/>
      <c r="R73" s="2904"/>
    </row>
    <row r="74" s="2479" customFormat="1" spans="2:18">
      <c r="B74" s="2902"/>
      <c r="C74" s="2902"/>
      <c r="D74" s="2902"/>
      <c r="E74" s="2902"/>
      <c r="F74" s="2902"/>
      <c r="G74" s="2903"/>
      <c r="H74" s="2902"/>
      <c r="I74" s="2903"/>
      <c r="J74" s="2902"/>
      <c r="K74" s="2902"/>
      <c r="L74" s="2903"/>
      <c r="M74" s="2902"/>
      <c r="N74" s="2902"/>
      <c r="O74" s="2903"/>
      <c r="P74" s="2902"/>
      <c r="Q74" s="2902"/>
      <c r="R74" s="2904"/>
    </row>
    <row r="75" s="2479" customFormat="1" spans="2:18">
      <c r="B75" s="2902"/>
      <c r="C75" s="2902"/>
      <c r="D75" s="2902"/>
      <c r="E75" s="2902"/>
      <c r="F75" s="2902"/>
      <c r="G75" s="2903"/>
      <c r="H75" s="2902"/>
      <c r="I75" s="2903"/>
      <c r="J75" s="2902"/>
      <c r="K75" s="2902"/>
      <c r="L75" s="2903"/>
      <c r="M75" s="2902"/>
      <c r="N75" s="2902"/>
      <c r="O75" s="2903"/>
      <c r="P75" s="2902"/>
      <c r="Q75" s="2902"/>
      <c r="R75" s="2904"/>
    </row>
    <row r="76" s="2479" customFormat="1" spans="2:18">
      <c r="B76" s="2902"/>
      <c r="C76" s="2902"/>
      <c r="D76" s="2902"/>
      <c r="E76" s="2902"/>
      <c r="F76" s="2902"/>
      <c r="G76" s="2903"/>
      <c r="H76" s="2902"/>
      <c r="I76" s="2903"/>
      <c r="J76" s="2902"/>
      <c r="K76" s="2902"/>
      <c r="L76" s="2903"/>
      <c r="M76" s="2902"/>
      <c r="N76" s="2902"/>
      <c r="O76" s="2903"/>
      <c r="P76" s="2902"/>
      <c r="Q76" s="2902"/>
      <c r="R76" s="2904"/>
    </row>
    <row r="77" s="2479" customFormat="1" spans="2:18">
      <c r="B77" s="2902"/>
      <c r="C77" s="2902"/>
      <c r="D77" s="2902"/>
      <c r="E77" s="2902"/>
      <c r="F77" s="2902"/>
      <c r="G77" s="2903"/>
      <c r="H77" s="2902"/>
      <c r="I77" s="2903"/>
      <c r="J77" s="2902"/>
      <c r="K77" s="2902"/>
      <c r="L77" s="2903"/>
      <c r="M77" s="2902"/>
      <c r="N77" s="2902"/>
      <c r="O77" s="2903"/>
      <c r="P77" s="2902"/>
      <c r="Q77" s="2902"/>
      <c r="R77" s="2904"/>
    </row>
    <row r="78" s="2479" customFormat="1" spans="2:18">
      <c r="B78" s="2902"/>
      <c r="C78" s="2902"/>
      <c r="D78" s="2902"/>
      <c r="E78" s="2902"/>
      <c r="F78" s="2902"/>
      <c r="G78" s="2903"/>
      <c r="H78" s="2902"/>
      <c r="I78" s="2903"/>
      <c r="J78" s="2902"/>
      <c r="K78" s="2902"/>
      <c r="L78" s="2903"/>
      <c r="M78" s="2902"/>
      <c r="N78" s="2902"/>
      <c r="O78" s="2903"/>
      <c r="P78" s="2902"/>
      <c r="Q78" s="2902"/>
      <c r="R78" s="2904"/>
    </row>
    <row r="79" s="2479" customFormat="1" spans="2:18">
      <c r="B79" s="2902"/>
      <c r="C79" s="2902"/>
      <c r="D79" s="2902"/>
      <c r="E79" s="2902"/>
      <c r="F79" s="2902"/>
      <c r="G79" s="2903"/>
      <c r="H79" s="2902"/>
      <c r="I79" s="2903"/>
      <c r="J79" s="2902"/>
      <c r="K79" s="2902"/>
      <c r="L79" s="2903"/>
      <c r="M79" s="2902"/>
      <c r="N79" s="2902"/>
      <c r="O79" s="2903"/>
      <c r="P79" s="2902"/>
      <c r="Q79" s="2902"/>
      <c r="R79" s="2904"/>
    </row>
    <row r="80" s="2479" customFormat="1" spans="2:18">
      <c r="B80" s="2902"/>
      <c r="C80" s="2902"/>
      <c r="D80" s="2902"/>
      <c r="E80" s="2902"/>
      <c r="F80" s="2902"/>
      <c r="G80" s="2903"/>
      <c r="H80" s="2902"/>
      <c r="I80" s="2903"/>
      <c r="J80" s="2902"/>
      <c r="K80" s="2902"/>
      <c r="L80" s="2903"/>
      <c r="M80" s="2902"/>
      <c r="N80" s="2902"/>
      <c r="O80" s="2903"/>
      <c r="P80" s="2902"/>
      <c r="Q80" s="2902"/>
      <c r="R80" s="2904"/>
    </row>
    <row r="81" s="2479" customFormat="1" spans="2:18">
      <c r="B81" s="2902"/>
      <c r="C81" s="2902"/>
      <c r="D81" s="2902"/>
      <c r="E81" s="2902"/>
      <c r="F81" s="2902"/>
      <c r="G81" s="2903"/>
      <c r="H81" s="2902"/>
      <c r="I81" s="2903"/>
      <c r="J81" s="2902"/>
      <c r="K81" s="2902"/>
      <c r="L81" s="2903"/>
      <c r="M81" s="2902"/>
      <c r="N81" s="2902"/>
      <c r="O81" s="2903"/>
      <c r="P81" s="2902"/>
      <c r="Q81" s="2902"/>
      <c r="R81" s="2904"/>
    </row>
    <row r="82" s="2479" customFormat="1" spans="2:18">
      <c r="B82" s="2902"/>
      <c r="C82" s="2902"/>
      <c r="D82" s="2902"/>
      <c r="E82" s="2902"/>
      <c r="F82" s="2902"/>
      <c r="G82" s="2903"/>
      <c r="H82" s="2902"/>
      <c r="I82" s="2903"/>
      <c r="J82" s="2902"/>
      <c r="K82" s="2902"/>
      <c r="L82" s="2903"/>
      <c r="M82" s="2902"/>
      <c r="N82" s="2902"/>
      <c r="O82" s="2903"/>
      <c r="P82" s="2902"/>
      <c r="Q82" s="2902"/>
      <c r="R82" s="2904"/>
    </row>
    <row r="83" s="2479" customFormat="1" spans="2:18">
      <c r="B83" s="2902"/>
      <c r="C83" s="2902"/>
      <c r="D83" s="2902"/>
      <c r="E83" s="2902"/>
      <c r="F83" s="2902"/>
      <c r="G83" s="2903"/>
      <c r="H83" s="2902"/>
      <c r="I83" s="2903"/>
      <c r="J83" s="2902"/>
      <c r="K83" s="2902"/>
      <c r="L83" s="2903"/>
      <c r="M83" s="2902"/>
      <c r="N83" s="2902"/>
      <c r="O83" s="2903"/>
      <c r="P83" s="2902"/>
      <c r="Q83" s="2902"/>
      <c r="R83" s="2904"/>
    </row>
    <row r="84" s="2479" customFormat="1" spans="2:18">
      <c r="B84" s="2902"/>
      <c r="C84" s="2902"/>
      <c r="D84" s="2902"/>
      <c r="E84" s="2902"/>
      <c r="F84" s="2902"/>
      <c r="G84" s="2903"/>
      <c r="H84" s="2902"/>
      <c r="I84" s="2903"/>
      <c r="J84" s="2902"/>
      <c r="K84" s="2902"/>
      <c r="L84" s="2903"/>
      <c r="M84" s="2902"/>
      <c r="N84" s="2902"/>
      <c r="O84" s="2903"/>
      <c r="P84" s="2902"/>
      <c r="Q84" s="2902"/>
      <c r="R84" s="2904"/>
    </row>
    <row r="85" s="2479" customFormat="1" spans="2:18">
      <c r="B85" s="2902"/>
      <c r="C85" s="2902"/>
      <c r="D85" s="2902"/>
      <c r="E85" s="2902"/>
      <c r="F85" s="2902"/>
      <c r="G85" s="2903"/>
      <c r="H85" s="2902"/>
      <c r="I85" s="2903"/>
      <c r="J85" s="2902"/>
      <c r="K85" s="2902"/>
      <c r="L85" s="2903"/>
      <c r="M85" s="2902"/>
      <c r="N85" s="2902"/>
      <c r="O85" s="2903"/>
      <c r="P85" s="2902"/>
      <c r="Q85" s="2902"/>
      <c r="R85" s="2904"/>
    </row>
    <row r="86" s="2479" customFormat="1" spans="2:18">
      <c r="B86" s="2902"/>
      <c r="C86" s="2902"/>
      <c r="D86" s="2902"/>
      <c r="E86" s="2902"/>
      <c r="F86" s="2902"/>
      <c r="G86" s="2903"/>
      <c r="H86" s="2902"/>
      <c r="I86" s="2903"/>
      <c r="J86" s="2902"/>
      <c r="K86" s="2902"/>
      <c r="L86" s="2903"/>
      <c r="M86" s="2902"/>
      <c r="N86" s="2902"/>
      <c r="O86" s="2903"/>
      <c r="P86" s="2902"/>
      <c r="Q86" s="2902"/>
      <c r="R86" s="2904"/>
    </row>
    <row r="87" s="2479" customFormat="1" spans="2:18">
      <c r="B87" s="2902"/>
      <c r="C87" s="2902"/>
      <c r="D87" s="2902"/>
      <c r="E87" s="2902"/>
      <c r="F87" s="2902"/>
      <c r="G87" s="2903"/>
      <c r="H87" s="2902"/>
      <c r="I87" s="2903"/>
      <c r="J87" s="2902"/>
      <c r="K87" s="2902"/>
      <c r="L87" s="2903"/>
      <c r="M87" s="2902"/>
      <c r="N87" s="2902"/>
      <c r="O87" s="2903"/>
      <c r="P87" s="2902"/>
      <c r="Q87" s="2902"/>
      <c r="R87" s="2904"/>
    </row>
    <row r="88" s="2479" customFormat="1" spans="2:18">
      <c r="B88" s="2902"/>
      <c r="C88" s="2902"/>
      <c r="D88" s="2902"/>
      <c r="E88" s="2902"/>
      <c r="F88" s="2902"/>
      <c r="G88" s="2903"/>
      <c r="H88" s="2902"/>
      <c r="I88" s="2903"/>
      <c r="J88" s="2902"/>
      <c r="K88" s="2902"/>
      <c r="L88" s="2903"/>
      <c r="M88" s="2902"/>
      <c r="N88" s="2902"/>
      <c r="O88" s="2903"/>
      <c r="P88" s="2902"/>
      <c r="Q88" s="2902"/>
      <c r="R88" s="2904"/>
    </row>
    <row r="89" s="2479" customFormat="1" spans="2:18">
      <c r="B89" s="2902"/>
      <c r="C89" s="2902"/>
      <c r="D89" s="2902"/>
      <c r="E89" s="2902"/>
      <c r="F89" s="2902"/>
      <c r="G89" s="2903"/>
      <c r="H89" s="2902"/>
      <c r="I89" s="2903"/>
      <c r="J89" s="2902"/>
      <c r="K89" s="2902"/>
      <c r="L89" s="2903"/>
      <c r="M89" s="2902"/>
      <c r="N89" s="2902"/>
      <c r="O89" s="2903"/>
      <c r="P89" s="2902"/>
      <c r="Q89" s="2902"/>
      <c r="R89" s="2904"/>
    </row>
    <row r="90" s="2479" customFormat="1" spans="2:18">
      <c r="B90" s="2902"/>
      <c r="C90" s="2902"/>
      <c r="D90" s="2902"/>
      <c r="E90" s="2902"/>
      <c r="F90" s="2902"/>
      <c r="G90" s="2903"/>
      <c r="H90" s="2902"/>
      <c r="I90" s="2903"/>
      <c r="J90" s="2902"/>
      <c r="K90" s="2902"/>
      <c r="L90" s="2903"/>
      <c r="M90" s="2902"/>
      <c r="N90" s="2902"/>
      <c r="O90" s="2903"/>
      <c r="P90" s="2902"/>
      <c r="Q90" s="2902"/>
      <c r="R90" s="2904"/>
    </row>
    <row r="91" s="2479" customFormat="1" spans="2:18">
      <c r="B91" s="2902"/>
      <c r="C91" s="2902"/>
      <c r="D91" s="2902"/>
      <c r="E91" s="2902"/>
      <c r="F91" s="2902"/>
      <c r="G91" s="2903"/>
      <c r="H91" s="2902"/>
      <c r="I91" s="2903"/>
      <c r="J91" s="2902"/>
      <c r="K91" s="2902"/>
      <c r="L91" s="2903"/>
      <c r="M91" s="2902"/>
      <c r="N91" s="2902"/>
      <c r="O91" s="2903"/>
      <c r="P91" s="2902"/>
      <c r="Q91" s="2902"/>
      <c r="R91" s="2904"/>
    </row>
    <row r="92" s="2479" customFormat="1" spans="2:18">
      <c r="B92" s="2902"/>
      <c r="C92" s="2902"/>
      <c r="D92" s="2902"/>
      <c r="E92" s="2902"/>
      <c r="F92" s="2902"/>
      <c r="G92" s="2903"/>
      <c r="H92" s="2902"/>
      <c r="I92" s="2903"/>
      <c r="J92" s="2902"/>
      <c r="K92" s="2902"/>
      <c r="L92" s="2903"/>
      <c r="M92" s="2902"/>
      <c r="N92" s="2902"/>
      <c r="O92" s="2903"/>
      <c r="P92" s="2902"/>
      <c r="Q92" s="2902"/>
      <c r="R92" s="2904"/>
    </row>
    <row r="93" s="2479" customFormat="1" spans="2:18">
      <c r="B93" s="2902"/>
      <c r="C93" s="2902"/>
      <c r="D93" s="2902"/>
      <c r="E93" s="2902"/>
      <c r="F93" s="2902"/>
      <c r="G93" s="2903"/>
      <c r="H93" s="2902"/>
      <c r="I93" s="2903"/>
      <c r="J93" s="2902"/>
      <c r="K93" s="2902"/>
      <c r="L93" s="2903"/>
      <c r="M93" s="2902"/>
      <c r="N93" s="2902"/>
      <c r="O93" s="2903"/>
      <c r="P93" s="2902"/>
      <c r="Q93" s="2902"/>
      <c r="R93" s="2904"/>
    </row>
    <row r="94" s="2479" customFormat="1" spans="2:18">
      <c r="B94" s="2902"/>
      <c r="C94" s="2902"/>
      <c r="D94" s="2902"/>
      <c r="E94" s="2902"/>
      <c r="F94" s="2902"/>
      <c r="G94" s="2903"/>
      <c r="H94" s="2902"/>
      <c r="I94" s="2903"/>
      <c r="J94" s="2902"/>
      <c r="K94" s="2902"/>
      <c r="L94" s="2903"/>
      <c r="M94" s="2902"/>
      <c r="N94" s="2902"/>
      <c r="O94" s="2903"/>
      <c r="P94" s="2902"/>
      <c r="Q94" s="2902"/>
      <c r="R94" s="2904"/>
    </row>
    <row r="95" s="2479" customFormat="1" spans="2:18">
      <c r="B95" s="2902"/>
      <c r="C95" s="2902"/>
      <c r="D95" s="2902"/>
      <c r="E95" s="2902"/>
      <c r="F95" s="2902"/>
      <c r="G95" s="2903"/>
      <c r="H95" s="2902"/>
      <c r="I95" s="2903"/>
      <c r="J95" s="2902"/>
      <c r="K95" s="2902"/>
      <c r="L95" s="2903"/>
      <c r="M95" s="2902"/>
      <c r="N95" s="2902"/>
      <c r="O95" s="2903"/>
      <c r="P95" s="2902"/>
      <c r="Q95" s="2902"/>
      <c r="R95" s="2904"/>
    </row>
    <row r="96" s="2479" customFormat="1" spans="2:18">
      <c r="B96" s="2902"/>
      <c r="C96" s="2902"/>
      <c r="D96" s="2902"/>
      <c r="E96" s="2902"/>
      <c r="F96" s="2902"/>
      <c r="G96" s="2903"/>
      <c r="H96" s="2902"/>
      <c r="I96" s="2903"/>
      <c r="J96" s="2902"/>
      <c r="K96" s="2902"/>
      <c r="L96" s="2903"/>
      <c r="M96" s="2902"/>
      <c r="N96" s="2902"/>
      <c r="O96" s="2903"/>
      <c r="P96" s="2902"/>
      <c r="Q96" s="2902"/>
      <c r="R96" s="2904"/>
    </row>
    <row r="97" s="2479" customFormat="1" spans="2:18">
      <c r="B97" s="2902"/>
      <c r="C97" s="2902"/>
      <c r="D97" s="2902"/>
      <c r="E97" s="2902"/>
      <c r="F97" s="2902"/>
      <c r="G97" s="2903"/>
      <c r="H97" s="2902"/>
      <c r="I97" s="2903"/>
      <c r="J97" s="2902"/>
      <c r="K97" s="2902"/>
      <c r="L97" s="2903"/>
      <c r="M97" s="2902"/>
      <c r="N97" s="2902"/>
      <c r="O97" s="2903"/>
      <c r="P97" s="2902"/>
      <c r="Q97" s="2902"/>
      <c r="R97" s="2904"/>
    </row>
    <row r="98" s="2479" customFormat="1" spans="2:18">
      <c r="B98" s="2902"/>
      <c r="C98" s="2902"/>
      <c r="D98" s="2902"/>
      <c r="E98" s="2902"/>
      <c r="F98" s="2902"/>
      <c r="G98" s="2903"/>
      <c r="H98" s="2902"/>
      <c r="I98" s="2903"/>
      <c r="J98" s="2902"/>
      <c r="K98" s="2902"/>
      <c r="L98" s="2903"/>
      <c r="M98" s="2902"/>
      <c r="N98" s="2902"/>
      <c r="O98" s="2903"/>
      <c r="P98" s="2902"/>
      <c r="Q98" s="2902"/>
      <c r="R98" s="2904"/>
    </row>
    <row r="99" s="2479" customFormat="1" spans="2:18">
      <c r="B99" s="2902"/>
      <c r="C99" s="2902"/>
      <c r="D99" s="2902"/>
      <c r="E99" s="2902"/>
      <c r="F99" s="2902"/>
      <c r="G99" s="2903"/>
      <c r="H99" s="2902"/>
      <c r="I99" s="2903"/>
      <c r="J99" s="2902"/>
      <c r="K99" s="2902"/>
      <c r="L99" s="2903"/>
      <c r="M99" s="2902"/>
      <c r="N99" s="2902"/>
      <c r="O99" s="2903"/>
      <c r="P99" s="2902"/>
      <c r="Q99" s="2902"/>
      <c r="R99" s="2904"/>
    </row>
    <row r="100" s="2479" customFormat="1" spans="2:18">
      <c r="B100" s="2902"/>
      <c r="C100" s="2902"/>
      <c r="D100" s="2902"/>
      <c r="E100" s="2902"/>
      <c r="F100" s="2902"/>
      <c r="G100" s="2903"/>
      <c r="H100" s="2902"/>
      <c r="I100" s="2903"/>
      <c r="J100" s="2902"/>
      <c r="K100" s="2902"/>
      <c r="L100" s="2903"/>
      <c r="M100" s="2902"/>
      <c r="N100" s="2902"/>
      <c r="O100" s="2903"/>
      <c r="P100" s="2902"/>
      <c r="Q100" s="2902"/>
      <c r="R100" s="2904"/>
    </row>
    <row r="101" s="2479" customFormat="1" spans="2:18">
      <c r="B101" s="2902"/>
      <c r="C101" s="2902"/>
      <c r="D101" s="2902"/>
      <c r="E101" s="2902"/>
      <c r="F101" s="2902"/>
      <c r="G101" s="2903"/>
      <c r="H101" s="2902"/>
      <c r="I101" s="2903"/>
      <c r="J101" s="2902"/>
      <c r="K101" s="2902"/>
      <c r="L101" s="2903"/>
      <c r="M101" s="2902"/>
      <c r="N101" s="2902"/>
      <c r="O101" s="2903"/>
      <c r="P101" s="2902"/>
      <c r="Q101" s="2902"/>
      <c r="R101" s="2904"/>
    </row>
    <row r="102" s="2479" customFormat="1" spans="2:18">
      <c r="B102" s="2902"/>
      <c r="C102" s="2902"/>
      <c r="D102" s="2902"/>
      <c r="E102" s="2902"/>
      <c r="F102" s="2902"/>
      <c r="G102" s="2903"/>
      <c r="H102" s="2902"/>
      <c r="I102" s="2903"/>
      <c r="J102" s="2902"/>
      <c r="K102" s="2902"/>
      <c r="L102" s="2903"/>
      <c r="M102" s="2902"/>
      <c r="N102" s="2902"/>
      <c r="O102" s="2903"/>
      <c r="P102" s="2902"/>
      <c r="Q102" s="2902"/>
      <c r="R102" s="2904"/>
    </row>
    <row r="103" s="2479" customFormat="1" spans="2:18">
      <c r="B103" s="2902"/>
      <c r="C103" s="2902"/>
      <c r="D103" s="2902"/>
      <c r="E103" s="2902"/>
      <c r="F103" s="2902"/>
      <c r="G103" s="2903"/>
      <c r="H103" s="2902"/>
      <c r="I103" s="2903"/>
      <c r="J103" s="2902"/>
      <c r="K103" s="2902"/>
      <c r="L103" s="2903"/>
      <c r="M103" s="2902"/>
      <c r="N103" s="2902"/>
      <c r="O103" s="2903"/>
      <c r="P103" s="2902"/>
      <c r="Q103" s="2902"/>
      <c r="R103" s="2904"/>
    </row>
    <row r="104" s="2479" customFormat="1" spans="2:18">
      <c r="B104" s="2902"/>
      <c r="C104" s="2902"/>
      <c r="D104" s="2902"/>
      <c r="E104" s="2902"/>
      <c r="F104" s="2902"/>
      <c r="G104" s="2903"/>
      <c r="H104" s="2902"/>
      <c r="I104" s="2903"/>
      <c r="J104" s="2902"/>
      <c r="K104" s="2902"/>
      <c r="L104" s="2903"/>
      <c r="M104" s="2902"/>
      <c r="N104" s="2902"/>
      <c r="O104" s="2903"/>
      <c r="P104" s="2902"/>
      <c r="Q104" s="2902"/>
      <c r="R104" s="2904"/>
    </row>
    <row r="105" s="2479" customFormat="1" spans="2:18">
      <c r="B105" s="2902"/>
      <c r="C105" s="2902"/>
      <c r="D105" s="2902"/>
      <c r="E105" s="2902"/>
      <c r="F105" s="2902"/>
      <c r="G105" s="2903"/>
      <c r="H105" s="2902"/>
      <c r="I105" s="2903"/>
      <c r="J105" s="2902"/>
      <c r="K105" s="2902"/>
      <c r="L105" s="2903"/>
      <c r="M105" s="2902"/>
      <c r="N105" s="2902"/>
      <c r="O105" s="2903"/>
      <c r="P105" s="2902"/>
      <c r="Q105" s="2902"/>
      <c r="R105" s="2904"/>
    </row>
    <row r="106" s="2479" customFormat="1" spans="2:18">
      <c r="B106" s="2902"/>
      <c r="C106" s="2902"/>
      <c r="D106" s="2902"/>
      <c r="E106" s="2902"/>
      <c r="F106" s="2902"/>
      <c r="G106" s="2903"/>
      <c r="H106" s="2902"/>
      <c r="I106" s="2903"/>
      <c r="J106" s="2902"/>
      <c r="K106" s="2902"/>
      <c r="L106" s="2903"/>
      <c r="M106" s="2902"/>
      <c r="N106" s="2902"/>
      <c r="O106" s="2903"/>
      <c r="P106" s="2902"/>
      <c r="Q106" s="2902"/>
      <c r="R106" s="2904"/>
    </row>
    <row r="107" s="2479" customFormat="1" spans="2:18">
      <c r="B107" s="2902"/>
      <c r="C107" s="2902"/>
      <c r="D107" s="2902"/>
      <c r="E107" s="2902"/>
      <c r="F107" s="2902"/>
      <c r="G107" s="2903"/>
      <c r="H107" s="2902"/>
      <c r="I107" s="2903"/>
      <c r="J107" s="2902"/>
      <c r="K107" s="2902"/>
      <c r="L107" s="2903"/>
      <c r="M107" s="2902"/>
      <c r="N107" s="2902"/>
      <c r="O107" s="2903"/>
      <c r="P107" s="2902"/>
      <c r="Q107" s="2902"/>
      <c r="R107" s="2904"/>
    </row>
    <row r="108" s="2479" customFormat="1" spans="2:18">
      <c r="B108" s="2902"/>
      <c r="C108" s="2902"/>
      <c r="D108" s="2902"/>
      <c r="E108" s="2902"/>
      <c r="F108" s="2902"/>
      <c r="G108" s="2903"/>
      <c r="H108" s="2902"/>
      <c r="I108" s="2903"/>
      <c r="J108" s="2902"/>
      <c r="K108" s="2902"/>
      <c r="L108" s="2903"/>
      <c r="M108" s="2902"/>
      <c r="N108" s="2902"/>
      <c r="O108" s="2903"/>
      <c r="P108" s="2902"/>
      <c r="Q108" s="2902"/>
      <c r="R108" s="2904"/>
    </row>
    <row r="109" s="2479" customFormat="1" spans="2:18">
      <c r="B109" s="2902"/>
      <c r="C109" s="2902"/>
      <c r="D109" s="2902"/>
      <c r="E109" s="2902"/>
      <c r="F109" s="2902"/>
      <c r="G109" s="2903"/>
      <c r="H109" s="2902"/>
      <c r="I109" s="2903"/>
      <c r="J109" s="2902"/>
      <c r="K109" s="2902"/>
      <c r="L109" s="2903"/>
      <c r="M109" s="2902"/>
      <c r="N109" s="2902"/>
      <c r="O109" s="2903"/>
      <c r="P109" s="2902"/>
      <c r="Q109" s="2902"/>
      <c r="R109" s="2904"/>
    </row>
    <row r="110" s="2479" customFormat="1" spans="2:18">
      <c r="B110" s="2902"/>
      <c r="C110" s="2902"/>
      <c r="D110" s="2902"/>
      <c r="E110" s="2902"/>
      <c r="F110" s="2902"/>
      <c r="G110" s="2903"/>
      <c r="H110" s="2902"/>
      <c r="I110" s="2903"/>
      <c r="J110" s="2902"/>
      <c r="K110" s="2902"/>
      <c r="L110" s="2903"/>
      <c r="M110" s="2902"/>
      <c r="N110" s="2902"/>
      <c r="O110" s="2903"/>
      <c r="P110" s="2902"/>
      <c r="Q110" s="2902"/>
      <c r="R110" s="2904"/>
    </row>
    <row r="111" s="2479" customFormat="1" spans="2:18">
      <c r="B111" s="2902"/>
      <c r="C111" s="2902"/>
      <c r="D111" s="2902"/>
      <c r="E111" s="2902"/>
      <c r="F111" s="2902"/>
      <c r="G111" s="2903"/>
      <c r="H111" s="2902"/>
      <c r="I111" s="2903"/>
      <c r="J111" s="2902"/>
      <c r="K111" s="2902"/>
      <c r="L111" s="2903"/>
      <c r="M111" s="2902"/>
      <c r="N111" s="2902"/>
      <c r="O111" s="2903"/>
      <c r="P111" s="2902"/>
      <c r="Q111" s="2902"/>
      <c r="R111" s="2904"/>
    </row>
    <row r="112" s="2479" customFormat="1" spans="2:18">
      <c r="B112" s="2902"/>
      <c r="C112" s="2902"/>
      <c r="D112" s="2902"/>
      <c r="E112" s="2902"/>
      <c r="F112" s="2902"/>
      <c r="G112" s="2903"/>
      <c r="H112" s="2902"/>
      <c r="I112" s="2903"/>
      <c r="J112" s="2902"/>
      <c r="K112" s="2902"/>
      <c r="L112" s="2903"/>
      <c r="M112" s="2902"/>
      <c r="N112" s="2902"/>
      <c r="O112" s="2903"/>
      <c r="P112" s="2902"/>
      <c r="Q112" s="2902"/>
      <c r="R112" s="2904"/>
    </row>
    <row r="113" s="2479" customFormat="1" spans="2:18">
      <c r="B113" s="2902"/>
      <c r="C113" s="2902"/>
      <c r="D113" s="2902"/>
      <c r="E113" s="2902"/>
      <c r="F113" s="2902"/>
      <c r="G113" s="2903"/>
      <c r="H113" s="2902"/>
      <c r="I113" s="2903"/>
      <c r="J113" s="2902"/>
      <c r="K113" s="2902"/>
      <c r="L113" s="2903"/>
      <c r="M113" s="2902"/>
      <c r="N113" s="2902"/>
      <c r="O113" s="2903"/>
      <c r="P113" s="2902"/>
      <c r="Q113" s="2902"/>
      <c r="R113" s="2904"/>
    </row>
    <row r="114" s="2479" customFormat="1" spans="2:18">
      <c r="B114" s="2902"/>
      <c r="C114" s="2902"/>
      <c r="D114" s="2902"/>
      <c r="E114" s="2902"/>
      <c r="F114" s="2902"/>
      <c r="G114" s="2903"/>
      <c r="H114" s="2902"/>
      <c r="I114" s="2903"/>
      <c r="J114" s="2902"/>
      <c r="K114" s="2902"/>
      <c r="L114" s="2903"/>
      <c r="M114" s="2902"/>
      <c r="N114" s="2902"/>
      <c r="O114" s="2903"/>
      <c r="P114" s="2902"/>
      <c r="Q114" s="2902"/>
      <c r="R114" s="2904"/>
    </row>
    <row r="115" s="2479" customFormat="1" spans="2:18">
      <c r="B115" s="2902"/>
      <c r="C115" s="2902"/>
      <c r="D115" s="2902"/>
      <c r="E115" s="2902"/>
      <c r="F115" s="2902"/>
      <c r="G115" s="2903"/>
      <c r="H115" s="2902"/>
      <c r="I115" s="2903"/>
      <c r="J115" s="2902"/>
      <c r="K115" s="2902"/>
      <c r="L115" s="2903"/>
      <c r="M115" s="2902"/>
      <c r="N115" s="2902"/>
      <c r="O115" s="2903"/>
      <c r="P115" s="2902"/>
      <c r="Q115" s="2902"/>
      <c r="R115" s="2904"/>
    </row>
    <row r="116" s="2479" customFormat="1" spans="2:18">
      <c r="B116" s="2902"/>
      <c r="C116" s="2902"/>
      <c r="D116" s="2902"/>
      <c r="E116" s="2902"/>
      <c r="F116" s="2902"/>
      <c r="G116" s="2903"/>
      <c r="H116" s="2902"/>
      <c r="I116" s="2903"/>
      <c r="J116" s="2902"/>
      <c r="K116" s="2902"/>
      <c r="L116" s="2903"/>
      <c r="M116" s="2902"/>
      <c r="N116" s="2902"/>
      <c r="O116" s="2903"/>
      <c r="P116" s="2902"/>
      <c r="Q116" s="2902"/>
      <c r="R116" s="2904"/>
    </row>
    <row r="117" s="2479" customFormat="1" spans="2:18">
      <c r="B117" s="2902"/>
      <c r="C117" s="2902"/>
      <c r="D117" s="2902"/>
      <c r="E117" s="2902"/>
      <c r="F117" s="2902"/>
      <c r="G117" s="2903"/>
      <c r="H117" s="2902"/>
      <c r="I117" s="2903"/>
      <c r="J117" s="2902"/>
      <c r="K117" s="2902"/>
      <c r="L117" s="2903"/>
      <c r="M117" s="2902"/>
      <c r="N117" s="2902"/>
      <c r="O117" s="2903"/>
      <c r="P117" s="2902"/>
      <c r="Q117" s="2902"/>
      <c r="R117" s="2904"/>
    </row>
    <row r="118" s="2479" customFormat="1" spans="2:18">
      <c r="B118" s="2902"/>
      <c r="C118" s="2902"/>
      <c r="D118" s="2902"/>
      <c r="E118" s="2902"/>
      <c r="F118" s="2902"/>
      <c r="G118" s="2903"/>
      <c r="H118" s="2902"/>
      <c r="I118" s="2903"/>
      <c r="J118" s="2902"/>
      <c r="K118" s="2902"/>
      <c r="L118" s="2903"/>
      <c r="M118" s="2902"/>
      <c r="N118" s="2902"/>
      <c r="O118" s="2903"/>
      <c r="P118" s="2902"/>
      <c r="Q118" s="2902"/>
      <c r="R118" s="2904"/>
    </row>
    <row r="119" s="2479" customFormat="1" spans="2:18">
      <c r="B119" s="2902"/>
      <c r="C119" s="2902"/>
      <c r="D119" s="2902"/>
      <c r="E119" s="2902"/>
      <c r="F119" s="2902"/>
      <c r="G119" s="2903"/>
      <c r="H119" s="2902"/>
      <c r="I119" s="2903"/>
      <c r="J119" s="2902"/>
      <c r="K119" s="2902"/>
      <c r="L119" s="2903"/>
      <c r="M119" s="2902"/>
      <c r="N119" s="2902"/>
      <c r="O119" s="2903"/>
      <c r="P119" s="2902"/>
      <c r="Q119" s="2902"/>
      <c r="R119" s="2904"/>
    </row>
    <row r="120" s="2479" customFormat="1" spans="2:18">
      <c r="B120" s="2902"/>
      <c r="C120" s="2902"/>
      <c r="D120" s="2902"/>
      <c r="E120" s="2902"/>
      <c r="F120" s="2902"/>
      <c r="G120" s="2903"/>
      <c r="H120" s="2902"/>
      <c r="I120" s="2903"/>
      <c r="J120" s="2902"/>
      <c r="K120" s="2902"/>
      <c r="L120" s="2903"/>
      <c r="M120" s="2902"/>
      <c r="N120" s="2902"/>
      <c r="O120" s="2903"/>
      <c r="P120" s="2902"/>
      <c r="Q120" s="2902"/>
      <c r="R120" s="2904"/>
    </row>
    <row r="121" s="2479" customFormat="1" spans="2:18">
      <c r="B121" s="2902"/>
      <c r="C121" s="2902"/>
      <c r="D121" s="2902"/>
      <c r="E121" s="2902"/>
      <c r="F121" s="2902"/>
      <c r="G121" s="2903"/>
      <c r="H121" s="2902"/>
      <c r="I121" s="2903"/>
      <c r="J121" s="2902"/>
      <c r="K121" s="2902"/>
      <c r="L121" s="2903"/>
      <c r="M121" s="2902"/>
      <c r="N121" s="2902"/>
      <c r="O121" s="2903"/>
      <c r="P121" s="2902"/>
      <c r="Q121" s="2902"/>
      <c r="R121" s="2904"/>
    </row>
    <row r="122" s="2479" customFormat="1" spans="2:18">
      <c r="B122" s="2902"/>
      <c r="C122" s="2902"/>
      <c r="D122" s="2902"/>
      <c r="E122" s="2902"/>
      <c r="F122" s="2902"/>
      <c r="G122" s="2903"/>
      <c r="H122" s="2902"/>
      <c r="I122" s="2903"/>
      <c r="J122" s="2902"/>
      <c r="K122" s="2902"/>
      <c r="L122" s="2903"/>
      <c r="M122" s="2902"/>
      <c r="N122" s="2902"/>
      <c r="O122" s="2903"/>
      <c r="P122" s="2902"/>
      <c r="Q122" s="2902"/>
      <c r="R122" s="2904"/>
    </row>
    <row r="123" s="2479" customFormat="1" spans="2:18">
      <c r="B123" s="2902"/>
      <c r="C123" s="2902"/>
      <c r="D123" s="2902"/>
      <c r="E123" s="2902"/>
      <c r="F123" s="2902"/>
      <c r="G123" s="2903"/>
      <c r="H123" s="2902"/>
      <c r="I123" s="2903"/>
      <c r="J123" s="2902"/>
      <c r="K123" s="2902"/>
      <c r="L123" s="2903"/>
      <c r="M123" s="2902"/>
      <c r="N123" s="2902"/>
      <c r="O123" s="2903"/>
      <c r="P123" s="2902"/>
      <c r="Q123" s="2902"/>
      <c r="R123" s="2904"/>
    </row>
    <row r="124" s="2479" customFormat="1" spans="2:18">
      <c r="B124" s="2902"/>
      <c r="C124" s="2902"/>
      <c r="D124" s="2902"/>
      <c r="E124" s="2902"/>
      <c r="F124" s="2902"/>
      <c r="G124" s="2903"/>
      <c r="H124" s="2902"/>
      <c r="I124" s="2903"/>
      <c r="J124" s="2902"/>
      <c r="K124" s="2902"/>
      <c r="L124" s="2903"/>
      <c r="M124" s="2902"/>
      <c r="N124" s="2902"/>
      <c r="O124" s="2903"/>
      <c r="P124" s="2902"/>
      <c r="Q124" s="2902"/>
      <c r="R124" s="2904"/>
    </row>
    <row r="125" s="2479" customFormat="1" spans="2:18">
      <c r="B125" s="2902"/>
      <c r="C125" s="2902"/>
      <c r="D125" s="2902"/>
      <c r="E125" s="2902"/>
      <c r="F125" s="2902"/>
      <c r="G125" s="2903"/>
      <c r="H125" s="2902"/>
      <c r="I125" s="2903"/>
      <c r="J125" s="2902"/>
      <c r="K125" s="2902"/>
      <c r="L125" s="2903"/>
      <c r="M125" s="2902"/>
      <c r="N125" s="2902"/>
      <c r="O125" s="2903"/>
      <c r="P125" s="2902"/>
      <c r="Q125" s="2902"/>
      <c r="R125" s="2904"/>
    </row>
    <row r="126" s="2479" customFormat="1" spans="2:18">
      <c r="B126" s="2902"/>
      <c r="C126" s="2902"/>
      <c r="D126" s="2902"/>
      <c r="E126" s="2902"/>
      <c r="F126" s="2902"/>
      <c r="G126" s="2903"/>
      <c r="H126" s="2902"/>
      <c r="I126" s="2903"/>
      <c r="J126" s="2902"/>
      <c r="K126" s="2902"/>
      <c r="L126" s="2903"/>
      <c r="M126" s="2902"/>
      <c r="N126" s="2902"/>
      <c r="O126" s="2903"/>
      <c r="P126" s="2902"/>
      <c r="Q126" s="2902"/>
      <c r="R126" s="2904"/>
    </row>
    <row r="127" s="2479" customFormat="1" spans="2:18">
      <c r="B127" s="2902"/>
      <c r="C127" s="2902"/>
      <c r="D127" s="2902"/>
      <c r="E127" s="2902"/>
      <c r="F127" s="2902"/>
      <c r="G127" s="2903"/>
      <c r="H127" s="2902"/>
      <c r="I127" s="2903"/>
      <c r="J127" s="2902"/>
      <c r="K127" s="2902"/>
      <c r="L127" s="2903"/>
      <c r="M127" s="2902"/>
      <c r="N127" s="2902"/>
      <c r="O127" s="2903"/>
      <c r="P127" s="2902"/>
      <c r="Q127" s="2902"/>
      <c r="R127" s="2904"/>
    </row>
    <row r="128" s="2479" customFormat="1" spans="2:18">
      <c r="B128" s="2902"/>
      <c r="C128" s="2902"/>
      <c r="D128" s="2902"/>
      <c r="E128" s="2902"/>
      <c r="F128" s="2902"/>
      <c r="G128" s="2903"/>
      <c r="H128" s="2902"/>
      <c r="I128" s="2903"/>
      <c r="J128" s="2902"/>
      <c r="K128" s="2902"/>
      <c r="L128" s="2903"/>
      <c r="M128" s="2902"/>
      <c r="N128" s="2902"/>
      <c r="O128" s="2903"/>
      <c r="P128" s="2902"/>
      <c r="Q128" s="2902"/>
      <c r="R128" s="2904"/>
    </row>
    <row r="129" s="2479" customFormat="1" spans="2:18">
      <c r="B129" s="2902"/>
      <c r="C129" s="2902"/>
      <c r="D129" s="2902"/>
      <c r="E129" s="2902"/>
      <c r="F129" s="2902"/>
      <c r="G129" s="2903"/>
      <c r="H129" s="2902"/>
      <c r="I129" s="2903"/>
      <c r="J129" s="2902"/>
      <c r="K129" s="2902"/>
      <c r="L129" s="2903"/>
      <c r="M129" s="2902"/>
      <c r="N129" s="2902"/>
      <c r="O129" s="2903"/>
      <c r="P129" s="2902"/>
      <c r="Q129" s="2902"/>
      <c r="R129" s="2904"/>
    </row>
    <row r="130" s="2479" customFormat="1" spans="2:18">
      <c r="B130" s="2902"/>
      <c r="C130" s="2902"/>
      <c r="D130" s="2902"/>
      <c r="E130" s="2902"/>
      <c r="F130" s="2902"/>
      <c r="G130" s="2903"/>
      <c r="H130" s="2902"/>
      <c r="I130" s="2903"/>
      <c r="J130" s="2902"/>
      <c r="K130" s="2902"/>
      <c r="L130" s="2903"/>
      <c r="M130" s="2902"/>
      <c r="N130" s="2902"/>
      <c r="O130" s="2903"/>
      <c r="P130" s="2902"/>
      <c r="Q130" s="2902"/>
      <c r="R130" s="2904"/>
    </row>
    <row r="131" s="2479" customFormat="1" spans="2:18">
      <c r="B131" s="2902"/>
      <c r="C131" s="2902"/>
      <c r="D131" s="2902"/>
      <c r="E131" s="2902"/>
      <c r="F131" s="2902"/>
      <c r="G131" s="2903"/>
      <c r="H131" s="2902"/>
      <c r="I131" s="2903"/>
      <c r="J131" s="2902"/>
      <c r="K131" s="2902"/>
      <c r="L131" s="2903"/>
      <c r="M131" s="2902"/>
      <c r="N131" s="2902"/>
      <c r="O131" s="2903"/>
      <c r="P131" s="2902"/>
      <c r="Q131" s="2902"/>
      <c r="R131" s="2904"/>
    </row>
    <row r="132" s="2479" customFormat="1" spans="2:18">
      <c r="B132" s="2902"/>
      <c r="C132" s="2902"/>
      <c r="D132" s="2902"/>
      <c r="E132" s="2902"/>
      <c r="F132" s="2902"/>
      <c r="G132" s="2903"/>
      <c r="H132" s="2902"/>
      <c r="I132" s="2903"/>
      <c r="J132" s="2902"/>
      <c r="K132" s="2902"/>
      <c r="L132" s="2903"/>
      <c r="M132" s="2902"/>
      <c r="N132" s="2902"/>
      <c r="O132" s="2903"/>
      <c r="P132" s="2902"/>
      <c r="Q132" s="2902"/>
      <c r="R132" s="2904"/>
    </row>
    <row r="133" s="2479" customFormat="1" spans="2:18">
      <c r="B133" s="2902"/>
      <c r="C133" s="2902"/>
      <c r="D133" s="2902"/>
      <c r="E133" s="2902"/>
      <c r="F133" s="2902"/>
      <c r="G133" s="2903"/>
      <c r="H133" s="2902"/>
      <c r="I133" s="2903"/>
      <c r="J133" s="2902"/>
      <c r="K133" s="2902"/>
      <c r="L133" s="2903"/>
      <c r="M133" s="2902"/>
      <c r="N133" s="2902"/>
      <c r="O133" s="2903"/>
      <c r="P133" s="2902"/>
      <c r="Q133" s="2902"/>
      <c r="R133" s="2904"/>
    </row>
    <row r="134" s="2479" customFormat="1" spans="2:18">
      <c r="B134" s="2902"/>
      <c r="C134" s="2902"/>
      <c r="D134" s="2902"/>
      <c r="E134" s="2902"/>
      <c r="F134" s="2902"/>
      <c r="G134" s="2903"/>
      <c r="H134" s="2902"/>
      <c r="I134" s="2903"/>
      <c r="J134" s="2902"/>
      <c r="K134" s="2902"/>
      <c r="L134" s="2903"/>
      <c r="M134" s="2902"/>
      <c r="N134" s="2902"/>
      <c r="O134" s="2903"/>
      <c r="P134" s="2902"/>
      <c r="Q134" s="2902"/>
      <c r="R134" s="2904"/>
    </row>
    <row r="135" s="2479" customFormat="1" spans="2:18">
      <c r="B135" s="2902"/>
      <c r="C135" s="2902"/>
      <c r="D135" s="2902"/>
      <c r="E135" s="2902"/>
      <c r="F135" s="2902"/>
      <c r="G135" s="2903"/>
      <c r="H135" s="2902"/>
      <c r="I135" s="2903"/>
      <c r="J135" s="2902"/>
      <c r="K135" s="2902"/>
      <c r="L135" s="2903"/>
      <c r="M135" s="2902"/>
      <c r="N135" s="2902"/>
      <c r="O135" s="2903"/>
      <c r="P135" s="2902"/>
      <c r="Q135" s="2902"/>
      <c r="R135" s="2904"/>
    </row>
    <row r="136" s="2479" customFormat="1" spans="2:18">
      <c r="B136" s="2902"/>
      <c r="C136" s="2902"/>
      <c r="D136" s="2902"/>
      <c r="E136" s="2902"/>
      <c r="F136" s="2902"/>
      <c r="G136" s="2903"/>
      <c r="H136" s="2902"/>
      <c r="I136" s="2903"/>
      <c r="J136" s="2902"/>
      <c r="K136" s="2902"/>
      <c r="L136" s="2903"/>
      <c r="M136" s="2902"/>
      <c r="N136" s="2902"/>
      <c r="O136" s="2903"/>
      <c r="P136" s="2902"/>
      <c r="Q136" s="2902"/>
      <c r="R136" s="2904"/>
    </row>
    <row r="137" s="2479" customFormat="1" spans="2:18">
      <c r="B137" s="2902"/>
      <c r="C137" s="2902"/>
      <c r="D137" s="2902"/>
      <c r="E137" s="2902"/>
      <c r="F137" s="2902"/>
      <c r="G137" s="2903"/>
      <c r="H137" s="2902"/>
      <c r="I137" s="2903"/>
      <c r="J137" s="2902"/>
      <c r="K137" s="2902"/>
      <c r="L137" s="2903"/>
      <c r="M137" s="2902"/>
      <c r="N137" s="2902"/>
      <c r="O137" s="2903"/>
      <c r="P137" s="2902"/>
      <c r="Q137" s="2902"/>
      <c r="R137" s="2904"/>
    </row>
    <row r="138" s="2479" customFormat="1" spans="2:18">
      <c r="B138" s="2902"/>
      <c r="C138" s="2902"/>
      <c r="D138" s="2902"/>
      <c r="E138" s="2902"/>
      <c r="F138" s="2902"/>
      <c r="G138" s="2903"/>
      <c r="H138" s="2902"/>
      <c r="I138" s="2903"/>
      <c r="J138" s="2902"/>
      <c r="K138" s="2902"/>
      <c r="L138" s="2903"/>
      <c r="M138" s="2902"/>
      <c r="N138" s="2902"/>
      <c r="O138" s="2903"/>
      <c r="P138" s="2902"/>
      <c r="Q138" s="2902"/>
      <c r="R138" s="2904"/>
    </row>
    <row r="139" s="2479" customFormat="1" spans="2:18">
      <c r="B139" s="2902"/>
      <c r="C139" s="2902"/>
      <c r="D139" s="2902"/>
      <c r="E139" s="2902"/>
      <c r="F139" s="2902"/>
      <c r="G139" s="2903"/>
      <c r="H139" s="2902"/>
      <c r="I139" s="2903"/>
      <c r="J139" s="2902"/>
      <c r="K139" s="2902"/>
      <c r="L139" s="2903"/>
      <c r="M139" s="2902"/>
      <c r="N139" s="2902"/>
      <c r="O139" s="2903"/>
      <c r="P139" s="2902"/>
      <c r="Q139" s="2902"/>
      <c r="R139" s="2904"/>
    </row>
    <row r="140" s="2479" customFormat="1" spans="2:18">
      <c r="B140" s="2902"/>
      <c r="C140" s="2902"/>
      <c r="D140" s="2902"/>
      <c r="E140" s="2902"/>
      <c r="F140" s="2902"/>
      <c r="G140" s="2903"/>
      <c r="H140" s="2902"/>
      <c r="I140" s="2903"/>
      <c r="J140" s="2902"/>
      <c r="K140" s="2902"/>
      <c r="L140" s="2903"/>
      <c r="M140" s="2902"/>
      <c r="N140" s="2902"/>
      <c r="O140" s="2903"/>
      <c r="P140" s="2902"/>
      <c r="Q140" s="2902"/>
      <c r="R140" s="2904"/>
    </row>
    <row r="141" s="2479" customFormat="1" spans="2:18">
      <c r="B141" s="2902"/>
      <c r="C141" s="2902"/>
      <c r="D141" s="2902"/>
      <c r="E141" s="2902"/>
      <c r="F141" s="2902"/>
      <c r="G141" s="2903"/>
      <c r="H141" s="2902"/>
      <c r="I141" s="2903"/>
      <c r="J141" s="2902"/>
      <c r="K141" s="2902"/>
      <c r="L141" s="2903"/>
      <c r="M141" s="2902"/>
      <c r="N141" s="2902"/>
      <c r="O141" s="2903"/>
      <c r="P141" s="2902"/>
      <c r="Q141" s="2902"/>
      <c r="R141" s="2904"/>
    </row>
    <row r="142" s="2479" customFormat="1" spans="2:18">
      <c r="B142" s="2902"/>
      <c r="C142" s="2902"/>
      <c r="D142" s="2902"/>
      <c r="E142" s="2902"/>
      <c r="F142" s="2902"/>
      <c r="G142" s="2903"/>
      <c r="H142" s="2902"/>
      <c r="I142" s="2903"/>
      <c r="J142" s="2902"/>
      <c r="K142" s="2902"/>
      <c r="L142" s="2903"/>
      <c r="M142" s="2902"/>
      <c r="N142" s="2902"/>
      <c r="O142" s="2903"/>
      <c r="P142" s="2902"/>
      <c r="Q142" s="2902"/>
      <c r="R142" s="2904"/>
    </row>
    <row r="143" s="2479" customFormat="1" spans="2:18">
      <c r="B143" s="2902"/>
      <c r="C143" s="2902"/>
      <c r="D143" s="2902"/>
      <c r="E143" s="2902"/>
      <c r="F143" s="2902"/>
      <c r="G143" s="2903"/>
      <c r="H143" s="2902"/>
      <c r="I143" s="2903"/>
      <c r="J143" s="2902"/>
      <c r="K143" s="2902"/>
      <c r="L143" s="2903"/>
      <c r="M143" s="2902"/>
      <c r="N143" s="2902"/>
      <c r="O143" s="2903"/>
      <c r="P143" s="2902"/>
      <c r="Q143" s="2902"/>
      <c r="R143" s="2904"/>
    </row>
    <row r="144" s="2479" customFormat="1" spans="2:18">
      <c r="B144" s="2902"/>
      <c r="C144" s="2902"/>
      <c r="D144" s="2902"/>
      <c r="E144" s="2902"/>
      <c r="F144" s="2902"/>
      <c r="G144" s="2903"/>
      <c r="H144" s="2902"/>
      <c r="I144" s="2903"/>
      <c r="J144" s="2902"/>
      <c r="K144" s="2902"/>
      <c r="L144" s="2903"/>
      <c r="M144" s="2902"/>
      <c r="N144" s="2902"/>
      <c r="O144" s="2903"/>
      <c r="P144" s="2902"/>
      <c r="Q144" s="2902"/>
      <c r="R144" s="2904"/>
    </row>
    <row r="145" s="2479" customFormat="1" spans="2:18">
      <c r="B145" s="2902"/>
      <c r="C145" s="2902"/>
      <c r="D145" s="2902"/>
      <c r="E145" s="2902"/>
      <c r="F145" s="2902"/>
      <c r="G145" s="2903"/>
      <c r="H145" s="2902"/>
      <c r="I145" s="2903"/>
      <c r="J145" s="2902"/>
      <c r="K145" s="2902"/>
      <c r="L145" s="2903"/>
      <c r="M145" s="2902"/>
      <c r="N145" s="2902"/>
      <c r="O145" s="2903"/>
      <c r="P145" s="2902"/>
      <c r="Q145" s="2902"/>
      <c r="R145" s="2904"/>
    </row>
    <row r="146" s="2479" customFormat="1" spans="2:18">
      <c r="B146" s="2902"/>
      <c r="C146" s="2902"/>
      <c r="D146" s="2902"/>
      <c r="E146" s="2902"/>
      <c r="F146" s="2902"/>
      <c r="G146" s="2903"/>
      <c r="H146" s="2902"/>
      <c r="I146" s="2903"/>
      <c r="J146" s="2902"/>
      <c r="K146" s="2902"/>
      <c r="L146" s="2903"/>
      <c r="M146" s="2902"/>
      <c r="N146" s="2902"/>
      <c r="O146" s="2903"/>
      <c r="P146" s="2902"/>
      <c r="Q146" s="2902"/>
      <c r="R146" s="2904"/>
    </row>
    <row r="147" s="2479" customFormat="1" spans="2:18">
      <c r="B147" s="2902"/>
      <c r="C147" s="2902"/>
      <c r="D147" s="2902"/>
      <c r="E147" s="2902"/>
      <c r="F147" s="2902"/>
      <c r="G147" s="2903"/>
      <c r="H147" s="2902"/>
      <c r="I147" s="2903"/>
      <c r="J147" s="2902"/>
      <c r="K147" s="2902"/>
      <c r="L147" s="2903"/>
      <c r="M147" s="2902"/>
      <c r="N147" s="2902"/>
      <c r="O147" s="2903"/>
      <c r="P147" s="2902"/>
      <c r="Q147" s="2902"/>
      <c r="R147" s="2904"/>
    </row>
    <row r="148" s="2479" customFormat="1" spans="2:18">
      <c r="B148" s="2902"/>
      <c r="C148" s="2902"/>
      <c r="D148" s="2902"/>
      <c r="E148" s="2902"/>
      <c r="F148" s="2902"/>
      <c r="G148" s="2903"/>
      <c r="H148" s="2902"/>
      <c r="I148" s="2903"/>
      <c r="J148" s="2902"/>
      <c r="K148" s="2902"/>
      <c r="L148" s="2903"/>
      <c r="M148" s="2902"/>
      <c r="N148" s="2902"/>
      <c r="O148" s="2903"/>
      <c r="P148" s="2902"/>
      <c r="Q148" s="2902"/>
      <c r="R148" s="2904"/>
    </row>
    <row r="149" s="2479" customFormat="1" spans="2:18">
      <c r="B149" s="2902"/>
      <c r="C149" s="2902"/>
      <c r="D149" s="2902"/>
      <c r="E149" s="2902"/>
      <c r="F149" s="2902"/>
      <c r="G149" s="2903"/>
      <c r="H149" s="2902"/>
      <c r="I149" s="2903"/>
      <c r="J149" s="2902"/>
      <c r="K149" s="2902"/>
      <c r="L149" s="2903"/>
      <c r="M149" s="2902"/>
      <c r="N149" s="2902"/>
      <c r="O149" s="2903"/>
      <c r="P149" s="2902"/>
      <c r="Q149" s="2902"/>
      <c r="R149" s="2904"/>
    </row>
    <row r="150" s="2479" customFormat="1" spans="2:18">
      <c r="B150" s="2902"/>
      <c r="C150" s="2902"/>
      <c r="D150" s="2902"/>
      <c r="E150" s="2902"/>
      <c r="F150" s="2902"/>
      <c r="G150" s="2903"/>
      <c r="H150" s="2902"/>
      <c r="I150" s="2903"/>
      <c r="J150" s="2902"/>
      <c r="K150" s="2902"/>
      <c r="L150" s="2903"/>
      <c r="M150" s="2902"/>
      <c r="N150" s="2902"/>
      <c r="O150" s="2903"/>
      <c r="P150" s="2902"/>
      <c r="Q150" s="2902"/>
      <c r="R150" s="2904"/>
    </row>
    <row r="151" s="2479" customFormat="1" spans="2:18">
      <c r="B151" s="2902"/>
      <c r="C151" s="2902"/>
      <c r="D151" s="2902"/>
      <c r="E151" s="2902"/>
      <c r="F151" s="2902"/>
      <c r="G151" s="2903"/>
      <c r="H151" s="2902"/>
      <c r="I151" s="2903"/>
      <c r="J151" s="2902"/>
      <c r="K151" s="2902"/>
      <c r="L151" s="2903"/>
      <c r="M151" s="2902"/>
      <c r="N151" s="2902"/>
      <c r="O151" s="2903"/>
      <c r="P151" s="2902"/>
      <c r="Q151" s="2902"/>
      <c r="R151" s="2904"/>
    </row>
    <row r="152" s="2479" customFormat="1" spans="2:18">
      <c r="B152" s="2902"/>
      <c r="C152" s="2902"/>
      <c r="D152" s="2902"/>
      <c r="E152" s="2902"/>
      <c r="F152" s="2902"/>
      <c r="G152" s="2903"/>
      <c r="H152" s="2902"/>
      <c r="I152" s="2903"/>
      <c r="J152" s="2902"/>
      <c r="K152" s="2902"/>
      <c r="L152" s="2903"/>
      <c r="M152" s="2902"/>
      <c r="N152" s="2902"/>
      <c r="O152" s="2903"/>
      <c r="P152" s="2902"/>
      <c r="Q152" s="2902"/>
      <c r="R152" s="2904"/>
    </row>
    <row r="153" s="2479" customFormat="1" spans="2:18">
      <c r="B153" s="2902"/>
      <c r="C153" s="2902"/>
      <c r="D153" s="2902"/>
      <c r="E153" s="2902"/>
      <c r="F153" s="2902"/>
      <c r="G153" s="2903"/>
      <c r="H153" s="2902"/>
      <c r="I153" s="2903"/>
      <c r="J153" s="2902"/>
      <c r="K153" s="2902"/>
      <c r="L153" s="2903"/>
      <c r="M153" s="2902"/>
      <c r="N153" s="2902"/>
      <c r="O153" s="2903"/>
      <c r="P153" s="2902"/>
      <c r="Q153" s="2902"/>
      <c r="R153" s="2904"/>
    </row>
    <row r="154" s="2479" customFormat="1" spans="2:18">
      <c r="B154" s="2902"/>
      <c r="C154" s="2902"/>
      <c r="D154" s="2902"/>
      <c r="E154" s="2902"/>
      <c r="F154" s="2902"/>
      <c r="G154" s="2903"/>
      <c r="H154" s="2902"/>
      <c r="I154" s="2903"/>
      <c r="J154" s="2902"/>
      <c r="K154" s="2902"/>
      <c r="L154" s="2903"/>
      <c r="M154" s="2902"/>
      <c r="N154" s="2902"/>
      <c r="O154" s="2903"/>
      <c r="P154" s="2902"/>
      <c r="Q154" s="2902"/>
      <c r="R154" s="2904"/>
    </row>
    <row r="155" s="2479" customFormat="1" spans="2:18">
      <c r="B155" s="2902"/>
      <c r="C155" s="2902"/>
      <c r="D155" s="2902"/>
      <c r="E155" s="2902"/>
      <c r="F155" s="2902"/>
      <c r="G155" s="2903"/>
      <c r="H155" s="2902"/>
      <c r="I155" s="2903"/>
      <c r="J155" s="2902"/>
      <c r="K155" s="2902"/>
      <c r="L155" s="2903"/>
      <c r="M155" s="2902"/>
      <c r="N155" s="2902"/>
      <c r="O155" s="2903"/>
      <c r="P155" s="2902"/>
      <c r="Q155" s="2902"/>
      <c r="R155" s="2904"/>
    </row>
    <row r="156" s="2479" customFormat="1" spans="2:18">
      <c r="B156" s="2902"/>
      <c r="C156" s="2902"/>
      <c r="D156" s="2902"/>
      <c r="E156" s="2902"/>
      <c r="F156" s="2902"/>
      <c r="G156" s="2903"/>
      <c r="H156" s="2902"/>
      <c r="I156" s="2903"/>
      <c r="J156" s="2902"/>
      <c r="K156" s="2902"/>
      <c r="L156" s="2903"/>
      <c r="M156" s="2902"/>
      <c r="N156" s="2902"/>
      <c r="O156" s="2903"/>
      <c r="P156" s="2902"/>
      <c r="Q156" s="2902"/>
      <c r="R156" s="2904"/>
    </row>
    <row r="157" s="2479" customFormat="1" spans="2:18">
      <c r="B157" s="2902"/>
      <c r="C157" s="2902"/>
      <c r="D157" s="2902"/>
      <c r="E157" s="2902"/>
      <c r="F157" s="2902"/>
      <c r="G157" s="2903"/>
      <c r="H157" s="2902"/>
      <c r="I157" s="2903"/>
      <c r="J157" s="2902"/>
      <c r="K157" s="2902"/>
      <c r="L157" s="2903"/>
      <c r="M157" s="2902"/>
      <c r="N157" s="2902"/>
      <c r="O157" s="2903"/>
      <c r="P157" s="2902"/>
      <c r="Q157" s="2902"/>
      <c r="R157" s="2904"/>
    </row>
    <row r="158" s="2479" customFormat="1" spans="2:18">
      <c r="B158" s="2902"/>
      <c r="C158" s="2902"/>
      <c r="D158" s="2902"/>
      <c r="E158" s="2902"/>
      <c r="F158" s="2902"/>
      <c r="G158" s="2903"/>
      <c r="H158" s="2902"/>
      <c r="I158" s="2903"/>
      <c r="J158" s="2902"/>
      <c r="K158" s="2902"/>
      <c r="L158" s="2903"/>
      <c r="M158" s="2902"/>
      <c r="N158" s="2902"/>
      <c r="O158" s="2903"/>
      <c r="P158" s="2902"/>
      <c r="Q158" s="2902"/>
      <c r="R158" s="2904"/>
    </row>
    <row r="159" s="2479" customFormat="1" spans="2:18">
      <c r="B159" s="2902"/>
      <c r="C159" s="2902"/>
      <c r="D159" s="2902"/>
      <c r="E159" s="2902"/>
      <c r="F159" s="2902"/>
      <c r="G159" s="2903"/>
      <c r="H159" s="2902"/>
      <c r="I159" s="2903"/>
      <c r="J159" s="2902"/>
      <c r="K159" s="2902"/>
      <c r="L159" s="2903"/>
      <c r="M159" s="2902"/>
      <c r="N159" s="2902"/>
      <c r="O159" s="2903"/>
      <c r="P159" s="2902"/>
      <c r="Q159" s="2902"/>
      <c r="R159" s="2904"/>
    </row>
    <row r="160" s="2479" customFormat="1" spans="2:18">
      <c r="B160" s="2902"/>
      <c r="C160" s="2902"/>
      <c r="D160" s="2902"/>
      <c r="E160" s="2902"/>
      <c r="F160" s="2902"/>
      <c r="G160" s="2903"/>
      <c r="H160" s="2902"/>
      <c r="I160" s="2903"/>
      <c r="J160" s="2902"/>
      <c r="K160" s="2902"/>
      <c r="L160" s="2903"/>
      <c r="M160" s="2902"/>
      <c r="N160" s="2902"/>
      <c r="O160" s="2903"/>
      <c r="P160" s="2902"/>
      <c r="Q160" s="2902"/>
      <c r="R160" s="2904"/>
    </row>
    <row r="161" s="2479" customFormat="1" spans="2:18">
      <c r="B161" s="2902"/>
      <c r="C161" s="2902"/>
      <c r="D161" s="2902"/>
      <c r="E161" s="2902"/>
      <c r="F161" s="2902"/>
      <c r="G161" s="2903"/>
      <c r="H161" s="2902"/>
      <c r="I161" s="2903"/>
      <c r="J161" s="2902"/>
      <c r="K161" s="2902"/>
      <c r="L161" s="2903"/>
      <c r="M161" s="2902"/>
      <c r="N161" s="2902"/>
      <c r="O161" s="2903"/>
      <c r="P161" s="2902"/>
      <c r="Q161" s="2902"/>
      <c r="R161" s="2904"/>
    </row>
    <row r="162" s="2479" customFormat="1" spans="2:18">
      <c r="B162" s="2902"/>
      <c r="C162" s="2902"/>
      <c r="D162" s="2902"/>
      <c r="E162" s="2902"/>
      <c r="F162" s="2902"/>
      <c r="G162" s="2903"/>
      <c r="H162" s="2902"/>
      <c r="I162" s="2903"/>
      <c r="J162" s="2902"/>
      <c r="K162" s="2902"/>
      <c r="L162" s="2903"/>
      <c r="M162" s="2902"/>
      <c r="N162" s="2902"/>
      <c r="O162" s="2903"/>
      <c r="P162" s="2902"/>
      <c r="Q162" s="2902"/>
      <c r="R162" s="2904"/>
    </row>
    <row r="163" s="2479" customFormat="1" spans="2:18">
      <c r="B163" s="2902"/>
      <c r="C163" s="2902"/>
      <c r="D163" s="2902"/>
      <c r="E163" s="2902"/>
      <c r="F163" s="2902"/>
      <c r="G163" s="2903"/>
      <c r="H163" s="2902"/>
      <c r="I163" s="2903"/>
      <c r="J163" s="2902"/>
      <c r="K163" s="2902"/>
      <c r="L163" s="2903"/>
      <c r="M163" s="2902"/>
      <c r="N163" s="2902"/>
      <c r="O163" s="2903"/>
      <c r="P163" s="2902"/>
      <c r="Q163" s="2902"/>
      <c r="R163" s="2904"/>
    </row>
    <row r="164" s="2479" customFormat="1" spans="2:18">
      <c r="B164" s="2902"/>
      <c r="C164" s="2902"/>
      <c r="D164" s="2902"/>
      <c r="E164" s="2902"/>
      <c r="F164" s="2902"/>
      <c r="G164" s="2903"/>
      <c r="H164" s="2902"/>
      <c r="I164" s="2903"/>
      <c r="J164" s="2902"/>
      <c r="K164" s="2902"/>
      <c r="L164" s="2903"/>
      <c r="M164" s="2902"/>
      <c r="N164" s="2902"/>
      <c r="O164" s="2903"/>
      <c r="P164" s="2902"/>
      <c r="Q164" s="2902"/>
      <c r="R164" s="2904"/>
    </row>
    <row r="165" s="2479" customFormat="1" spans="2:18">
      <c r="B165" s="2902"/>
      <c r="C165" s="2902"/>
      <c r="D165" s="2902"/>
      <c r="E165" s="2902"/>
      <c r="F165" s="2902"/>
      <c r="G165" s="2903"/>
      <c r="H165" s="2902"/>
      <c r="I165" s="2903"/>
      <c r="J165" s="2902"/>
      <c r="K165" s="2902"/>
      <c r="L165" s="2903"/>
      <c r="M165" s="2902"/>
      <c r="N165" s="2902"/>
      <c r="O165" s="2903"/>
      <c r="P165" s="2902"/>
      <c r="Q165" s="2902"/>
      <c r="R165" s="2904"/>
    </row>
    <row r="166" s="2479" customFormat="1" spans="2:18">
      <c r="B166" s="2902"/>
      <c r="C166" s="2902"/>
      <c r="D166" s="2902"/>
      <c r="E166" s="2902"/>
      <c r="F166" s="2902"/>
      <c r="G166" s="2903"/>
      <c r="H166" s="2902"/>
      <c r="I166" s="2903"/>
      <c r="J166" s="2902"/>
      <c r="K166" s="2902"/>
      <c r="L166" s="2903"/>
      <c r="M166" s="2902"/>
      <c r="N166" s="2902"/>
      <c r="O166" s="2903"/>
      <c r="P166" s="2902"/>
      <c r="Q166" s="2902"/>
      <c r="R166" s="2904"/>
    </row>
    <row r="167" s="2479" customFormat="1" spans="2:18">
      <c r="B167" s="2902"/>
      <c r="C167" s="2902"/>
      <c r="D167" s="2902"/>
      <c r="E167" s="2902"/>
      <c r="F167" s="2902"/>
      <c r="G167" s="2903"/>
      <c r="H167" s="2902"/>
      <c r="I167" s="2903"/>
      <c r="J167" s="2902"/>
      <c r="K167" s="2902"/>
      <c r="L167" s="2903"/>
      <c r="M167" s="2902"/>
      <c r="N167" s="2902"/>
      <c r="O167" s="2903"/>
      <c r="P167" s="2902"/>
      <c r="Q167" s="2902"/>
      <c r="R167" s="2904"/>
    </row>
    <row r="168" s="2479" customFormat="1" spans="2:18">
      <c r="B168" s="2902"/>
      <c r="C168" s="2902"/>
      <c r="D168" s="2902"/>
      <c r="E168" s="2902"/>
      <c r="F168" s="2902"/>
      <c r="G168" s="2903"/>
      <c r="H168" s="2902"/>
      <c r="I168" s="2903"/>
      <c r="J168" s="2902"/>
      <c r="K168" s="2902"/>
      <c r="L168" s="2903"/>
      <c r="M168" s="2902"/>
      <c r="N168" s="2902"/>
      <c r="O168" s="2903"/>
      <c r="P168" s="2902"/>
      <c r="Q168" s="2902"/>
      <c r="R168" s="2904"/>
    </row>
    <row r="169" s="2479" customFormat="1" spans="2:18">
      <c r="B169" s="2902"/>
      <c r="C169" s="2902"/>
      <c r="D169" s="2902"/>
      <c r="E169" s="2902"/>
      <c r="F169" s="2902"/>
      <c r="G169" s="2903"/>
      <c r="H169" s="2902"/>
      <c r="I169" s="2903"/>
      <c r="J169" s="2902"/>
      <c r="K169" s="2902"/>
      <c r="L169" s="2903"/>
      <c r="M169" s="2902"/>
      <c r="N169" s="2902"/>
      <c r="O169" s="2903"/>
      <c r="P169" s="2902"/>
      <c r="Q169" s="2902"/>
      <c r="R169" s="2904"/>
    </row>
    <row r="170" s="2479" customFormat="1" spans="2:18">
      <c r="B170" s="2902"/>
      <c r="C170" s="2902"/>
      <c r="D170" s="2902"/>
      <c r="E170" s="2902"/>
      <c r="F170" s="2902"/>
      <c r="G170" s="2903"/>
      <c r="H170" s="2902"/>
      <c r="I170" s="2903"/>
      <c r="J170" s="2902"/>
      <c r="K170" s="2902"/>
      <c r="L170" s="2903"/>
      <c r="M170" s="2902"/>
      <c r="N170" s="2902"/>
      <c r="O170" s="2903"/>
      <c r="P170" s="2902"/>
      <c r="Q170" s="2902"/>
      <c r="R170" s="2904"/>
    </row>
    <row r="171" s="2479" customFormat="1" spans="2:18">
      <c r="B171" s="2902"/>
      <c r="C171" s="2902"/>
      <c r="D171" s="2902"/>
      <c r="E171" s="2902"/>
      <c r="F171" s="2902"/>
      <c r="G171" s="2903"/>
      <c r="H171" s="2902"/>
      <c r="I171" s="2903"/>
      <c r="J171" s="2902"/>
      <c r="K171" s="2902"/>
      <c r="L171" s="2903"/>
      <c r="M171" s="2902"/>
      <c r="N171" s="2902"/>
      <c r="O171" s="2903"/>
      <c r="P171" s="2902"/>
      <c r="Q171" s="2902"/>
      <c r="R171" s="2904"/>
    </row>
    <row r="172" s="2479" customFormat="1" spans="2:18">
      <c r="B172" s="2902"/>
      <c r="C172" s="2902"/>
      <c r="D172" s="2902"/>
      <c r="E172" s="2902"/>
      <c r="F172" s="2902"/>
      <c r="G172" s="2903"/>
      <c r="H172" s="2902"/>
      <c r="I172" s="2903"/>
      <c r="J172" s="2902"/>
      <c r="K172" s="2902"/>
      <c r="L172" s="2903"/>
      <c r="M172" s="2902"/>
      <c r="N172" s="2902"/>
      <c r="O172" s="2903"/>
      <c r="P172" s="2902"/>
      <c r="Q172" s="2902"/>
      <c r="R172" s="2904"/>
    </row>
    <row r="173" s="2479" customFormat="1" spans="2:18">
      <c r="B173" s="2902"/>
      <c r="C173" s="2902"/>
      <c r="D173" s="2902"/>
      <c r="E173" s="2902"/>
      <c r="F173" s="2902"/>
      <c r="G173" s="2903"/>
      <c r="H173" s="2902"/>
      <c r="I173" s="2903"/>
      <c r="J173" s="2902"/>
      <c r="K173" s="2902"/>
      <c r="L173" s="2903"/>
      <c r="M173" s="2902"/>
      <c r="N173" s="2902"/>
      <c r="O173" s="2903"/>
      <c r="P173" s="2902"/>
      <c r="Q173" s="2902"/>
      <c r="R173" s="2904"/>
    </row>
    <row r="174" s="2479" customFormat="1" spans="2:18">
      <c r="B174" s="2902"/>
      <c r="C174" s="2902"/>
      <c r="D174" s="2902"/>
      <c r="E174" s="2902"/>
      <c r="F174" s="2902"/>
      <c r="G174" s="2903"/>
      <c r="H174" s="2902"/>
      <c r="I174" s="2903"/>
      <c r="J174" s="2902"/>
      <c r="K174" s="2902"/>
      <c r="L174" s="2903"/>
      <c r="M174" s="2902"/>
      <c r="N174" s="2902"/>
      <c r="O174" s="2903"/>
      <c r="P174" s="2902"/>
      <c r="Q174" s="2902"/>
      <c r="R174" s="2904"/>
    </row>
    <row r="175" s="2479" customFormat="1" spans="2:18">
      <c r="B175" s="2902"/>
      <c r="C175" s="2902"/>
      <c r="D175" s="2902"/>
      <c r="E175" s="2902"/>
      <c r="F175" s="2902"/>
      <c r="G175" s="2903"/>
      <c r="H175" s="2902"/>
      <c r="I175" s="2903"/>
      <c r="J175" s="2902"/>
      <c r="K175" s="2902"/>
      <c r="L175" s="2903"/>
      <c r="M175" s="2902"/>
      <c r="N175" s="2902"/>
      <c r="O175" s="2903"/>
      <c r="P175" s="2902"/>
      <c r="Q175" s="2902"/>
      <c r="R175" s="2904"/>
    </row>
    <row r="176" s="2479" customFormat="1" spans="2:18">
      <c r="B176" s="2902"/>
      <c r="C176" s="2902"/>
      <c r="D176" s="2902"/>
      <c r="E176" s="2902"/>
      <c r="F176" s="2902"/>
      <c r="G176" s="2903"/>
      <c r="H176" s="2902"/>
      <c r="I176" s="2903"/>
      <c r="J176" s="2902"/>
      <c r="K176" s="2902"/>
      <c r="L176" s="2903"/>
      <c r="M176" s="2902"/>
      <c r="N176" s="2902"/>
      <c r="O176" s="2903"/>
      <c r="P176" s="2902"/>
      <c r="Q176" s="2902"/>
      <c r="R176" s="2904"/>
    </row>
    <row r="177" s="2479" customFormat="1" spans="2:18">
      <c r="B177" s="2902"/>
      <c r="C177" s="2902"/>
      <c r="D177" s="2902"/>
      <c r="E177" s="2902"/>
      <c r="F177" s="2902"/>
      <c r="G177" s="2903"/>
      <c r="H177" s="2902"/>
      <c r="I177" s="2903"/>
      <c r="J177" s="2902"/>
      <c r="K177" s="2902"/>
      <c r="L177" s="2903"/>
      <c r="M177" s="2902"/>
      <c r="N177" s="2902"/>
      <c r="O177" s="2903"/>
      <c r="P177" s="2902"/>
      <c r="Q177" s="2902"/>
      <c r="R177" s="2904"/>
    </row>
    <row r="178" s="2479" customFormat="1" spans="2:18">
      <c r="B178" s="2902"/>
      <c r="C178" s="2902"/>
      <c r="D178" s="2902"/>
      <c r="E178" s="2902"/>
      <c r="F178" s="2902"/>
      <c r="G178" s="2903"/>
      <c r="H178" s="2902"/>
      <c r="I178" s="2903"/>
      <c r="J178" s="2902"/>
      <c r="K178" s="2902"/>
      <c r="L178" s="2903"/>
      <c r="M178" s="2902"/>
      <c r="N178" s="2902"/>
      <c r="O178" s="2903"/>
      <c r="P178" s="2902"/>
      <c r="Q178" s="2902"/>
      <c r="R178" s="2904"/>
    </row>
    <row r="179" s="2479" customFormat="1" spans="2:18">
      <c r="B179" s="2902"/>
      <c r="C179" s="2902"/>
      <c r="D179" s="2902"/>
      <c r="E179" s="2902"/>
      <c r="F179" s="2902"/>
      <c r="G179" s="2903"/>
      <c r="H179" s="2902"/>
      <c r="I179" s="2903"/>
      <c r="J179" s="2902"/>
      <c r="K179" s="2902"/>
      <c r="L179" s="2903"/>
      <c r="M179" s="2902"/>
      <c r="N179" s="2902"/>
      <c r="O179" s="2903"/>
      <c r="P179" s="2902"/>
      <c r="Q179" s="2902"/>
      <c r="R179" s="2904"/>
    </row>
    <row r="180" s="2479" customFormat="1" spans="2:18">
      <c r="B180" s="2902"/>
      <c r="C180" s="2902"/>
      <c r="D180" s="2902"/>
      <c r="E180" s="2902"/>
      <c r="F180" s="2902"/>
      <c r="G180" s="2903"/>
      <c r="H180" s="2902"/>
      <c r="I180" s="2903"/>
      <c r="J180" s="2902"/>
      <c r="K180" s="2902"/>
      <c r="L180" s="2903"/>
      <c r="M180" s="2902"/>
      <c r="N180" s="2902"/>
      <c r="O180" s="2903"/>
      <c r="P180" s="2902"/>
      <c r="Q180" s="2902"/>
      <c r="R180" s="2904"/>
    </row>
    <row r="181" s="2479" customFormat="1" spans="2:18">
      <c r="B181" s="2902"/>
      <c r="C181" s="2902"/>
      <c r="D181" s="2902"/>
      <c r="E181" s="2902"/>
      <c r="F181" s="2902"/>
      <c r="G181" s="2903"/>
      <c r="H181" s="2902"/>
      <c r="I181" s="2903"/>
      <c r="J181" s="2902"/>
      <c r="K181" s="2902"/>
      <c r="L181" s="2903"/>
      <c r="M181" s="2902"/>
      <c r="N181" s="2902"/>
      <c r="O181" s="2903"/>
      <c r="P181" s="2902"/>
      <c r="Q181" s="2902"/>
      <c r="R181" s="2904"/>
    </row>
    <row r="182" s="2479" customFormat="1" spans="2:18">
      <c r="B182" s="2902"/>
      <c r="C182" s="2902"/>
      <c r="D182" s="2902"/>
      <c r="E182" s="2902"/>
      <c r="F182" s="2902"/>
      <c r="G182" s="2903"/>
      <c r="H182" s="2902"/>
      <c r="I182" s="2903"/>
      <c r="J182" s="2902"/>
      <c r="K182" s="2902"/>
      <c r="L182" s="2903"/>
      <c r="M182" s="2902"/>
      <c r="N182" s="2902"/>
      <c r="O182" s="2903"/>
      <c r="P182" s="2902"/>
      <c r="Q182" s="2902"/>
      <c r="R182" s="2904"/>
    </row>
    <row r="183" s="2479" customFormat="1" spans="2:18">
      <c r="B183" s="2902"/>
      <c r="C183" s="2902"/>
      <c r="D183" s="2902"/>
      <c r="E183" s="2902"/>
      <c r="F183" s="2902"/>
      <c r="G183" s="2903"/>
      <c r="H183" s="2902"/>
      <c r="I183" s="2903"/>
      <c r="J183" s="2902"/>
      <c r="K183" s="2902"/>
      <c r="L183" s="2903"/>
      <c r="M183" s="2902"/>
      <c r="N183" s="2902"/>
      <c r="O183" s="2903"/>
      <c r="P183" s="2902"/>
      <c r="Q183" s="2902"/>
      <c r="R183" s="2904"/>
    </row>
    <row r="184" s="2479" customFormat="1" spans="2:18">
      <c r="B184" s="2902"/>
      <c r="C184" s="2902"/>
      <c r="D184" s="2902"/>
      <c r="E184" s="2902"/>
      <c r="F184" s="2902"/>
      <c r="G184" s="2903"/>
      <c r="H184" s="2902"/>
      <c r="I184" s="2903"/>
      <c r="J184" s="2902"/>
      <c r="K184" s="2902"/>
      <c r="L184" s="2903"/>
      <c r="M184" s="2902"/>
      <c r="N184" s="2902"/>
      <c r="O184" s="2903"/>
      <c r="P184" s="2902"/>
      <c r="Q184" s="2902"/>
      <c r="R184" s="2904"/>
    </row>
    <row r="185" s="2479"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79"/>
      <c r="B186" s="2902"/>
      <c r="C186" s="2902"/>
      <c r="E186" s="2902"/>
      <c r="F186" s="2902"/>
      <c r="G186" s="2903"/>
    </row>
    <row r="187" spans="1:7">
      <c r="A187" s="2479"/>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D32" sqref="D32"/>
    </sheetView>
  </sheetViews>
  <sheetFormatPr defaultColWidth="9" defaultRowHeight="14.4"/>
  <cols>
    <col min="1" max="1" width="25" style="2879" customWidth="1"/>
    <col min="2" max="9" width="15.7777777777778" style="2879" customWidth="1"/>
    <col min="10" max="16384" width="9" style="2879"/>
  </cols>
  <sheetData>
    <row r="1" ht="16.2" spans="1:11">
      <c r="A1" s="2880" t="s">
        <v>739</v>
      </c>
      <c r="B1" s="2880">
        <f>SUM(B14:B23)</f>
        <v>444.98</v>
      </c>
      <c r="C1" s="2881"/>
      <c r="D1" s="2881"/>
      <c r="E1" s="2881"/>
      <c r="F1" s="2881"/>
      <c r="G1" s="2882"/>
      <c r="H1" s="2883"/>
      <c r="I1" s="2883"/>
      <c r="J1" s="2883"/>
      <c r="K1" s="2883"/>
    </row>
    <row r="2" ht="16.2" spans="1:11">
      <c r="A2" s="2880" t="s">
        <v>740</v>
      </c>
      <c r="B2" s="2880">
        <f>SUM(C14:C23)</f>
        <v>0</v>
      </c>
      <c r="C2" s="2881"/>
      <c r="D2" s="2881"/>
      <c r="E2" s="2881"/>
      <c r="F2" s="2881"/>
      <c r="G2" s="2882"/>
      <c r="H2" s="2883"/>
      <c r="I2" s="2883"/>
      <c r="J2" s="2883"/>
      <c r="K2" s="2883"/>
    </row>
    <row r="3" ht="15.6" spans="1:11">
      <c r="A3" s="2880" t="s">
        <v>741</v>
      </c>
      <c r="B3" s="2884">
        <f>项目基本情况!D3</f>
        <v>45042</v>
      </c>
      <c r="C3" s="2881"/>
      <c r="D3" s="2881"/>
      <c r="E3" s="2881"/>
      <c r="F3" s="2881"/>
      <c r="G3" s="2882"/>
      <c r="H3" s="2883"/>
      <c r="I3" s="2883"/>
      <c r="J3" s="2883"/>
      <c r="K3" s="2883"/>
    </row>
    <row r="4" ht="31.2" spans="1:11">
      <c r="A4" s="2880" t="s">
        <v>742</v>
      </c>
      <c r="B4" s="2880" t="s">
        <v>743</v>
      </c>
      <c r="C4" s="2880" t="s">
        <v>744</v>
      </c>
      <c r="D4" s="2880" t="s">
        <v>745</v>
      </c>
      <c r="E4" s="2881"/>
      <c r="F4" s="2882"/>
      <c r="G4" s="2882"/>
      <c r="H4" s="2883"/>
      <c r="I4" s="2883"/>
      <c r="J4" s="2883"/>
      <c r="K4" s="2883"/>
    </row>
    <row r="5" ht="15.6" spans="1:11">
      <c r="A5" s="2880" t="s">
        <v>746</v>
      </c>
      <c r="B5" s="2880">
        <f ca="1">SUM(D14:D23)</f>
        <v>1416.3268</v>
      </c>
      <c r="C5" s="2880">
        <f ca="1">IF(B5=D14,结果表!H102,ROUND(B5*10000/$B$1,0))</f>
        <v>31829</v>
      </c>
      <c r="D5" s="2880" t="e">
        <f ca="1">ROUND(B5*10000/$B$2,0)</f>
        <v>#DIV/0!</v>
      </c>
      <c r="E5" s="2881"/>
      <c r="F5" s="2882"/>
      <c r="G5" s="2882"/>
      <c r="H5" s="2883"/>
      <c r="I5" s="2883"/>
      <c r="J5" s="2883"/>
      <c r="K5" s="2883"/>
    </row>
    <row r="6" ht="15.6" spans="1:11">
      <c r="A6" s="2880" t="s">
        <v>747</v>
      </c>
      <c r="B6" s="2880">
        <f ca="1">SUM(G14:G23)</f>
        <v>1416.3268</v>
      </c>
      <c r="C6" s="2880">
        <f ca="1">IF(B6=G14,结果表!H108,ROUND(B6*10000/$B$1,0))</f>
        <v>31829</v>
      </c>
      <c r="D6" s="2880" t="e">
        <f ca="1">ROUND(B6*10000/$B$2,0)</f>
        <v>#DIV/0!</v>
      </c>
      <c r="E6" s="2881"/>
      <c r="F6" s="2882"/>
      <c r="G6" s="2882"/>
      <c r="H6" s="2883"/>
      <c r="I6" s="2883"/>
      <c r="J6" s="2883"/>
      <c r="K6" s="2883"/>
    </row>
    <row r="7" ht="15.6" spans="1:11">
      <c r="A7" s="2880" t="s">
        <v>748</v>
      </c>
      <c r="B7" s="2880">
        <f>SUM(H14:H23)</f>
        <v>0</v>
      </c>
      <c r="C7" s="2880" t="str">
        <f ca="1">IF(B7=H14,结果表!H110,ROUND(B7*10000/$B$1,0))</f>
        <v>——</v>
      </c>
      <c r="D7" s="2880" t="e">
        <f>ROUND(B7*10000/$B$2,0)</f>
        <v>#DIV/0!</v>
      </c>
      <c r="E7" s="2881"/>
      <c r="F7" s="2882"/>
      <c r="G7" s="2882"/>
      <c r="H7" s="2883"/>
      <c r="I7" s="2883"/>
      <c r="J7" s="2883"/>
      <c r="K7" s="2883"/>
    </row>
    <row r="8" ht="15.6" spans="1:11">
      <c r="A8" s="2880" t="s">
        <v>336</v>
      </c>
      <c r="B8" s="2880">
        <f ca="1">SUM(I14:I23)</f>
        <v>1269.442</v>
      </c>
      <c r="C8" s="2880">
        <f ca="1">IF(B8=I14,结果表!H112,ROUND(B8*10000/$B$1,0))</f>
        <v>28024</v>
      </c>
      <c r="D8" s="2880" t="e">
        <f ca="1">ROUND(B8*10000/$B$2,0)</f>
        <v>#DIV/0!</v>
      </c>
      <c r="E8" s="2881"/>
      <c r="F8" s="2882"/>
      <c r="G8" s="2882"/>
      <c r="H8" s="2883"/>
      <c r="I8" s="2883"/>
      <c r="J8" s="2883"/>
      <c r="K8" s="2883"/>
    </row>
    <row r="9" ht="15.6" spans="1:11">
      <c r="A9" s="2880" t="s">
        <v>749</v>
      </c>
      <c r="B9" s="2885"/>
      <c r="C9" s="2881"/>
      <c r="D9" s="2881"/>
      <c r="E9" s="2881"/>
      <c r="F9" s="2882"/>
      <c r="G9" s="2882"/>
      <c r="H9" s="2883"/>
      <c r="I9" s="2883"/>
      <c r="J9" s="2883"/>
      <c r="K9" s="2883"/>
    </row>
    <row r="10" ht="15.6" spans="1:11">
      <c r="A10" s="2880" t="s">
        <v>750</v>
      </c>
      <c r="B10" s="2880">
        <f>IF(E10="",0,ROUND(B1*(E10*365/G10)/10000,0))</f>
        <v>0</v>
      </c>
      <c r="C10" s="2880" t="s">
        <v>751</v>
      </c>
      <c r="D10" s="2880" t="s">
        <v>750</v>
      </c>
      <c r="E10" s="2886"/>
      <c r="F10" s="2887" t="s">
        <v>752</v>
      </c>
      <c r="G10" s="2888"/>
      <c r="H10" s="2883"/>
      <c r="I10" s="2883"/>
      <c r="J10" s="2883"/>
      <c r="K10" s="2883"/>
    </row>
    <row r="11" ht="15.6" spans="1:11">
      <c r="A11" s="2880" t="s">
        <v>753</v>
      </c>
      <c r="B11" s="2885"/>
      <c r="C11" s="2881"/>
      <c r="D11" s="2881"/>
      <c r="E11" s="2881"/>
      <c r="F11" s="2882"/>
      <c r="G11" s="2882"/>
      <c r="H11" s="2883"/>
      <c r="I11" s="2883"/>
      <c r="J11" s="2883"/>
      <c r="K11" s="2883"/>
    </row>
    <row r="12" ht="15.6" spans="1:11">
      <c r="A12" s="2881"/>
      <c r="B12" s="2881"/>
      <c r="C12" s="2881"/>
      <c r="D12" s="2881"/>
      <c r="E12" s="2881"/>
      <c r="F12" s="2882"/>
      <c r="G12" s="2882"/>
      <c r="H12" s="2883"/>
      <c r="I12" s="2883"/>
      <c r="J12" s="2883"/>
      <c r="K12" s="2883"/>
    </row>
    <row r="13" ht="31.8" spans="1:11">
      <c r="A13" s="2889" t="s">
        <v>754</v>
      </c>
      <c r="B13" s="2890" t="s">
        <v>739</v>
      </c>
      <c r="C13" s="2890" t="s">
        <v>740</v>
      </c>
      <c r="D13" s="2890" t="s">
        <v>755</v>
      </c>
      <c r="E13" s="2880" t="s">
        <v>744</v>
      </c>
      <c r="F13" s="2880" t="s">
        <v>745</v>
      </c>
      <c r="G13" s="2890" t="s">
        <v>756</v>
      </c>
      <c r="H13" s="2890" t="s">
        <v>757</v>
      </c>
      <c r="I13" s="2890" t="s">
        <v>758</v>
      </c>
      <c r="J13" s="2882"/>
      <c r="K13" s="2883"/>
    </row>
    <row r="14" ht="15.6" spans="1:11">
      <c r="A14" s="2891" t="s">
        <v>759</v>
      </c>
      <c r="B14" s="2892">
        <f>结果表!B118</f>
        <v>444.98</v>
      </c>
      <c r="C14" s="2892"/>
      <c r="D14" s="2892">
        <f ca="1">ROUND(结果表!C105*结果表!B118/10000,4)</f>
        <v>1416.3268</v>
      </c>
      <c r="E14" s="2892">
        <f ca="1">ROUND(D14*10000/B14,0)</f>
        <v>31829</v>
      </c>
      <c r="F14" s="2892" t="e">
        <f ca="1">ROUND(D14*10000/C14,0)</f>
        <v>#DIV/0!</v>
      </c>
      <c r="G14" s="2892">
        <f ca="1">D14</f>
        <v>1416.3268</v>
      </c>
      <c r="H14" s="2892"/>
      <c r="I14" s="2892">
        <f ca="1">净值!H38/10000</f>
        <v>1269.442</v>
      </c>
      <c r="J14" s="2882"/>
      <c r="K14" s="2883"/>
    </row>
    <row r="15" ht="15.6" spans="1:11">
      <c r="A15" s="2891" t="s">
        <v>760</v>
      </c>
      <c r="B15" s="2893"/>
      <c r="C15" s="2893"/>
      <c r="D15" s="2893"/>
      <c r="E15" s="2892" t="e">
        <f t="shared" ref="E15:E23" si="0">ROUND(D15*10000/B15,0)</f>
        <v>#DIV/0!</v>
      </c>
      <c r="F15" s="2892" t="e">
        <f t="shared" ref="F15:F23" si="1">ROUND(D15*10000/C15,0)</f>
        <v>#DIV/0!</v>
      </c>
      <c r="G15" s="2894"/>
      <c r="H15" s="2894"/>
      <c r="I15" s="2893"/>
      <c r="J15" s="2882"/>
      <c r="K15" s="2883"/>
    </row>
    <row r="16" ht="15.6" spans="1:11">
      <c r="A16" s="2891" t="s">
        <v>761</v>
      </c>
      <c r="B16" s="2893"/>
      <c r="C16" s="2893"/>
      <c r="D16" s="2893"/>
      <c r="E16" s="2892" t="e">
        <f t="shared" si="0"/>
        <v>#DIV/0!</v>
      </c>
      <c r="F16" s="2892" t="e">
        <f t="shared" si="1"/>
        <v>#DIV/0!</v>
      </c>
      <c r="G16" s="2894"/>
      <c r="H16" s="2894"/>
      <c r="I16" s="2893"/>
      <c r="J16" s="2883"/>
      <c r="K16" s="2883"/>
    </row>
    <row r="17" ht="15.6" spans="1:11">
      <c r="A17" s="2891" t="s">
        <v>762</v>
      </c>
      <c r="B17" s="2893"/>
      <c r="C17" s="2893"/>
      <c r="D17" s="2893"/>
      <c r="E17" s="2892" t="e">
        <f t="shared" si="0"/>
        <v>#DIV/0!</v>
      </c>
      <c r="F17" s="2892" t="e">
        <f t="shared" si="1"/>
        <v>#DIV/0!</v>
      </c>
      <c r="G17" s="2894"/>
      <c r="H17" s="2894"/>
      <c r="I17" s="2893"/>
      <c r="J17" s="2883"/>
      <c r="K17" s="2883"/>
    </row>
    <row r="18" ht="15.6" spans="1:11">
      <c r="A18" s="2891" t="s">
        <v>763</v>
      </c>
      <c r="B18" s="2893"/>
      <c r="C18" s="2893"/>
      <c r="D18" s="2893"/>
      <c r="E18" s="2892" t="e">
        <f t="shared" si="0"/>
        <v>#DIV/0!</v>
      </c>
      <c r="F18" s="2892" t="e">
        <f t="shared" si="1"/>
        <v>#DIV/0!</v>
      </c>
      <c r="G18" s="2893"/>
      <c r="H18" s="2893"/>
      <c r="I18" s="2893"/>
      <c r="J18" s="2883"/>
      <c r="K18" s="2883"/>
    </row>
    <row r="19" ht="15.6" spans="1:11">
      <c r="A19" s="2891" t="s">
        <v>764</v>
      </c>
      <c r="B19" s="2893"/>
      <c r="C19" s="2893"/>
      <c r="D19" s="2893"/>
      <c r="E19" s="2892" t="e">
        <f t="shared" si="0"/>
        <v>#DIV/0!</v>
      </c>
      <c r="F19" s="2892" t="e">
        <f t="shared" si="1"/>
        <v>#DIV/0!</v>
      </c>
      <c r="G19" s="2893"/>
      <c r="H19" s="2893"/>
      <c r="I19" s="2893"/>
      <c r="J19" s="2883"/>
      <c r="K19" s="2883"/>
    </row>
    <row r="20" ht="15.6" spans="1:11">
      <c r="A20" s="2891" t="s">
        <v>765</v>
      </c>
      <c r="B20" s="2893"/>
      <c r="C20" s="2893"/>
      <c r="D20" s="2893"/>
      <c r="E20" s="2892" t="e">
        <f t="shared" si="0"/>
        <v>#DIV/0!</v>
      </c>
      <c r="F20" s="2892" t="e">
        <f t="shared" si="1"/>
        <v>#DIV/0!</v>
      </c>
      <c r="G20" s="2893"/>
      <c r="H20" s="2893"/>
      <c r="I20" s="2893"/>
      <c r="J20" s="2883"/>
      <c r="K20" s="2883"/>
    </row>
    <row r="21" ht="15.6" spans="1:11">
      <c r="A21" s="2891" t="s">
        <v>766</v>
      </c>
      <c r="B21" s="2893"/>
      <c r="C21" s="2893"/>
      <c r="D21" s="2893"/>
      <c r="E21" s="2892" t="e">
        <f t="shared" si="0"/>
        <v>#DIV/0!</v>
      </c>
      <c r="F21" s="2892" t="e">
        <f t="shared" si="1"/>
        <v>#DIV/0!</v>
      </c>
      <c r="G21" s="2893"/>
      <c r="H21" s="2893"/>
      <c r="I21" s="2893"/>
      <c r="J21" s="2883"/>
      <c r="K21" s="2883"/>
    </row>
    <row r="22" ht="15.6" spans="1:11">
      <c r="A22" s="2891" t="s">
        <v>767</v>
      </c>
      <c r="B22" s="2893"/>
      <c r="C22" s="2893"/>
      <c r="D22" s="2893"/>
      <c r="E22" s="2892" t="e">
        <f t="shared" si="0"/>
        <v>#DIV/0!</v>
      </c>
      <c r="F22" s="2892" t="e">
        <f t="shared" si="1"/>
        <v>#DIV/0!</v>
      </c>
      <c r="G22" s="2893"/>
      <c r="H22" s="2893"/>
      <c r="I22" s="2893"/>
      <c r="J22" s="2883"/>
      <c r="K22" s="2883"/>
    </row>
    <row r="23" ht="15.6" spans="1:11">
      <c r="A23" s="2891" t="s">
        <v>768</v>
      </c>
      <c r="B23" s="2893"/>
      <c r="C23" s="2893"/>
      <c r="D23" s="2893"/>
      <c r="E23" s="2885" t="e">
        <f t="shared" si="0"/>
        <v>#DIV/0!</v>
      </c>
      <c r="F23" s="2885" t="e">
        <f t="shared" si="1"/>
        <v>#DIV/0!</v>
      </c>
      <c r="G23" s="2893"/>
      <c r="H23" s="2893"/>
      <c r="I23" s="2893"/>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row r="32" spans="4:4">
      <c r="D32" s="2895">
        <f ca="1">D14*10000</f>
        <v>14163268</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N59" sqref="N59"/>
    </sheetView>
  </sheetViews>
  <sheetFormatPr defaultColWidth="12.6666666666667" defaultRowHeight="21.75" customHeight="1"/>
  <cols>
    <col min="1" max="2" width="12.6666666666667" style="2589"/>
    <col min="3" max="4" width="12.6666666666667" style="2589" customWidth="1"/>
    <col min="5" max="9" width="12.6666666666667" style="2589"/>
    <col min="10" max="11" width="12.6666666666667" style="1372" customWidth="1"/>
    <col min="12" max="12" width="12.6666666666667" style="1372"/>
    <col min="13" max="13" width="14.1111111111111" style="1372" customWidth="1"/>
    <col min="14" max="26" width="12.6666666666667" style="1372"/>
    <col min="27" max="35" width="12.6666666666667" style="2588"/>
    <col min="36" max="16384" width="12.6666666666667" style="2589"/>
  </cols>
  <sheetData>
    <row r="1" customHeight="1" spans="1:9">
      <c r="A1" s="2590" t="s">
        <v>769</v>
      </c>
      <c r="B1" s="2591"/>
      <c r="C1" s="2592"/>
      <c r="D1" s="2591"/>
      <c r="E1" s="2591"/>
      <c r="F1" s="2593" t="s">
        <v>770</v>
      </c>
      <c r="G1" s="2594"/>
      <c r="H1" s="2595" t="str">
        <f>IF(G1="现房","——","估价对象范围")</f>
        <v>估价对象范围</v>
      </c>
      <c r="I1" s="2745"/>
    </row>
    <row r="2" customHeight="1" spans="1:9">
      <c r="A2" s="2596" t="str">
        <f>项目基本情况!S2</f>
        <v>北京市房地产</v>
      </c>
      <c r="B2" s="2597"/>
      <c r="C2" s="2597"/>
      <c r="D2" s="2597"/>
      <c r="E2" s="2597"/>
      <c r="F2" s="2597"/>
      <c r="G2" s="2597"/>
      <c r="H2" s="2597"/>
      <c r="I2" s="2746"/>
    </row>
    <row r="3" ht="14.4" spans="1:9">
      <c r="A3" s="2598" t="s">
        <v>771</v>
      </c>
      <c r="B3" s="2183"/>
      <c r="C3" s="2183"/>
      <c r="D3" s="2183"/>
      <c r="E3" s="2183"/>
      <c r="F3" s="2183"/>
      <c r="G3" s="2183"/>
      <c r="H3" s="2183"/>
      <c r="I3" s="2183"/>
    </row>
    <row r="4" ht="14.4" spans="1:12">
      <c r="A4" s="2599" t="s">
        <v>772</v>
      </c>
      <c r="B4" s="2600" t="s">
        <v>773</v>
      </c>
      <c r="C4" s="2601" t="s">
        <v>774</v>
      </c>
      <c r="D4" s="2601" t="s">
        <v>266</v>
      </c>
      <c r="E4" s="2602" t="s">
        <v>775</v>
      </c>
      <c r="F4" s="2603"/>
      <c r="G4" s="2603"/>
      <c r="H4" s="2603"/>
      <c r="I4" s="2747"/>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4" t="s">
        <v>776</v>
      </c>
      <c r="B5" s="282">
        <v>25</v>
      </c>
      <c r="C5" s="2605"/>
      <c r="D5" s="2606"/>
      <c r="E5" s="2172" t="s">
        <v>777</v>
      </c>
      <c r="F5" s="2607"/>
      <c r="G5" s="2607"/>
      <c r="H5" s="2607"/>
      <c r="I5" s="2473"/>
    </row>
    <row r="6" ht="14.4" spans="1:9">
      <c r="A6" s="2604"/>
      <c r="B6" s="282"/>
      <c r="C6" s="2608"/>
      <c r="D6" s="2606"/>
      <c r="E6" s="2172" t="s">
        <v>778</v>
      </c>
      <c r="F6" s="2607"/>
      <c r="G6" s="2607"/>
      <c r="H6" s="2607"/>
      <c r="I6" s="2473"/>
    </row>
    <row r="7" ht="14.4" spans="1:9">
      <c r="A7" s="2604"/>
      <c r="B7" s="282"/>
      <c r="C7" s="2609"/>
      <c r="D7" s="2606"/>
      <c r="E7" s="2172" t="s">
        <v>779</v>
      </c>
      <c r="F7" s="2607"/>
      <c r="G7" s="2607"/>
      <c r="H7" s="2607"/>
      <c r="I7" s="2473"/>
    </row>
    <row r="8" ht="14.4" spans="1:9">
      <c r="A8" s="2604" t="s">
        <v>780</v>
      </c>
      <c r="B8" s="282">
        <v>15</v>
      </c>
      <c r="C8" s="2605"/>
      <c r="D8" s="2606"/>
      <c r="E8" s="2172" t="s">
        <v>781</v>
      </c>
      <c r="F8" s="2607"/>
      <c r="G8" s="2607"/>
      <c r="H8" s="2607"/>
      <c r="I8" s="2473"/>
    </row>
    <row r="9" ht="14.4" spans="1:9">
      <c r="A9" s="2604"/>
      <c r="B9" s="282"/>
      <c r="C9" s="2609"/>
      <c r="D9" s="2606"/>
      <c r="E9" s="2172" t="s">
        <v>782</v>
      </c>
      <c r="F9" s="2607"/>
      <c r="G9" s="2607"/>
      <c r="H9" s="2607"/>
      <c r="I9" s="2473"/>
    </row>
    <row r="10" ht="14.4" spans="1:9">
      <c r="A10" s="2604" t="s">
        <v>783</v>
      </c>
      <c r="B10" s="282">
        <v>15</v>
      </c>
      <c r="C10" s="2605"/>
      <c r="D10" s="2606"/>
      <c r="E10" s="2172" t="s">
        <v>784</v>
      </c>
      <c r="F10" s="2607"/>
      <c r="G10" s="2607"/>
      <c r="H10" s="2607"/>
      <c r="I10" s="2473"/>
    </row>
    <row r="11" ht="14.4" spans="1:9">
      <c r="A11" s="2604"/>
      <c r="B11" s="282"/>
      <c r="C11" s="2609"/>
      <c r="D11" s="2606"/>
      <c r="E11" s="2172" t="s">
        <v>785</v>
      </c>
      <c r="F11" s="2607"/>
      <c r="G11" s="2607"/>
      <c r="H11" s="2607"/>
      <c r="I11" s="2473"/>
    </row>
    <row r="12" ht="14.4" spans="1:9">
      <c r="A12" s="2604" t="s">
        <v>786</v>
      </c>
      <c r="B12" s="282">
        <v>15</v>
      </c>
      <c r="C12" s="2605"/>
      <c r="D12" s="2606"/>
      <c r="E12" s="2172" t="s">
        <v>787</v>
      </c>
      <c r="F12" s="2607"/>
      <c r="G12" s="2607"/>
      <c r="H12" s="2607"/>
      <c r="I12" s="2473"/>
    </row>
    <row r="13" ht="14.4" spans="1:9">
      <c r="A13" s="2604"/>
      <c r="B13" s="282"/>
      <c r="C13" s="2609"/>
      <c r="D13" s="2606"/>
      <c r="E13" s="2172" t="s">
        <v>788</v>
      </c>
      <c r="F13" s="2607"/>
      <c r="G13" s="2607"/>
      <c r="H13" s="2607"/>
      <c r="I13" s="2473"/>
    </row>
    <row r="14" ht="14.4" spans="1:9">
      <c r="A14" s="2604" t="s">
        <v>789</v>
      </c>
      <c r="B14" s="282">
        <v>30</v>
      </c>
      <c r="C14" s="2605">
        <v>6</v>
      </c>
      <c r="D14" s="2606">
        <v>4</v>
      </c>
      <c r="E14" s="2172" t="s">
        <v>790</v>
      </c>
      <c r="F14" s="2607"/>
      <c r="G14" s="2607"/>
      <c r="H14" s="2607"/>
      <c r="I14" s="2473"/>
    </row>
    <row r="15" ht="14.4" spans="1:9">
      <c r="A15" s="2604"/>
      <c r="B15" s="282"/>
      <c r="C15" s="2608"/>
      <c r="D15" s="2606"/>
      <c r="E15" s="2172" t="s">
        <v>791</v>
      </c>
      <c r="F15" s="2607"/>
      <c r="G15" s="2607"/>
      <c r="H15" s="2607"/>
      <c r="I15" s="2473"/>
    </row>
    <row r="16" ht="14.4" spans="1:9">
      <c r="A16" s="2604"/>
      <c r="B16" s="282"/>
      <c r="C16" s="2609"/>
      <c r="D16" s="2606"/>
      <c r="E16" s="2172" t="s">
        <v>792</v>
      </c>
      <c r="F16" s="2607"/>
      <c r="G16" s="2607"/>
      <c r="H16" s="2607"/>
      <c r="I16" s="2473"/>
    </row>
    <row r="17" ht="14.4" spans="1:13">
      <c r="A17" s="2610" t="s">
        <v>793</v>
      </c>
      <c r="B17" s="2611"/>
      <c r="C17" s="2612">
        <f>SUM(C5:C16)</f>
        <v>6</v>
      </c>
      <c r="D17" s="2612">
        <f>SUM(D5:D16)</f>
        <v>4</v>
      </c>
      <c r="E17" s="1416"/>
      <c r="F17" s="1416"/>
      <c r="G17" s="1416"/>
      <c r="H17" s="1416"/>
      <c r="I17" s="1416"/>
      <c r="K17" s="2130"/>
      <c r="L17" s="2130" t="s">
        <v>794</v>
      </c>
      <c r="M17" s="2130" t="s">
        <v>795</v>
      </c>
    </row>
    <row r="18" ht="31.95" customHeight="1" spans="1:13">
      <c r="A18" s="2613" t="s">
        <v>796</v>
      </c>
      <c r="B18" s="2614"/>
      <c r="C18" s="2615">
        <f>ROUND(C17/SUM(C17:D17),2)</f>
        <v>0.6</v>
      </c>
      <c r="D18" s="2615">
        <f>1-C18</f>
        <v>0.4</v>
      </c>
      <c r="E18" s="2616" t="s">
        <v>797</v>
      </c>
      <c r="F18" s="2617"/>
      <c r="G18" s="2617"/>
      <c r="H18" s="2617"/>
      <c r="I18" s="2617"/>
      <c r="K18" s="2130" t="s">
        <v>456</v>
      </c>
      <c r="L18" s="2130">
        <f>IF(C1="",'数据-汇总表'!E3,SUMIF(项目类型,C1,'数据-汇总表'!E17:E26)+SUMIF(项目类型,C1,'数据-汇总表'!I17:I26))</f>
        <v>444.98</v>
      </c>
      <c r="M18" s="2130">
        <f>IF(C1="",'数据-汇总表'!E3,SUMIF(项目类型,C1,'数据-汇总表'!E17:E26))</f>
        <v>444.98</v>
      </c>
    </row>
    <row r="19" ht="14.4" spans="1:13">
      <c r="A19" s="2618" t="s">
        <v>798</v>
      </c>
      <c r="B19" s="2619" t="s">
        <v>799</v>
      </c>
      <c r="C19" s="2620">
        <f ca="1">SUMIF(INDIRECT("'"&amp;C4&amp;"'"&amp;"!A:A"),结果表!B19,INDIRECT("'"&amp;C4&amp;"'"&amp;"!B:B"))</f>
        <v>1928.7658</v>
      </c>
      <c r="D19" s="1640">
        <f ca="1">SUMIF(INDIRECT("'"&amp;D4&amp;"'"&amp;"!A:A"),结果表!B19,INDIRECT("'"&amp;D4&amp;"'"&amp;"!B:B"))</f>
        <v>647.7047</v>
      </c>
      <c r="E19" s="2618" t="s">
        <v>800</v>
      </c>
      <c r="F19" s="2619" t="s">
        <v>799</v>
      </c>
      <c r="G19" s="2621">
        <f ca="1">ROUND(C19*$C$18+D19*$D$18,0)</f>
        <v>1416</v>
      </c>
      <c r="H19" s="2622"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3"/>
      <c r="B20" s="2624" t="s">
        <v>802</v>
      </c>
      <c r="C20" s="1847">
        <f ca="1">SUMIF(INDIRECT("'"&amp;C4&amp;"'"&amp;"!A:A"),结果表!B20,INDIRECT("'"&amp;C4&amp;"'"&amp;"!B:B"))</f>
        <v>43345</v>
      </c>
      <c r="D20" s="1850">
        <f ca="1">SUMIF(INDIRECT("'"&amp;D4&amp;"'"&amp;"!A:A"),结果表!B20,INDIRECT("'"&amp;D4&amp;"'"&amp;"!B:B"))</f>
        <v>14556</v>
      </c>
      <c r="E20" s="2623"/>
      <c r="F20" s="2624" t="s">
        <v>802</v>
      </c>
      <c r="G20" s="2625">
        <f ca="1">ROUND(C20*$C$18+D20*$D$18,0)</f>
        <v>31829</v>
      </c>
      <c r="H20" s="2288" t="s">
        <v>803</v>
      </c>
      <c r="I20" s="1416"/>
    </row>
    <row r="21" ht="15" customHeight="1" spans="1:9">
      <c r="A21" s="2553"/>
      <c r="B21" s="2626" t="s">
        <v>804</v>
      </c>
      <c r="C21" s="2627" t="e">
        <f ca="1">ROUND(C19*10000/L19,0)</f>
        <v>#DIV/0!</v>
      </c>
      <c r="D21" s="2628" t="e">
        <f ca="1">ROUND(D19*10000/L19,0)</f>
        <v>#DIV/0!</v>
      </c>
      <c r="E21" s="2553"/>
      <c r="F21" s="2626" t="s">
        <v>804</v>
      </c>
      <c r="G21" s="2629" t="e">
        <f ca="1">ROUND(G19*10000/L19,0)</f>
        <v>#DIV/0!</v>
      </c>
      <c r="H21" s="2630" t="s">
        <v>803</v>
      </c>
      <c r="I21" s="1416"/>
    </row>
    <row r="22" ht="15.15" spans="1:9">
      <c r="A22" s="2631" t="s">
        <v>805</v>
      </c>
      <c r="B22" s="2632"/>
      <c r="C22" s="2633"/>
      <c r="D22" s="2634">
        <f ca="1">IF(C19&lt;D19,D19/C19-1,C19/D19-1)</f>
        <v>1.97784746660013</v>
      </c>
      <c r="E22" s="1416"/>
      <c r="F22" s="1416"/>
      <c r="G22" s="1416"/>
      <c r="H22" s="1416"/>
      <c r="I22" s="1416"/>
    </row>
    <row r="23" ht="15.15" spans="1:9">
      <c r="A23" s="2591"/>
      <c r="B23" s="2591"/>
      <c r="C23" s="2591"/>
      <c r="D23" s="2591"/>
      <c r="E23" s="1416"/>
      <c r="F23" s="1416"/>
      <c r="G23" s="1416"/>
      <c r="H23" s="1416"/>
      <c r="I23" s="1416"/>
    </row>
    <row r="24" ht="14.4" spans="1:9">
      <c r="A24" s="2635" t="s">
        <v>806</v>
      </c>
      <c r="B24" s="2619" t="s">
        <v>799</v>
      </c>
      <c r="C24" s="2621">
        <f>IF(B30=0,0,D30)</f>
        <v>0</v>
      </c>
      <c r="D24" s="2636"/>
      <c r="E24" s="1416"/>
      <c r="F24" s="1416"/>
      <c r="G24" s="1416"/>
      <c r="H24" s="1416"/>
      <c r="I24" s="1416"/>
    </row>
    <row r="25" ht="14.4" spans="1:9">
      <c r="A25" s="2637"/>
      <c r="B25" s="2624" t="s">
        <v>802</v>
      </c>
      <c r="C25" s="2638">
        <f>IF(B30=0,0,C30)</f>
        <v>0</v>
      </c>
      <c r="D25" s="2639"/>
      <c r="E25" s="1416"/>
      <c r="F25" s="1416"/>
      <c r="G25" s="1416"/>
      <c r="H25" s="1416"/>
      <c r="I25" s="1416"/>
    </row>
    <row r="26" ht="13.5" customHeight="1" spans="1:9">
      <c r="A26" s="2640" t="s">
        <v>807</v>
      </c>
      <c r="B26" s="2641" t="s">
        <v>808</v>
      </c>
      <c r="C26" s="2641" t="s">
        <v>809</v>
      </c>
      <c r="D26" s="2642" t="s">
        <v>810</v>
      </c>
      <c r="E26" s="1416"/>
      <c r="F26" s="1416"/>
      <c r="G26" s="1416"/>
      <c r="H26" s="1416"/>
      <c r="I26" s="1416"/>
    </row>
    <row r="27" ht="14.4" spans="1:9">
      <c r="A27" s="2640"/>
      <c r="B27" s="2641">
        <v>0</v>
      </c>
      <c r="C27" s="2641">
        <v>0</v>
      </c>
      <c r="D27" s="2642">
        <f>ROUND(C27*B27/10000,0)</f>
        <v>0</v>
      </c>
      <c r="E27" s="1416"/>
      <c r="F27" s="1416"/>
      <c r="G27" s="1416"/>
      <c r="H27" s="1416"/>
      <c r="I27" s="1416"/>
    </row>
    <row r="28" ht="14.4" spans="1:9">
      <c r="A28" s="2640"/>
      <c r="B28" s="2641"/>
      <c r="C28" s="2641"/>
      <c r="D28" s="2642"/>
      <c r="E28" s="1416"/>
      <c r="F28" s="1416"/>
      <c r="G28" s="1416"/>
      <c r="H28" s="1416"/>
      <c r="I28" s="1416"/>
    </row>
    <row r="29" ht="14.4" spans="1:9">
      <c r="A29" s="2640"/>
      <c r="B29" s="2641"/>
      <c r="C29" s="2641"/>
      <c r="D29" s="2642"/>
      <c r="E29" s="1416"/>
      <c r="F29" s="1416"/>
      <c r="G29" s="1416"/>
      <c r="H29" s="1416"/>
      <c r="I29" s="1416"/>
    </row>
    <row r="30" ht="15.15" spans="1:9">
      <c r="A30" s="2641" t="s">
        <v>811</v>
      </c>
      <c r="B30" s="2641"/>
      <c r="C30" s="2641"/>
      <c r="D30" s="2641"/>
      <c r="E30" s="2643" t="s">
        <v>812</v>
      </c>
      <c r="F30" s="1416"/>
      <c r="G30" s="1416"/>
      <c r="H30" s="1416"/>
      <c r="I30" s="1416"/>
    </row>
    <row r="31" s="2585" customFormat="1" ht="26.4" customHeight="1" spans="1:36">
      <c r="A31" s="2644"/>
      <c r="B31" s="2645"/>
      <c r="C31" s="2645"/>
      <c r="D31" s="2645"/>
      <c r="E31" s="2645"/>
      <c r="F31" s="2645"/>
      <c r="G31" s="2645"/>
      <c r="H31" s="2645"/>
      <c r="I31" s="2748" t="s">
        <v>813</v>
      </c>
      <c r="J31" s="2749"/>
      <c r="K31" s="2750"/>
      <c r="L31" s="2750"/>
      <c r="M31" s="2750"/>
      <c r="N31" s="2750"/>
      <c r="O31" s="2750"/>
      <c r="P31" s="2750"/>
      <c r="Q31" s="2750"/>
      <c r="R31" s="2750"/>
      <c r="S31" s="2750"/>
      <c r="T31" s="2750"/>
      <c r="U31" s="2750"/>
      <c r="V31" s="2750"/>
      <c r="W31" s="2750"/>
      <c r="X31" s="2750"/>
      <c r="Y31" s="2750"/>
      <c r="Z31" s="2750"/>
      <c r="AA31" s="2750"/>
      <c r="AB31" s="2768"/>
      <c r="AC31" s="2768"/>
      <c r="AD31" s="2768"/>
      <c r="AE31" s="2768"/>
      <c r="AF31" s="2768"/>
      <c r="AG31" s="2768"/>
      <c r="AH31" s="2768"/>
      <c r="AI31" s="2768"/>
      <c r="AJ31" s="2768"/>
    </row>
    <row r="32" ht="15.9" spans="1:9">
      <c r="A32" s="2646" t="s">
        <v>814</v>
      </c>
      <c r="B32" s="2647"/>
      <c r="C32" s="2648">
        <f ca="1">IF(D32="总价",G19-C24,G20-C25)</f>
        <v>31829</v>
      </c>
      <c r="D32" s="2649" t="s">
        <v>815</v>
      </c>
      <c r="E32" s="1416"/>
      <c r="F32" s="1416"/>
      <c r="G32" s="1416"/>
      <c r="H32" s="1416"/>
      <c r="I32" s="1416"/>
    </row>
    <row r="33" ht="14.4" spans="1:9">
      <c r="A33" s="2495" t="s">
        <v>816</v>
      </c>
      <c r="B33" s="2650"/>
      <c r="C33" s="2651"/>
      <c r="D33" s="2652"/>
      <c r="E33" s="2653" t="s">
        <v>817</v>
      </c>
      <c r="F33" s="2654" t="str">
        <f>IF(D32="楼面单价","取值（单价）","取值（总价）")</f>
        <v>取值（单价）</v>
      </c>
      <c r="G33" s="1416"/>
      <c r="H33" s="1416"/>
      <c r="I33" s="1416"/>
    </row>
    <row r="34" ht="14.4" spans="1:9">
      <c r="A34" s="2655"/>
      <c r="B34" s="2656" t="s">
        <v>818</v>
      </c>
      <c r="C34" s="2657" t="e">
        <f ca="1">IF(C33="自定义",F34,C32-C35)</f>
        <v>#REF!</v>
      </c>
      <c r="D34" s="2658" t="e">
        <f ca="1">IF(C33="自定义",ROUND(C34/C32,3),IF(C33="收益比率",SUMIF(INDIRECT("'"&amp;D33&amp;"'"&amp;"!b:b"),"土地收益比率",INDIRECT("'"&amp;D33&amp;"'"&amp;"!c:c")),SUMIF(INDIRECT("'"&amp;D33&amp;"'"&amp;"!b:b"),"土地成本比率",INDIRECT("'"&amp;D33&amp;"'"&amp;"!c:c"))))</f>
        <v>#REF!</v>
      </c>
      <c r="E34" s="2659" t="s">
        <v>819</v>
      </c>
      <c r="F34" s="2660"/>
      <c r="G34" s="1416"/>
      <c r="H34" s="1416"/>
      <c r="I34" s="1416"/>
    </row>
    <row r="35" ht="15.15" spans="1:9">
      <c r="A35" s="2661"/>
      <c r="B35" s="2662" t="s">
        <v>820</v>
      </c>
      <c r="C35" s="2663" t="e">
        <f ca="1">IF(C33="自定义",F35,ROUND(C32*D35,0))</f>
        <v>#REF!</v>
      </c>
      <c r="D35" s="2664" t="e">
        <f ca="1">IF(C33="自定义",ROUND(C35/C32,3),IF(C33="收益比率",SUMIF(INDIRECT("'"&amp;D33&amp;"'"&amp;"!b:b"),"建筑物收益比率",INDIRECT("'"&amp;D33&amp;"'"&amp;"!c:c")),SUMIF(INDIRECT("'"&amp;D33&amp;"'"&amp;"!b:b"),"建筑物成本比率",INDIRECT("'"&amp;D33&amp;"'"&amp;"!c:c"))))</f>
        <v>#REF!</v>
      </c>
      <c r="E35" s="2665" t="s">
        <v>821</v>
      </c>
      <c r="F35" s="2666"/>
      <c r="G35" s="1416"/>
      <c r="H35" s="1416"/>
      <c r="I35" s="1416"/>
    </row>
    <row r="36" ht="15.15" spans="1:9">
      <c r="A36" s="2667" t="s">
        <v>822</v>
      </c>
      <c r="B36" s="2668" t="s">
        <v>823</v>
      </c>
      <c r="C36" s="2669"/>
      <c r="D36" s="2670"/>
      <c r="E36" s="2671"/>
      <c r="F36" s="2672"/>
      <c r="G36" s="1416"/>
      <c r="H36" s="1416"/>
      <c r="I36" s="1416"/>
    </row>
    <row r="37" ht="15.15" spans="1:9">
      <c r="A37" s="2673"/>
      <c r="B37" s="2674" t="s">
        <v>824</v>
      </c>
      <c r="C37" s="2675"/>
      <c r="D37" s="2676"/>
      <c r="E37" s="2676"/>
      <c r="F37" s="2672"/>
      <c r="G37" s="1416"/>
      <c r="H37" s="1416"/>
      <c r="I37" s="1416"/>
    </row>
    <row r="38" ht="15.15" spans="1:9">
      <c r="A38" s="2677"/>
      <c r="B38" s="2678" t="s">
        <v>825</v>
      </c>
      <c r="C38" s="2679"/>
      <c r="D38" s="2680" t="s">
        <v>826</v>
      </c>
      <c r="E38" s="2676"/>
      <c r="F38" s="2672"/>
      <c r="G38" s="1416"/>
      <c r="H38" s="1416"/>
      <c r="I38" s="1416"/>
    </row>
    <row r="39" ht="14.4" spans="1:9">
      <c r="A39" s="2623" t="s">
        <v>827</v>
      </c>
      <c r="B39" s="2681" t="s">
        <v>808</v>
      </c>
      <c r="C39" s="2682" t="s">
        <v>809</v>
      </c>
      <c r="D39" s="2682" t="s">
        <v>828</v>
      </c>
      <c r="E39" s="2683" t="s">
        <v>810</v>
      </c>
      <c r="F39" s="2672"/>
      <c r="G39" s="1416"/>
      <c r="H39" s="1416"/>
      <c r="I39" s="1416"/>
    </row>
    <row r="40" ht="14.4" spans="1:9">
      <c r="A40" s="2684" t="s">
        <v>829</v>
      </c>
      <c r="B40" s="2685"/>
      <c r="C40" s="1434"/>
      <c r="D40" s="1434"/>
      <c r="E40" s="2686"/>
      <c r="F40" s="2672"/>
      <c r="G40" s="1416"/>
      <c r="H40" s="1416"/>
      <c r="I40" s="1416"/>
    </row>
    <row r="41" ht="14.4" spans="1:9">
      <c r="A41" s="2684" t="s">
        <v>830</v>
      </c>
      <c r="B41" s="2685"/>
      <c r="C41" s="1434"/>
      <c r="D41" s="1434"/>
      <c r="E41" s="2686"/>
      <c r="F41" s="2672"/>
      <c r="G41" s="1416"/>
      <c r="H41" s="1416"/>
      <c r="I41" s="1416"/>
    </row>
    <row r="42" ht="15.15" spans="1:9">
      <c r="A42" s="2687"/>
      <c r="B42" s="2688"/>
      <c r="C42" s="2689"/>
      <c r="D42" s="2689"/>
      <c r="E42" s="2666"/>
      <c r="F42" s="2672"/>
      <c r="G42" s="1416"/>
      <c r="H42" s="1416"/>
      <c r="I42" s="1416"/>
    </row>
    <row r="43" ht="14.4" spans="1:9">
      <c r="A43" s="2690"/>
      <c r="B43" s="2690"/>
      <c r="C43" s="2690"/>
      <c r="D43" s="2690"/>
      <c r="E43" s="2690"/>
      <c r="F43" s="2691"/>
      <c r="G43" s="2691"/>
      <c r="H43" s="2691"/>
      <c r="I43" s="2751"/>
    </row>
    <row r="44" ht="17.4" spans="1:15">
      <c r="A44" s="2692" t="s">
        <v>831</v>
      </c>
      <c r="B44" s="2693"/>
      <c r="C44" s="2693"/>
      <c r="D44" s="2694"/>
      <c r="E44" s="2694"/>
      <c r="F44" s="2695"/>
      <c r="G44" s="2695"/>
      <c r="H44" s="2695"/>
      <c r="I44" s="2695"/>
      <c r="J44" s="2752" t="s">
        <v>832</v>
      </c>
      <c r="K44" s="2753"/>
      <c r="L44" s="2753"/>
      <c r="M44" s="2753"/>
      <c r="N44" s="2753"/>
      <c r="O44" s="2753"/>
    </row>
    <row r="45" ht="14.25" customHeight="1" spans="1:15">
      <c r="A45" s="2696" t="s">
        <v>833</v>
      </c>
      <c r="B45" s="2697"/>
      <c r="C45" s="2698"/>
      <c r="D45" s="2129">
        <f ca="1">ROUND(H101*F45,0)</f>
        <v>793</v>
      </c>
      <c r="E45" s="2699" t="s">
        <v>834</v>
      </c>
      <c r="F45" s="2700">
        <v>0.56</v>
      </c>
      <c r="G45" s="2701" t="s">
        <v>835</v>
      </c>
      <c r="H45" s="1416"/>
      <c r="I45" s="1416"/>
      <c r="J45" s="2754" t="s">
        <v>836</v>
      </c>
      <c r="K45" s="2754"/>
      <c r="L45" s="2754"/>
      <c r="M45" s="2754"/>
      <c r="N45" s="2754"/>
      <c r="O45" s="2754"/>
    </row>
    <row r="46" ht="14.25" customHeight="1" spans="1:15">
      <c r="A46" s="2702" t="s">
        <v>837</v>
      </c>
      <c r="B46" s="2703"/>
      <c r="C46" s="2703"/>
      <c r="D46" s="2703"/>
      <c r="E46" s="2703"/>
      <c r="F46" s="2703"/>
      <c r="G46" s="2704"/>
      <c r="H46" s="2705"/>
      <c r="I46" s="1417"/>
      <c r="J46" s="1034">
        <v>1</v>
      </c>
      <c r="K46" s="2397" t="s">
        <v>838</v>
      </c>
      <c r="L46" s="2397"/>
      <c r="M46" s="2755"/>
      <c r="N46" s="2755"/>
      <c r="O46" s="2755"/>
    </row>
    <row r="47" ht="12" customHeight="1" spans="1:15">
      <c r="A47" s="2706" t="s">
        <v>839</v>
      </c>
      <c r="B47" s="2707"/>
      <c r="C47" s="2708"/>
      <c r="D47" s="2182" t="s">
        <v>840</v>
      </c>
      <c r="E47" s="2130" t="s">
        <v>841</v>
      </c>
      <c r="F47" s="2418" t="s">
        <v>842</v>
      </c>
      <c r="G47" s="2709" t="s">
        <v>843</v>
      </c>
      <c r="H47" s="2710"/>
      <c r="I47" s="1417"/>
      <c r="J47" s="1034">
        <v>2</v>
      </c>
      <c r="K47" s="2397" t="s">
        <v>844</v>
      </c>
      <c r="L47" s="2397"/>
      <c r="M47" s="2756">
        <f>'数据-取费表'!B2</f>
        <v>45042</v>
      </c>
      <c r="N47" s="2756"/>
      <c r="O47" s="2756"/>
    </row>
    <row r="48" ht="38.4" spans="1:15">
      <c r="A48" s="2711" t="s">
        <v>845</v>
      </c>
      <c r="B48" s="2186"/>
      <c r="C48" s="2186"/>
      <c r="D48" s="2286">
        <f ca="1">IF(H48="情况1",0,IF(H48="情况2",D52,IF(H48="情况3",D53,IF(H48="情况4",D54))))</f>
        <v>29</v>
      </c>
      <c r="E48" s="2186" t="str">
        <f>IF(H48="情况4","(销售额-原购置价)×税（费）率","销售额×税（费）率")</f>
        <v>(销售额-原购置价)×税（费）率</v>
      </c>
      <c r="F48" s="2712">
        <f>IF(H48="情况1","免征",'数据-取费表'!B41)</f>
        <v>0.055</v>
      </c>
      <c r="G48" s="2713" t="s">
        <v>846</v>
      </c>
      <c r="H48" s="2714" t="s">
        <v>847</v>
      </c>
      <c r="I48" s="2705"/>
      <c r="J48" s="1034">
        <v>3</v>
      </c>
      <c r="K48" s="2397" t="s">
        <v>848</v>
      </c>
      <c r="L48" s="2397"/>
      <c r="M48" s="2757">
        <f ca="1">H101</f>
        <v>1416</v>
      </c>
      <c r="N48" s="2757"/>
      <c r="O48" s="2757"/>
    </row>
    <row r="49" ht="25.5" customHeight="1" spans="1:15">
      <c r="A49" s="2711" t="s">
        <v>849</v>
      </c>
      <c r="B49" s="2164" t="s">
        <v>850</v>
      </c>
      <c r="C49" s="2164"/>
      <c r="D49" s="2715">
        <v>0</v>
      </c>
      <c r="E49" s="2192" t="s">
        <v>851</v>
      </c>
      <c r="F49" s="2716" t="s">
        <v>124</v>
      </c>
      <c r="G49" s="2717"/>
      <c r="H49" s="2718" t="s">
        <v>852</v>
      </c>
      <c r="I49" s="2758"/>
      <c r="J49" s="1034">
        <v>4</v>
      </c>
      <c r="K49" s="2397" t="str">
        <f>IF(项目基本情况!E8="房地产抵押价值","房地产抵押价值","抵押担保权已注销时的房地产抵押价值")</f>
        <v>房地产抵押价值</v>
      </c>
      <c r="L49" s="2397"/>
      <c r="M49" s="2757">
        <f ca="1">IF(项目基本情况!E8="房地产抵押价值",H107,H109)</f>
        <v>1416</v>
      </c>
      <c r="N49" s="2757"/>
      <c r="O49" s="2757"/>
    </row>
    <row r="50" ht="25.5" customHeight="1" spans="1:15">
      <c r="A50" s="2719"/>
      <c r="B50" s="2164" t="s">
        <v>853</v>
      </c>
      <c r="C50" s="2164"/>
      <c r="D50" s="2720"/>
      <c r="E50" s="2207"/>
      <c r="F50" s="2716"/>
      <c r="G50" s="2721"/>
      <c r="H50" s="2722" t="s">
        <v>854</v>
      </c>
      <c r="I50" s="2758"/>
      <c r="J50" s="2754" t="s">
        <v>855</v>
      </c>
      <c r="K50" s="2754"/>
      <c r="L50" s="2754"/>
      <c r="M50" s="2754"/>
      <c r="N50" s="2754"/>
      <c r="O50" s="2754"/>
    </row>
    <row r="51" ht="20.4" customHeight="1" spans="1:15">
      <c r="A51" s="2723"/>
      <c r="B51" s="2164" t="s">
        <v>856</v>
      </c>
      <c r="C51" s="2164"/>
      <c r="D51" s="2182"/>
      <c r="E51" s="2196"/>
      <c r="F51" s="2716"/>
      <c r="G51" s="2724"/>
      <c r="H51" s="2722" t="s">
        <v>857</v>
      </c>
      <c r="I51" s="2758"/>
      <c r="J51" s="2397" t="s">
        <v>858</v>
      </c>
      <c r="K51" s="2397" t="s">
        <v>859</v>
      </c>
      <c r="L51" s="2397"/>
      <c r="M51" s="2397" t="s">
        <v>860</v>
      </c>
      <c r="N51" s="2397" t="s">
        <v>861</v>
      </c>
      <c r="O51" s="2397" t="s">
        <v>862</v>
      </c>
    </row>
    <row r="52" ht="24" customHeight="1" spans="1:15">
      <c r="A52" s="2725" t="s">
        <v>863</v>
      </c>
      <c r="B52" s="2164" t="s">
        <v>864</v>
      </c>
      <c r="C52" s="2164"/>
      <c r="D52" s="2182">
        <f ca="1">ROUND(D45*'数据-取费表'!B41/(1+'数据-取费表'!C42),0)</f>
        <v>42</v>
      </c>
      <c r="E52" s="2186" t="s">
        <v>865</v>
      </c>
      <c r="F52" s="2726">
        <f>'数据-取费表'!B41</f>
        <v>0.055</v>
      </c>
      <c r="G52" s="2727"/>
      <c r="H52" s="2301"/>
      <c r="I52" s="2759"/>
      <c r="J52" s="1034">
        <v>1</v>
      </c>
      <c r="K52" s="1034" t="s">
        <v>866</v>
      </c>
      <c r="L52" s="1034"/>
      <c r="M52" s="2400">
        <f ca="1">D48</f>
        <v>29</v>
      </c>
      <c r="N52" s="1034" t="str">
        <f>E48</f>
        <v>(销售额-原购置价)×税（费）率</v>
      </c>
      <c r="O52" s="2448">
        <f>F48</f>
        <v>0.055</v>
      </c>
    </row>
    <row r="53" ht="12" customHeight="1" spans="1:15">
      <c r="A53" s="2725" t="s">
        <v>867</v>
      </c>
      <c r="B53" s="2163" t="s">
        <v>868</v>
      </c>
      <c r="C53" s="2728"/>
      <c r="D53" s="2182">
        <f ca="1">ROUND(D45*'数据-取费表'!B41/(1+'数据-取费表'!C42),0)</f>
        <v>42</v>
      </c>
      <c r="E53" s="2186" t="s">
        <v>865</v>
      </c>
      <c r="F53" s="2726">
        <f>'数据-取费表'!B41</f>
        <v>0.055</v>
      </c>
      <c r="G53" s="2727"/>
      <c r="H53" s="2301"/>
      <c r="I53" s="2759"/>
      <c r="J53" s="1034">
        <v>2</v>
      </c>
      <c r="K53" s="1034" t="s">
        <v>869</v>
      </c>
      <c r="L53" s="1034"/>
      <c r="M53" s="2400">
        <f ca="1" t="shared" ref="M53:O54" si="0">D55</f>
        <v>0</v>
      </c>
      <c r="N53" s="1034" t="str">
        <f t="shared" si="0"/>
        <v>销售额×税（费）率</v>
      </c>
      <c r="O53" s="2448">
        <f t="shared" si="0"/>
        <v>0.0005</v>
      </c>
    </row>
    <row r="54" ht="12" customHeight="1" spans="1:15">
      <c r="A54" s="2725" t="s">
        <v>870</v>
      </c>
      <c r="B54" s="2163" t="s">
        <v>871</v>
      </c>
      <c r="C54" s="2728"/>
      <c r="D54" s="2182">
        <f ca="1">C68</f>
        <v>29</v>
      </c>
      <c r="E54" s="2196" t="s">
        <v>872</v>
      </c>
      <c r="F54" s="2726">
        <f>'数据-取费表'!B41</f>
        <v>0.055</v>
      </c>
      <c r="G54" s="2727"/>
      <c r="H54" s="2729"/>
      <c r="I54" s="2759"/>
      <c r="J54" s="1034">
        <v>3</v>
      </c>
      <c r="K54" s="1034" t="s">
        <v>873</v>
      </c>
      <c r="L54" s="1034"/>
      <c r="M54" s="2400">
        <f ca="1" t="shared" si="0"/>
        <v>140</v>
      </c>
      <c r="N54" s="1034" t="str">
        <f t="shared" si="0"/>
        <v>增值额×税（费）率</v>
      </c>
      <c r="O54" s="2449" t="str">
        <f t="shared" si="0"/>
        <v>——</v>
      </c>
    </row>
    <row r="55" ht="24" customHeight="1" spans="1:15">
      <c r="A55" s="2725" t="s">
        <v>874</v>
      </c>
      <c r="B55" s="2186"/>
      <c r="C55" s="2186"/>
      <c r="D55" s="2286">
        <f ca="1">IF(H55="个人住宅",0,ROUND(D45*I55,0))</f>
        <v>0</v>
      </c>
      <c r="E55" s="2186" t="s">
        <v>875</v>
      </c>
      <c r="F55" s="2726">
        <f>IF(H55="正常",I55,"免征")</f>
        <v>0.0005</v>
      </c>
      <c r="G55" s="2727"/>
      <c r="H55" s="2714" t="s">
        <v>876</v>
      </c>
      <c r="I55" s="2760">
        <f>'数据-取费表'!B49</f>
        <v>0.0005</v>
      </c>
      <c r="J55" s="1034" t="str">
        <f>IF(H59="非个人房产","",4)</f>
        <v/>
      </c>
      <c r="K55" s="1034" t="str">
        <f>IF(H59="非个人房产","——","个人所得税")</f>
        <v>——</v>
      </c>
      <c r="L55" s="1034"/>
      <c r="M55" s="2401" t="str">
        <f ca="1">D59</f>
        <v>——</v>
      </c>
      <c r="N55" s="1015" t="str">
        <f>E59</f>
        <v>——</v>
      </c>
      <c r="O55" s="2450" t="str">
        <f>F59</f>
        <v>——</v>
      </c>
    </row>
    <row r="56" ht="25.2" spans="1:15">
      <c r="A56" s="2725" t="s">
        <v>877</v>
      </c>
      <c r="B56" s="2186"/>
      <c r="C56" s="2186"/>
      <c r="D56" s="2286">
        <f ca="1">IF(H56="个人住宅",D57,D58)</f>
        <v>140</v>
      </c>
      <c r="E56" s="2186" t="s">
        <v>878</v>
      </c>
      <c r="F56" s="2726" t="str">
        <f>IF(H56="正常",F58,"免征")</f>
        <v>——</v>
      </c>
      <c r="G56" s="2730" t="s">
        <v>879</v>
      </c>
      <c r="H56" s="2731" t="s">
        <v>876</v>
      </c>
      <c r="I56" s="2742"/>
      <c r="J56" s="1034" t="str">
        <f>IF(项目基本情况!K6="上海银行",IF(J55="",4,J55+1),"")</f>
        <v/>
      </c>
      <c r="K56" s="2286" t="str">
        <f>IF(项目基本情况!K6="上海银行","其他处置费用","")</f>
        <v/>
      </c>
      <c r="L56" s="2402"/>
      <c r="M56" s="2400" t="str">
        <f ca="1">IF(项目基本情况!K6="上海银行",M69,"")</f>
        <v/>
      </c>
      <c r="N56" s="2286" t="str">
        <f>IF(项目基本情况!K6="上海银行","包含处置中涉及的律师、诉讼、拍卖、评估等费用","")</f>
        <v/>
      </c>
      <c r="O56" s="2136"/>
    </row>
    <row r="57" ht="14.4" spans="1:16">
      <c r="A57" s="2725" t="s">
        <v>849</v>
      </c>
      <c r="B57" s="2163" t="s">
        <v>880</v>
      </c>
      <c r="C57" s="2728"/>
      <c r="D57" s="2715">
        <v>0</v>
      </c>
      <c r="E57" s="2192" t="s">
        <v>851</v>
      </c>
      <c r="F57" s="2130"/>
      <c r="G57" s="2727"/>
      <c r="H57" s="2732"/>
      <c r="I57" s="2742"/>
      <c r="J57" s="1034">
        <f>IF(AND(J55="",J56=""),4,IF(项目基本情况!K6="上海银行",结果表!J56+1,结果表!J55+1))</f>
        <v>4</v>
      </c>
      <c r="K57" s="1034" t="s">
        <v>881</v>
      </c>
      <c r="L57" s="2403" t="s">
        <v>882</v>
      </c>
      <c r="M57" s="2404"/>
      <c r="N57" s="2761">
        <f ca="1">SUMIF(M52:M56,"&lt;9e307")</f>
        <v>169</v>
      </c>
      <c r="O57" s="2451"/>
      <c r="P57" s="2762">
        <f ca="1">N57/M49</f>
        <v>0.119350282485876</v>
      </c>
    </row>
    <row r="58" ht="25.2" spans="1:15">
      <c r="A58" s="2725" t="s">
        <v>863</v>
      </c>
      <c r="B58" s="2163" t="s">
        <v>883</v>
      </c>
      <c r="C58" s="2164"/>
      <c r="D58" s="2286">
        <f ca="1">IF(H58="转让取得",C81,C97)</f>
        <v>140</v>
      </c>
      <c r="E58" s="2186" t="s">
        <v>878</v>
      </c>
      <c r="F58" s="2130" t="s">
        <v>124</v>
      </c>
      <c r="G58" s="2727"/>
      <c r="H58" s="2731" t="s">
        <v>884</v>
      </c>
      <c r="I58" s="2742"/>
      <c r="J58" s="1034"/>
      <c r="K58" s="1034"/>
      <c r="L58" s="2403" t="s">
        <v>885</v>
      </c>
      <c r="M58" s="2406"/>
      <c r="N58" s="2763" t="str">
        <f ca="1">NUMBERSTRING(INT(N57*10000),2)&amp;"元整"</f>
        <v>壹佰陆拾玖万元整</v>
      </c>
      <c r="O58" s="2453"/>
    </row>
    <row r="59" ht="24.75" spans="1:15">
      <c r="A59" s="2733" t="s">
        <v>886</v>
      </c>
      <c r="B59" s="2734"/>
      <c r="C59" s="2734"/>
      <c r="D59" s="2735" t="str">
        <f ca="1">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879</v>
      </c>
      <c r="H59" s="2739" t="s">
        <v>887</v>
      </c>
      <c r="I59" s="2764" t="s">
        <v>888</v>
      </c>
      <c r="J59" s="1015">
        <f>J57+1</f>
        <v>5</v>
      </c>
      <c r="K59" s="1034" t="s">
        <v>889</v>
      </c>
      <c r="L59" s="1034" t="s">
        <v>882</v>
      </c>
      <c r="M59" s="2408"/>
      <c r="N59" s="2765">
        <f ca="1">M49-N57</f>
        <v>1247</v>
      </c>
      <c r="O59" s="2454"/>
    </row>
    <row r="60" ht="12" customHeight="1" spans="1:15">
      <c r="A60" s="2740"/>
      <c r="B60" s="2591"/>
      <c r="C60" s="2591"/>
      <c r="D60" s="2591"/>
      <c r="E60" s="2741"/>
      <c r="F60" s="2742"/>
      <c r="G60" s="2742"/>
      <c r="H60" s="2743"/>
      <c r="I60" s="1416"/>
      <c r="J60" s="1020"/>
      <c r="K60" s="1034"/>
      <c r="L60" s="2403" t="s">
        <v>885</v>
      </c>
      <c r="M60" s="2406"/>
      <c r="N60" s="2763" t="str">
        <f ca="1">NUMBERSTRING(INT(N59*10000),2)&amp;"元整"</f>
        <v>壹仟贰佰肆拾柒万元整</v>
      </c>
      <c r="O60" s="2453"/>
    </row>
    <row r="61" ht="15.15" spans="1:15">
      <c r="A61" s="2744" t="s">
        <v>890</v>
      </c>
      <c r="B61" s="2744"/>
      <c r="C61" s="2744"/>
      <c r="D61" s="2744"/>
      <c r="E61" s="2744"/>
      <c r="F61" s="2742"/>
      <c r="G61" s="2742"/>
      <c r="H61" s="2743"/>
      <c r="I61" s="1416"/>
      <c r="J61" s="1034">
        <f>J59+1</f>
        <v>6</v>
      </c>
      <c r="K61" s="1034" t="s">
        <v>891</v>
      </c>
      <c r="L61" s="1034"/>
      <c r="M61" s="2410"/>
      <c r="N61" s="2411">
        <f ca="1">ROUND(N59*10000/'数据-汇总表'!E3,0)</f>
        <v>28024</v>
      </c>
      <c r="O61" s="2455"/>
    </row>
    <row r="62" ht="14.4" spans="1:9">
      <c r="A62" s="2413" t="s">
        <v>892</v>
      </c>
      <c r="B62" s="985"/>
      <c r="C62" s="985"/>
      <c r="D62" s="985" t="s">
        <v>893</v>
      </c>
      <c r="E62" s="2434" t="s">
        <v>843</v>
      </c>
      <c r="F62" s="2742"/>
      <c r="G62" s="2742"/>
      <c r="H62" s="2743"/>
      <c r="I62" s="1416"/>
    </row>
    <row r="63" ht="14.4" spans="1:35">
      <c r="A63" s="2415" t="s">
        <v>894</v>
      </c>
      <c r="B63" s="1045" t="s">
        <v>895</v>
      </c>
      <c r="C63" s="2435">
        <f ca="1">ROUND((C64+C65)/(1+'数据-取费表'!C42),0)</f>
        <v>755</v>
      </c>
      <c r="D63" s="1045"/>
      <c r="E63" s="2436"/>
      <c r="F63" s="2742"/>
      <c r="G63" s="2742"/>
      <c r="H63" s="2743"/>
      <c r="I63" s="1416"/>
      <c r="J63" s="2766" t="s">
        <v>896</v>
      </c>
      <c r="K63" s="2766" t="s">
        <v>897</v>
      </c>
      <c r="L63" s="2766">
        <f ca="1">IF(M49&gt;10000,M49*0.5%,IF(AND(M49&gt;1000,M49&lt;=10000),M49*1%,IF(AND(M49&gt;100,M49&lt;=1000),M49*3%,IF(AND(M49&gt;10,M49&lt;=100),M49*5%,M49*8%))))</f>
        <v>14.16</v>
      </c>
      <c r="M63" s="2130">
        <f ca="1">ROUND(L63,1)</f>
        <v>14.2</v>
      </c>
      <c r="N63" s="2767"/>
      <c r="Z63" s="2588"/>
      <c r="AI63" s="2589"/>
    </row>
    <row r="64" ht="14.25" customHeight="1" spans="1:35">
      <c r="A64" s="2419" t="s">
        <v>898</v>
      </c>
      <c r="B64" s="968" t="s">
        <v>899</v>
      </c>
      <c r="C64" s="2437">
        <f ca="1">D45</f>
        <v>793</v>
      </c>
      <c r="D64" s="968" t="s">
        <v>124</v>
      </c>
      <c r="E64" s="2438"/>
      <c r="F64" s="2742"/>
      <c r="G64" s="2742"/>
      <c r="H64" s="2743"/>
      <c r="I64" s="1416"/>
      <c r="J64" s="2766"/>
      <c r="K64" s="2766" t="s">
        <v>900</v>
      </c>
      <c r="L64" s="2766">
        <f ca="1">IF(M49&gt;2000,M49*0.5%,IF(AND(M49&gt;1000,M49&lt;=2000),M49*0.6%,IF(AND(M49&gt;500,M49&lt;=1000),M49*0.7%,IF(AND(M49&gt;200,M49&lt;=500),M49*0.8%,IF(AND(M49&gt;100,M49&lt;=200),M49*0.9%,IF(AND(M49&gt;50,M49&lt;=100),M49*1%,IF(AND(M49&gt;20,M49&lt;=50),M49*1.5%,IF(AND(M49&gt;10,M49&lt;=20),M49*2%,IF(AND(M49&gt;1,M49&lt;=10),M49*2.5%)))))))))</f>
        <v>8.496</v>
      </c>
      <c r="M64" s="2130">
        <f ca="1" t="shared" ref="M64:M65" si="1">ROUND(L64,1)</f>
        <v>8.5</v>
      </c>
      <c r="N64" s="2301" t="s">
        <v>901</v>
      </c>
      <c r="Z64" s="2588"/>
      <c r="AI64" s="2589"/>
    </row>
    <row r="65" ht="14.25" customHeight="1" spans="1:35">
      <c r="A65" s="2419" t="s">
        <v>902</v>
      </c>
      <c r="B65" s="968" t="s">
        <v>903</v>
      </c>
      <c r="C65" s="2439"/>
      <c r="D65" s="968"/>
      <c r="E65" s="2438"/>
      <c r="F65" s="2742"/>
      <c r="G65" s="2742"/>
      <c r="H65" s="2743"/>
      <c r="I65" s="1416"/>
      <c r="J65" s="2766"/>
      <c r="K65" s="2766" t="s">
        <v>904</v>
      </c>
      <c r="L65" s="2766">
        <f ca="1">IF(M49&gt;1000,M49*0.1%,IF(AND(M49&gt;500,M49&lt;=1000),M49*0.5%,IF(AND(M49&gt;50,M49&lt;=500),M49*1%,IF(AND(M49&gt;1,M49&lt;=50),M49*1.5%))))</f>
        <v>1.416</v>
      </c>
      <c r="M65" s="2130">
        <f ca="1" t="shared" si="1"/>
        <v>1.4</v>
      </c>
      <c r="N65" s="2301" t="s">
        <v>901</v>
      </c>
      <c r="Z65" s="2588"/>
      <c r="AI65" s="2589"/>
    </row>
    <row r="66" ht="14.25" customHeight="1" spans="1:35">
      <c r="A66" s="2415" t="s">
        <v>905</v>
      </c>
      <c r="B66" s="2416" t="s">
        <v>906</v>
      </c>
      <c r="C66" s="2440">
        <v>222.49</v>
      </c>
      <c r="D66" s="2416" t="s">
        <v>124</v>
      </c>
      <c r="E66" s="2441" t="s">
        <v>907</v>
      </c>
      <c r="F66" s="2742"/>
      <c r="G66" s="2742"/>
      <c r="H66" s="2743"/>
      <c r="I66" s="1416"/>
      <c r="J66" s="2766"/>
      <c r="K66" s="2766" t="s">
        <v>908</v>
      </c>
      <c r="L66" s="2766">
        <f ca="1">M49*0.5%</f>
        <v>7.08</v>
      </c>
      <c r="M66" s="2130">
        <f ca="1">IF(L66&gt;0.5,0.5,ROUND(L66,0))</f>
        <v>0.5</v>
      </c>
      <c r="N66" s="2301" t="s">
        <v>909</v>
      </c>
      <c r="Z66" s="2588"/>
      <c r="AI66" s="2589"/>
    </row>
    <row r="67" ht="14.25" customHeight="1" spans="1:35">
      <c r="A67" s="2415" t="s">
        <v>910</v>
      </c>
      <c r="B67" s="2416" t="s">
        <v>911</v>
      </c>
      <c r="C67" s="2417">
        <f ca="1">C63-C66</f>
        <v>532.51</v>
      </c>
      <c r="D67" s="968" t="s">
        <v>124</v>
      </c>
      <c r="E67" s="2438"/>
      <c r="F67" s="2742"/>
      <c r="G67" s="2742"/>
      <c r="H67" s="2743"/>
      <c r="I67" s="1416"/>
      <c r="J67" s="2766"/>
      <c r="K67" s="2766" t="s">
        <v>912</v>
      </c>
      <c r="L67" s="2766">
        <f ca="1">IF(M49&gt;=10000,(8.25+(M49-10000)*0.01%),IF(AND(M49&gt;=8000,M49&lt;10000),(7.85+(M49-8000)*0.02%),IF(AND(M49&gt;=5000,M49&lt;8000),(6.65+(M49-5000)*0.04%),IF(AND(M49&gt;=2000,M49&lt;5000),(4.25+(PM49-2000)*0.08%),IF(AND(M49&gt;=1000,M49&lt;2000),(2.75+(M49-1000)*0.15%),IF(AND(M49&gt;=100,M49&lt;1000),(0.5+(M49-100)*0.25%),IF(AND(M49&gt;0,M49&lt;100),M49*0.5%)))))))</f>
        <v>3.374</v>
      </c>
      <c r="M67" s="2130">
        <f ca="1">ROUND(L67*0.9,1)</f>
        <v>3</v>
      </c>
      <c r="N67" s="2767"/>
      <c r="Z67" s="2588"/>
      <c r="AI67" s="2589"/>
    </row>
    <row r="68" ht="14.25" customHeight="1" spans="1:35">
      <c r="A68" s="2429" t="s">
        <v>913</v>
      </c>
      <c r="B68" s="2430" t="s">
        <v>914</v>
      </c>
      <c r="C68" s="2442">
        <f ca="1">IF(C67&lt;=0,0,ROUND(C67*D68,0))</f>
        <v>29</v>
      </c>
      <c r="D68" s="1239">
        <f>'数据-取费表'!B41</f>
        <v>0.055</v>
      </c>
      <c r="E68" s="2443"/>
      <c r="F68" s="2742"/>
      <c r="G68" s="2742"/>
      <c r="H68" s="2743"/>
      <c r="I68" s="1416"/>
      <c r="J68" s="2766"/>
      <c r="K68" s="2766" t="s">
        <v>915</v>
      </c>
      <c r="L68" s="2766">
        <f ca="1">IF(M49&gt;10000,M49*0.5%,IF(AND(M49&gt;5000,M49&lt;=10000),M49*1%,IF(AND(M49&gt;1000,M49&lt;=5000),M49*2%,IF(AND(M49&gt;200,M49&lt;=1000),M49*3%,M49*5%))))</f>
        <v>28.32</v>
      </c>
      <c r="M68" s="2130">
        <f ca="1">ROUND(L68,1)</f>
        <v>28.3</v>
      </c>
      <c r="N68" s="2767"/>
      <c r="Z68" s="2588"/>
      <c r="AI68" s="2589"/>
    </row>
    <row r="69" s="2586" customFormat="1" ht="16.5" customHeight="1" spans="1:34">
      <c r="A69" s="2769"/>
      <c r="B69" s="2770"/>
      <c r="C69" s="2771"/>
      <c r="D69" s="1155"/>
      <c r="E69" s="2772"/>
      <c r="F69" s="2741"/>
      <c r="G69" s="2741"/>
      <c r="H69" s="2690"/>
      <c r="I69" s="2591"/>
      <c r="J69" s="2766"/>
      <c r="K69" s="2766" t="s">
        <v>916</v>
      </c>
      <c r="L69" s="2766"/>
      <c r="M69" s="2130">
        <f ca="1">ROUND(SUM(M63:M68),0)</f>
        <v>56</v>
      </c>
      <c r="N69" s="2845">
        <f ca="1">M69/M49</f>
        <v>0.0395480225988701</v>
      </c>
      <c r="O69" s="1372"/>
      <c r="P69" s="1372"/>
      <c r="Q69" s="1372"/>
      <c r="R69" s="1372"/>
      <c r="S69" s="1372"/>
      <c r="T69" s="1372"/>
      <c r="U69" s="1372"/>
      <c r="V69" s="1372"/>
      <c r="W69" s="1372"/>
      <c r="X69" s="1372"/>
      <c r="Y69" s="1372"/>
      <c r="Z69" s="2588"/>
      <c r="AA69" s="2588"/>
      <c r="AB69" s="2588"/>
      <c r="AC69" s="2588"/>
      <c r="AD69" s="2588"/>
      <c r="AE69" s="2588"/>
      <c r="AF69" s="2588"/>
      <c r="AG69" s="2588"/>
      <c r="AH69" s="2588"/>
    </row>
    <row r="70" s="2587" customFormat="1" ht="14.55" spans="1:35">
      <c r="A70" s="2773" t="s">
        <v>917</v>
      </c>
      <c r="B70" s="2774"/>
      <c r="C70" s="2774"/>
      <c r="D70" s="2774"/>
      <c r="E70" s="2774"/>
      <c r="F70" s="2774"/>
      <c r="G70" s="2774"/>
      <c r="H70" s="2774"/>
      <c r="I70" s="2846"/>
      <c r="J70" s="2847"/>
      <c r="K70" s="2847"/>
      <c r="L70" s="2847"/>
      <c r="M70" s="2847"/>
      <c r="N70" s="2848"/>
      <c r="O70" s="2848"/>
      <c r="P70" s="2848"/>
      <c r="Q70" s="2848"/>
      <c r="R70" s="2848"/>
      <c r="S70" s="2848"/>
      <c r="T70" s="2848"/>
      <c r="U70" s="2848"/>
      <c r="V70" s="2848"/>
      <c r="W70" s="2848"/>
      <c r="X70" s="2848"/>
      <c r="Y70" s="2848"/>
      <c r="Z70" s="2848"/>
      <c r="AA70" s="2855"/>
      <c r="AB70" s="2855"/>
      <c r="AC70" s="2855"/>
      <c r="AD70" s="2855"/>
      <c r="AE70" s="2855"/>
      <c r="AF70" s="2855"/>
      <c r="AG70" s="2855"/>
      <c r="AH70" s="2855"/>
      <c r="AI70" s="2855"/>
    </row>
    <row r="71" s="2587" customFormat="1" ht="13.8" spans="1:35">
      <c r="A71" s="2413" t="s">
        <v>892</v>
      </c>
      <c r="B71" s="985"/>
      <c r="C71" s="985"/>
      <c r="D71" s="985" t="s">
        <v>893</v>
      </c>
      <c r="E71" s="2414" t="s">
        <v>843</v>
      </c>
      <c r="F71" s="2456"/>
      <c r="G71" s="2456"/>
      <c r="H71" s="2457"/>
      <c r="I71" s="2849"/>
      <c r="J71" s="2847"/>
      <c r="K71" s="2847"/>
      <c r="L71" s="2847"/>
      <c r="M71" s="2847"/>
      <c r="N71" s="2848"/>
      <c r="O71" s="2848"/>
      <c r="P71" s="2848"/>
      <c r="Q71" s="2848"/>
      <c r="R71" s="2848"/>
      <c r="S71" s="2848"/>
      <c r="T71" s="2848"/>
      <c r="U71" s="2848"/>
      <c r="V71" s="2848"/>
      <c r="W71" s="2848"/>
      <c r="X71" s="2848"/>
      <c r="Y71" s="2848"/>
      <c r="Z71" s="2848"/>
      <c r="AA71" s="2855"/>
      <c r="AB71" s="2855"/>
      <c r="AC71" s="2855"/>
      <c r="AD71" s="2855"/>
      <c r="AE71" s="2855"/>
      <c r="AF71" s="2855"/>
      <c r="AG71" s="2855"/>
      <c r="AH71" s="2855"/>
      <c r="AI71" s="2855"/>
    </row>
    <row r="72" s="2587" customFormat="1" ht="13.8" spans="1:35">
      <c r="A72" s="2415" t="s">
        <v>894</v>
      </c>
      <c r="B72" s="2416" t="s">
        <v>918</v>
      </c>
      <c r="C72" s="2417">
        <f ca="1">ROUND(D45/(1+'数据-取费表'!C42),0)</f>
        <v>755</v>
      </c>
      <c r="D72" s="968" t="s">
        <v>124</v>
      </c>
      <c r="E72" s="2163"/>
      <c r="F72" s="2164"/>
      <c r="G72" s="2164"/>
      <c r="H72" s="2458"/>
      <c r="I72" s="2849"/>
      <c r="J72" s="2847"/>
      <c r="K72" s="2847"/>
      <c r="L72" s="2847"/>
      <c r="M72" s="2847"/>
      <c r="N72" s="2848"/>
      <c r="O72" s="2848"/>
      <c r="P72" s="2848"/>
      <c r="Q72" s="2848"/>
      <c r="R72" s="2848"/>
      <c r="S72" s="2848"/>
      <c r="T72" s="2848"/>
      <c r="U72" s="2848"/>
      <c r="V72" s="2848"/>
      <c r="W72" s="2848"/>
      <c r="X72" s="2848"/>
      <c r="Y72" s="2848"/>
      <c r="Z72" s="2848"/>
      <c r="AA72" s="2855"/>
      <c r="AB72" s="2855"/>
      <c r="AC72" s="2855"/>
      <c r="AD72" s="2855"/>
      <c r="AE72" s="2855"/>
      <c r="AF72" s="2855"/>
      <c r="AG72" s="2855"/>
      <c r="AH72" s="2855"/>
      <c r="AI72" s="2855"/>
    </row>
    <row r="73" s="2587" customFormat="1" ht="13.8" spans="1:35">
      <c r="A73" s="2415" t="s">
        <v>905</v>
      </c>
      <c r="B73" s="2418" t="s">
        <v>919</v>
      </c>
      <c r="C73" s="2417">
        <f ca="1">C74+C78</f>
        <v>366</v>
      </c>
      <c r="D73" s="968" t="s">
        <v>124</v>
      </c>
      <c r="E73" s="2163"/>
      <c r="F73" s="2164"/>
      <c r="G73" s="2164"/>
      <c r="H73" s="2458"/>
      <c r="I73" s="2849"/>
      <c r="J73" s="2848"/>
      <c r="K73" s="2848"/>
      <c r="L73" s="2848"/>
      <c r="M73" s="2848"/>
      <c r="N73" s="2848"/>
      <c r="O73" s="2848"/>
      <c r="P73" s="2848"/>
      <c r="Q73" s="2848"/>
      <c r="R73" s="2848"/>
      <c r="S73" s="2848"/>
      <c r="T73" s="2848"/>
      <c r="U73" s="2848"/>
      <c r="V73" s="2848"/>
      <c r="W73" s="2848"/>
      <c r="X73" s="2848"/>
      <c r="Y73" s="2848"/>
      <c r="Z73" s="2848"/>
      <c r="AA73" s="2855"/>
      <c r="AB73" s="2855"/>
      <c r="AC73" s="2855"/>
      <c r="AD73" s="2855"/>
      <c r="AE73" s="2855"/>
      <c r="AF73" s="2855"/>
      <c r="AG73" s="2855"/>
      <c r="AH73" s="2855"/>
      <c r="AI73" s="2855"/>
    </row>
    <row r="74" s="2587" customFormat="1" ht="24" spans="1:35">
      <c r="A74" s="2419" t="s">
        <v>898</v>
      </c>
      <c r="B74" s="968" t="s">
        <v>920</v>
      </c>
      <c r="C74" s="968">
        <f>ROUND(IF(G77="2016年5月1日后购买",C75/(1+'数据-取费表'!C42)+C76+C77,C75+C76+C77),0)</f>
        <v>362</v>
      </c>
      <c r="D74" s="968" t="s">
        <v>124</v>
      </c>
      <c r="E74" s="2163"/>
      <c r="F74" s="2164"/>
      <c r="G74" s="2164"/>
      <c r="H74" s="2458"/>
      <c r="I74" s="2849"/>
      <c r="J74" s="2848"/>
      <c r="K74" s="2848"/>
      <c r="L74" s="2848"/>
      <c r="M74" s="2848"/>
      <c r="N74" s="2848"/>
      <c r="O74" s="2848"/>
      <c r="P74" s="2848"/>
      <c r="Q74" s="2848"/>
      <c r="R74" s="2848"/>
      <c r="S74" s="2848"/>
      <c r="T74" s="2848"/>
      <c r="U74" s="2848"/>
      <c r="V74" s="2848"/>
      <c r="W74" s="2848"/>
      <c r="X74" s="2848"/>
      <c r="Y74" s="2848"/>
      <c r="Z74" s="2848"/>
      <c r="AA74" s="2855"/>
      <c r="AB74" s="2855"/>
      <c r="AC74" s="2855"/>
      <c r="AD74" s="2855"/>
      <c r="AE74" s="2855"/>
      <c r="AF74" s="2855"/>
      <c r="AG74" s="2855"/>
      <c r="AH74" s="2855"/>
      <c r="AI74" s="2855"/>
    </row>
    <row r="75" s="2587" customFormat="1" ht="28.8" spans="1:35">
      <c r="A75" s="2419" t="s">
        <v>921</v>
      </c>
      <c r="B75" s="968" t="s">
        <v>922</v>
      </c>
      <c r="C75" s="2420">
        <v>222.49</v>
      </c>
      <c r="D75" s="968" t="s">
        <v>124</v>
      </c>
      <c r="E75" s="2421" t="s">
        <v>923</v>
      </c>
      <c r="F75" s="2459" t="s">
        <v>924</v>
      </c>
      <c r="G75" s="2421" t="s">
        <v>925</v>
      </c>
      <c r="H75" s="2460">
        <v>12</v>
      </c>
      <c r="I75" s="1258"/>
      <c r="J75" s="2848"/>
      <c r="K75" s="2848"/>
      <c r="L75" s="2848"/>
      <c r="M75" s="2848"/>
      <c r="N75" s="2848"/>
      <c r="O75" s="2848"/>
      <c r="P75" s="2848"/>
      <c r="Q75" s="2848"/>
      <c r="R75" s="2848"/>
      <c r="S75" s="2848"/>
      <c r="T75" s="2848"/>
      <c r="U75" s="2848"/>
      <c r="V75" s="2848"/>
      <c r="W75" s="2848"/>
      <c r="X75" s="2848"/>
      <c r="Y75" s="2848"/>
      <c r="Z75" s="2848"/>
      <c r="AA75" s="2855"/>
      <c r="AB75" s="2855"/>
      <c r="AC75" s="2855"/>
      <c r="AD75" s="2855"/>
      <c r="AE75" s="2855"/>
      <c r="AF75" s="2855"/>
      <c r="AG75" s="2855"/>
      <c r="AH75" s="2855"/>
      <c r="AI75" s="2855"/>
    </row>
    <row r="76" s="2587" customFormat="1" ht="24.75" customHeight="1" spans="1:35">
      <c r="A76" s="2419" t="s">
        <v>926</v>
      </c>
      <c r="B76" s="2422" t="s">
        <v>927</v>
      </c>
      <c r="C76" s="968">
        <f>IF(F75="购房发票",ROUND(C75*H75*D76,0),0)</f>
        <v>133</v>
      </c>
      <c r="D76" s="2423">
        <v>0.05</v>
      </c>
      <c r="E76" s="2163" t="s">
        <v>928</v>
      </c>
      <c r="F76" s="2164"/>
      <c r="G76" s="2164"/>
      <c r="H76" s="2461"/>
      <c r="I76" s="2849"/>
      <c r="J76" s="2848"/>
      <c r="K76" s="2848"/>
      <c r="L76" s="2848"/>
      <c r="M76" s="2848"/>
      <c r="N76" s="2848"/>
      <c r="O76" s="2848"/>
      <c r="P76" s="2848"/>
      <c r="Q76" s="2848"/>
      <c r="R76" s="2848"/>
      <c r="S76" s="2848"/>
      <c r="T76" s="2848"/>
      <c r="U76" s="2848"/>
      <c r="V76" s="2848"/>
      <c r="W76" s="2848"/>
      <c r="X76" s="2848"/>
      <c r="Y76" s="2848"/>
      <c r="Z76" s="2848"/>
      <c r="AA76" s="2855"/>
      <c r="AB76" s="2855"/>
      <c r="AC76" s="2855"/>
      <c r="AD76" s="2855"/>
      <c r="AE76" s="2855"/>
      <c r="AF76" s="2855"/>
      <c r="AG76" s="2855"/>
      <c r="AH76" s="2855"/>
      <c r="AI76" s="2855"/>
    </row>
    <row r="77" s="2587" customFormat="1" ht="24.75" customHeight="1" spans="1:35">
      <c r="A77" s="2419" t="s">
        <v>929</v>
      </c>
      <c r="B77" s="968" t="s">
        <v>930</v>
      </c>
      <c r="C77" s="968">
        <f>ROUND(IF(G77="个人住宅",0,IF(G77="2016年5月1日前购买",C75*D77,C75*D77/(1+'数据-取费表'!C42))),0)</f>
        <v>7</v>
      </c>
      <c r="D77" s="2424">
        <f>'数据-取费表'!B48+'数据-取费表'!B49</f>
        <v>0.0305</v>
      </c>
      <c r="E77" s="2286" t="s">
        <v>931</v>
      </c>
      <c r="F77" s="2462"/>
      <c r="G77" s="2463" t="s">
        <v>932</v>
      </c>
      <c r="H77" s="2461" t="str">
        <f>IF(G77="个人买卖住房","免征印花税"," ")</f>
        <v/>
      </c>
      <c r="I77" s="2849"/>
      <c r="J77" s="2848"/>
      <c r="K77" s="2848"/>
      <c r="L77" s="2848"/>
      <c r="M77" s="2848"/>
      <c r="N77" s="2848"/>
      <c r="O77" s="2848"/>
      <c r="P77" s="2848"/>
      <c r="Q77" s="2848"/>
      <c r="R77" s="2848"/>
      <c r="S77" s="2848"/>
      <c r="T77" s="2848"/>
      <c r="U77" s="2848"/>
      <c r="V77" s="2848"/>
      <c r="W77" s="2848"/>
      <c r="X77" s="2848"/>
      <c r="Y77" s="2848"/>
      <c r="Z77" s="2848"/>
      <c r="AA77" s="2855"/>
      <c r="AB77" s="2855"/>
      <c r="AC77" s="2855"/>
      <c r="AD77" s="2855"/>
      <c r="AE77" s="2855"/>
      <c r="AF77" s="2855"/>
      <c r="AG77" s="2855"/>
      <c r="AH77" s="2855"/>
      <c r="AI77" s="2855"/>
    </row>
    <row r="78" s="2587" customFormat="1" ht="24.75" customHeight="1" spans="1:35">
      <c r="A78" s="2419" t="s">
        <v>902</v>
      </c>
      <c r="B78" s="968" t="s">
        <v>933</v>
      </c>
      <c r="C78" s="2425">
        <f ca="1">ROUND(D45*D78/(1+'数据-取费表'!C42),0)</f>
        <v>4</v>
      </c>
      <c r="D78" s="2426">
        <f>'数据-取费表'!B43</f>
        <v>0.005</v>
      </c>
      <c r="E78" s="2427" t="s">
        <v>934</v>
      </c>
      <c r="F78" s="2464"/>
      <c r="G78" s="2464"/>
      <c r="H78" s="2465"/>
      <c r="I78" s="2850"/>
      <c r="J78" s="2848"/>
      <c r="K78" s="2848"/>
      <c r="L78" s="2848"/>
      <c r="M78" s="2848"/>
      <c r="N78" s="2848"/>
      <c r="O78" s="2848"/>
      <c r="P78" s="2848"/>
      <c r="Q78" s="2848"/>
      <c r="R78" s="2848"/>
      <c r="S78" s="2848"/>
      <c r="T78" s="2848"/>
      <c r="U78" s="2848"/>
      <c r="V78" s="2848"/>
      <c r="W78" s="2848"/>
      <c r="X78" s="2848"/>
      <c r="Y78" s="2848"/>
      <c r="Z78" s="2848"/>
      <c r="AA78" s="2855"/>
      <c r="AB78" s="2855"/>
      <c r="AC78" s="2855"/>
      <c r="AD78" s="2855"/>
      <c r="AE78" s="2855"/>
      <c r="AF78" s="2855"/>
      <c r="AG78" s="2855"/>
      <c r="AH78" s="2855"/>
      <c r="AI78" s="2855"/>
    </row>
    <row r="79" s="2587" customFormat="1" ht="13.8" spans="1:35">
      <c r="A79" s="2415" t="s">
        <v>910</v>
      </c>
      <c r="B79" s="2416" t="s">
        <v>935</v>
      </c>
      <c r="C79" s="2417">
        <f ca="1">C72-C73</f>
        <v>389</v>
      </c>
      <c r="D79" s="968" t="s">
        <v>124</v>
      </c>
      <c r="E79" s="2163"/>
      <c r="F79" s="2164"/>
      <c r="G79" s="2164"/>
      <c r="H79" s="2458"/>
      <c r="I79" s="2849"/>
      <c r="J79" s="2848"/>
      <c r="K79" s="2848"/>
      <c r="L79" s="2848"/>
      <c r="M79" s="2848"/>
      <c r="N79" s="2848"/>
      <c r="O79" s="2848"/>
      <c r="P79" s="2848"/>
      <c r="Q79" s="2848"/>
      <c r="R79" s="2848"/>
      <c r="S79" s="2848"/>
      <c r="T79" s="2848"/>
      <c r="U79" s="2848"/>
      <c r="V79" s="2848"/>
      <c r="W79" s="2848"/>
      <c r="X79" s="2848"/>
      <c r="Y79" s="2848"/>
      <c r="Z79" s="2848"/>
      <c r="AA79" s="2855"/>
      <c r="AB79" s="2855"/>
      <c r="AC79" s="2855"/>
      <c r="AD79" s="2855"/>
      <c r="AE79" s="2855"/>
      <c r="AF79" s="2855"/>
      <c r="AG79" s="2855"/>
      <c r="AH79" s="2855"/>
      <c r="AI79" s="2855"/>
    </row>
    <row r="80" s="2587" customFormat="1" ht="24" spans="1:35">
      <c r="A80" s="2415" t="s">
        <v>913</v>
      </c>
      <c r="B80" s="2416" t="s">
        <v>936</v>
      </c>
      <c r="C80" s="2428">
        <f ca="1">IF(C79&lt;=0,0,C79/C73)</f>
        <v>1.06284153005464</v>
      </c>
      <c r="D80" s="968" t="s">
        <v>124</v>
      </c>
      <c r="E80" s="2286"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164"/>
      <c r="G80" s="2164"/>
      <c r="H80" s="2458"/>
      <c r="I80" s="2849"/>
      <c r="J80" s="2848"/>
      <c r="K80" s="2848"/>
      <c r="L80" s="2848"/>
      <c r="M80" s="2848"/>
      <c r="N80" s="2848"/>
      <c r="O80" s="2848"/>
      <c r="P80" s="2848"/>
      <c r="Q80" s="2848"/>
      <c r="R80" s="2848"/>
      <c r="S80" s="2848"/>
      <c r="T80" s="2848"/>
      <c r="U80" s="2848"/>
      <c r="V80" s="2848"/>
      <c r="W80" s="2848"/>
      <c r="X80" s="2848"/>
      <c r="Y80" s="2848"/>
      <c r="Z80" s="2848"/>
      <c r="AA80" s="2855"/>
      <c r="AB80" s="2855"/>
      <c r="AC80" s="2855"/>
      <c r="AD80" s="2855"/>
      <c r="AE80" s="2855"/>
      <c r="AF80" s="2855"/>
      <c r="AG80" s="2855"/>
      <c r="AH80" s="2855"/>
      <c r="AI80" s="2855"/>
    </row>
    <row r="81" s="2587" customFormat="1" ht="24.75" spans="1:35">
      <c r="A81" s="2429" t="s">
        <v>937</v>
      </c>
      <c r="B81" s="2430" t="s">
        <v>938</v>
      </c>
      <c r="C81" s="2431">
        <f ca="1">ROUND(IF(C79&lt;=0,0,IF(C80&gt;=200%,C79*60%-C73*35%,IF(C80&gt;=100%,C79*50%-C73*15%,IF(C80&gt;=50%,C79*40%-C73*5%,IF(C80&lt;50%,C79*30%,0))))),0)</f>
        <v>140</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66"/>
      <c r="G81" s="2466"/>
      <c r="H81" s="2467"/>
      <c r="I81" s="2849"/>
      <c r="J81" s="2848"/>
      <c r="K81" s="2848"/>
      <c r="L81" s="2848"/>
      <c r="M81" s="2848"/>
      <c r="N81" s="2848"/>
      <c r="O81" s="2848"/>
      <c r="P81" s="2848"/>
      <c r="Q81" s="2848"/>
      <c r="R81" s="2848"/>
      <c r="S81" s="2848"/>
      <c r="T81" s="2848"/>
      <c r="U81" s="2848"/>
      <c r="V81" s="2848"/>
      <c r="W81" s="2848"/>
      <c r="X81" s="2848"/>
      <c r="Y81" s="2848"/>
      <c r="Z81" s="2848"/>
      <c r="AA81" s="2855"/>
      <c r="AB81" s="2855"/>
      <c r="AC81" s="2855"/>
      <c r="AD81" s="2855"/>
      <c r="AE81" s="2855"/>
      <c r="AF81" s="2855"/>
      <c r="AG81" s="2855"/>
      <c r="AH81" s="2855"/>
      <c r="AI81" s="2855"/>
    </row>
    <row r="82" s="2587" customFormat="1" ht="7.5" customHeight="1" spans="1:35">
      <c r="A82" s="2775"/>
      <c r="B82" s="2776"/>
      <c r="C82" s="1139"/>
      <c r="D82" s="1139"/>
      <c r="E82" s="2776"/>
      <c r="F82" s="2776"/>
      <c r="G82" s="2776"/>
      <c r="H82" s="2777"/>
      <c r="I82" s="2850"/>
      <c r="J82" s="2848"/>
      <c r="K82" s="2848"/>
      <c r="L82" s="2848"/>
      <c r="M82" s="2848"/>
      <c r="N82" s="2848"/>
      <c r="O82" s="2848"/>
      <c r="P82" s="2848"/>
      <c r="Q82" s="2848"/>
      <c r="R82" s="2848"/>
      <c r="S82" s="2848"/>
      <c r="T82" s="2848"/>
      <c r="U82" s="2848"/>
      <c r="V82" s="2848"/>
      <c r="W82" s="2848"/>
      <c r="X82" s="2848"/>
      <c r="Y82" s="2848"/>
      <c r="Z82" s="2848"/>
      <c r="AA82" s="2855"/>
      <c r="AB82" s="2855"/>
      <c r="AC82" s="2855"/>
      <c r="AD82" s="2855"/>
      <c r="AE82" s="2855"/>
      <c r="AF82" s="2855"/>
      <c r="AG82" s="2855"/>
      <c r="AH82" s="2855"/>
      <c r="AI82" s="2855"/>
    </row>
    <row r="83" s="2587" customFormat="1" ht="14.55" spans="1:35">
      <c r="A83" s="2773" t="s">
        <v>939</v>
      </c>
      <c r="B83" s="2774"/>
      <c r="C83" s="2774"/>
      <c r="D83" s="2774"/>
      <c r="E83" s="2774"/>
      <c r="F83" s="2774"/>
      <c r="G83" s="2774"/>
      <c r="H83" s="2774"/>
      <c r="I83" s="1258"/>
      <c r="J83" s="2848"/>
      <c r="K83" s="2848"/>
      <c r="L83" s="2848"/>
      <c r="M83" s="2848"/>
      <c r="N83" s="2848"/>
      <c r="O83" s="2848"/>
      <c r="P83" s="2848"/>
      <c r="Q83" s="2848"/>
      <c r="R83" s="2848"/>
      <c r="S83" s="2848"/>
      <c r="T83" s="2848"/>
      <c r="U83" s="2848"/>
      <c r="V83" s="2848"/>
      <c r="W83" s="2848"/>
      <c r="X83" s="2848"/>
      <c r="Y83" s="2848"/>
      <c r="Z83" s="2848"/>
      <c r="AA83" s="2855"/>
      <c r="AB83" s="2855"/>
      <c r="AC83" s="2855"/>
      <c r="AD83" s="2855"/>
      <c r="AE83" s="2855"/>
      <c r="AF83" s="2855"/>
      <c r="AG83" s="2855"/>
      <c r="AH83" s="2855"/>
      <c r="AI83" s="2855"/>
    </row>
    <row r="84" s="2587" customFormat="1" ht="13.8" spans="1:35">
      <c r="A84" s="2413" t="s">
        <v>892</v>
      </c>
      <c r="B84" s="985"/>
      <c r="C84" s="985"/>
      <c r="D84" s="985" t="s">
        <v>893</v>
      </c>
      <c r="E84" s="2414" t="s">
        <v>843</v>
      </c>
      <c r="F84" s="2456"/>
      <c r="G84" s="2456"/>
      <c r="H84" s="2778"/>
      <c r="I84" s="1258"/>
      <c r="J84" s="2848"/>
      <c r="K84" s="2848"/>
      <c r="L84" s="2848"/>
      <c r="M84" s="2848"/>
      <c r="N84" s="2848"/>
      <c r="O84" s="2848"/>
      <c r="P84" s="2848"/>
      <c r="Q84" s="2848"/>
      <c r="R84" s="2848"/>
      <c r="S84" s="2848"/>
      <c r="T84" s="2848"/>
      <c r="U84" s="2848"/>
      <c r="V84" s="2848"/>
      <c r="W84" s="2848"/>
      <c r="X84" s="2848"/>
      <c r="Y84" s="2848"/>
      <c r="Z84" s="2848"/>
      <c r="AA84" s="2855"/>
      <c r="AB84" s="2855"/>
      <c r="AC84" s="2855"/>
      <c r="AD84" s="2855"/>
      <c r="AE84" s="2855"/>
      <c r="AF84" s="2855"/>
      <c r="AG84" s="2855"/>
      <c r="AH84" s="2855"/>
      <c r="AI84" s="2855"/>
    </row>
    <row r="85" s="2587" customFormat="1" ht="13.8" spans="1:35">
      <c r="A85" s="2415" t="s">
        <v>894</v>
      </c>
      <c r="B85" s="2416" t="s">
        <v>918</v>
      </c>
      <c r="C85" s="2417">
        <f ca="1">ROUND(D45/(1+'数据-取费表'!C42),0)</f>
        <v>755</v>
      </c>
      <c r="D85" s="968" t="s">
        <v>124</v>
      </c>
      <c r="E85" s="2163"/>
      <c r="F85" s="2164"/>
      <c r="G85" s="2164"/>
      <c r="H85" s="2779"/>
      <c r="I85" s="1258"/>
      <c r="J85" s="2848"/>
      <c r="K85" s="2848"/>
      <c r="L85" s="2848"/>
      <c r="M85" s="2848"/>
      <c r="N85" s="2848"/>
      <c r="O85" s="2848"/>
      <c r="P85" s="2848"/>
      <c r="Q85" s="2848"/>
      <c r="R85" s="2848"/>
      <c r="S85" s="2848"/>
      <c r="T85" s="2848"/>
      <c r="U85" s="2848"/>
      <c r="V85" s="2848"/>
      <c r="W85" s="2848"/>
      <c r="X85" s="2848"/>
      <c r="Y85" s="2848"/>
      <c r="Z85" s="2848"/>
      <c r="AA85" s="2855"/>
      <c r="AB85" s="2855"/>
      <c r="AC85" s="2855"/>
      <c r="AD85" s="2855"/>
      <c r="AE85" s="2855"/>
      <c r="AF85" s="2855"/>
      <c r="AG85" s="2855"/>
      <c r="AH85" s="2855"/>
      <c r="AI85" s="2855"/>
    </row>
    <row r="86" s="2587" customFormat="1" ht="13.8" spans="1:35">
      <c r="A86" s="2415" t="s">
        <v>905</v>
      </c>
      <c r="B86" s="2418" t="s">
        <v>919</v>
      </c>
      <c r="C86" s="2417">
        <f ca="1">IF(H88="仅含出让金",C87+C90+C91+C92+C93+C94,C87+C91+C92+C93+C94)</f>
        <v>4</v>
      </c>
      <c r="D86" s="2780"/>
      <c r="E86" s="2163"/>
      <c r="F86" s="2164"/>
      <c r="G86" s="2164"/>
      <c r="H86" s="2779"/>
      <c r="I86" s="1258"/>
      <c r="J86" s="2848"/>
      <c r="K86" s="2848"/>
      <c r="L86" s="2848"/>
      <c r="M86" s="2848"/>
      <c r="N86" s="2848"/>
      <c r="O86" s="2848"/>
      <c r="P86" s="2848"/>
      <c r="Q86" s="2848"/>
      <c r="R86" s="2848"/>
      <c r="S86" s="2848"/>
      <c r="T86" s="2848"/>
      <c r="U86" s="2848"/>
      <c r="V86" s="2848"/>
      <c r="W86" s="2848"/>
      <c r="X86" s="2848"/>
      <c r="Y86" s="2848"/>
      <c r="Z86" s="2848"/>
      <c r="AA86" s="2855"/>
      <c r="AB86" s="2855"/>
      <c r="AC86" s="2855"/>
      <c r="AD86" s="2855"/>
      <c r="AE86" s="2855"/>
      <c r="AF86" s="2855"/>
      <c r="AG86" s="2855"/>
      <c r="AH86" s="2855"/>
      <c r="AI86" s="2855"/>
    </row>
    <row r="87" s="2587" customFormat="1" ht="13.8" spans="1:35">
      <c r="A87" s="2419" t="s">
        <v>898</v>
      </c>
      <c r="B87" s="968" t="s">
        <v>940</v>
      </c>
      <c r="C87" s="2425">
        <f>C88+C89</f>
        <v>0</v>
      </c>
      <c r="D87" s="2426"/>
      <c r="E87" s="2427"/>
      <c r="F87" s="2464"/>
      <c r="G87" s="2464"/>
      <c r="H87" s="2465"/>
      <c r="I87" s="1258"/>
      <c r="J87" s="2848"/>
      <c r="K87" s="2848"/>
      <c r="L87" s="2848"/>
      <c r="M87" s="2848"/>
      <c r="N87" s="2848"/>
      <c r="O87" s="2848"/>
      <c r="P87" s="2848"/>
      <c r="Q87" s="2848"/>
      <c r="R87" s="2848"/>
      <c r="S87" s="2848"/>
      <c r="T87" s="2848"/>
      <c r="U87" s="2848"/>
      <c r="V87" s="2848"/>
      <c r="W87" s="2848"/>
      <c r="X87" s="2848"/>
      <c r="Y87" s="2848"/>
      <c r="Z87" s="2848"/>
      <c r="AA87" s="2855"/>
      <c r="AB87" s="2855"/>
      <c r="AC87" s="2855"/>
      <c r="AD87" s="2855"/>
      <c r="AE87" s="2855"/>
      <c r="AF87" s="2855"/>
      <c r="AG87" s="2855"/>
      <c r="AH87" s="2855"/>
      <c r="AI87" s="2855"/>
    </row>
    <row r="88" s="2587" customFormat="1" ht="14.4" spans="1:35">
      <c r="A88" s="2419" t="s">
        <v>921</v>
      </c>
      <c r="B88" s="968" t="s">
        <v>941</v>
      </c>
      <c r="C88" s="2781"/>
      <c r="D88" s="2426"/>
      <c r="E88" s="2782" t="s">
        <v>942</v>
      </c>
      <c r="F88" s="2464"/>
      <c r="G88" s="2783" t="s">
        <v>943</v>
      </c>
      <c r="H88" s="2784"/>
      <c r="I88" s="1258"/>
      <c r="J88" s="2851" t="s">
        <v>944</v>
      </c>
      <c r="K88" s="2848"/>
      <c r="L88" s="2848"/>
      <c r="M88" s="2848"/>
      <c r="N88" s="2848"/>
      <c r="O88" s="2848"/>
      <c r="P88" s="2848"/>
      <c r="Q88" s="2848"/>
      <c r="R88" s="2848"/>
      <c r="S88" s="2848"/>
      <c r="T88" s="2848"/>
      <c r="U88" s="2848"/>
      <c r="V88" s="2848"/>
      <c r="W88" s="2848"/>
      <c r="X88" s="2848"/>
      <c r="Y88" s="2848"/>
      <c r="Z88" s="2848"/>
      <c r="AA88" s="2855"/>
      <c r="AB88" s="2855"/>
      <c r="AC88" s="2855"/>
      <c r="AD88" s="2855"/>
      <c r="AE88" s="2855"/>
      <c r="AF88" s="2855"/>
      <c r="AG88" s="2855"/>
      <c r="AH88" s="2855"/>
      <c r="AI88" s="2855"/>
    </row>
    <row r="89" s="2587" customFormat="1" ht="13.8" spans="1:35">
      <c r="A89" s="2419" t="s">
        <v>926</v>
      </c>
      <c r="B89" s="968" t="s">
        <v>930</v>
      </c>
      <c r="C89" s="2425">
        <f>ROUND(C88*D89,0)</f>
        <v>0</v>
      </c>
      <c r="D89" s="2426">
        <f>'数据-取费表'!B48+'数据-取费表'!B49</f>
        <v>0.0305</v>
      </c>
      <c r="E89" s="2782" t="s">
        <v>945</v>
      </c>
      <c r="F89" s="2464"/>
      <c r="G89" s="2464"/>
      <c r="H89" s="2465"/>
      <c r="I89" s="1258"/>
      <c r="J89" s="2848"/>
      <c r="K89" s="2848"/>
      <c r="L89" s="2848"/>
      <c r="M89" s="2848"/>
      <c r="N89" s="2848"/>
      <c r="O89" s="2848"/>
      <c r="P89" s="2848"/>
      <c r="Q89" s="2848"/>
      <c r="R89" s="2848"/>
      <c r="S89" s="2848"/>
      <c r="T89" s="2848"/>
      <c r="U89" s="2848"/>
      <c r="V89" s="2848"/>
      <c r="W89" s="2848"/>
      <c r="X89" s="2848"/>
      <c r="Y89" s="2848"/>
      <c r="Z89" s="2848"/>
      <c r="AA89" s="2855"/>
      <c r="AB89" s="2855"/>
      <c r="AC89" s="2855"/>
      <c r="AD89" s="2855"/>
      <c r="AE89" s="2855"/>
      <c r="AF89" s="2855"/>
      <c r="AG89" s="2855"/>
      <c r="AH89" s="2855"/>
      <c r="AI89" s="2855"/>
    </row>
    <row r="90" s="2587" customFormat="1" ht="14.4" spans="1:35">
      <c r="A90" s="2419" t="s">
        <v>902</v>
      </c>
      <c r="B90" s="968" t="s">
        <v>946</v>
      </c>
      <c r="C90" s="2781"/>
      <c r="D90" s="2426"/>
      <c r="E90" s="2782" t="str">
        <f>IF(H88="-","土地取得成本中已包含该笔费用"," ")</f>
        <v/>
      </c>
      <c r="F90" s="2464"/>
      <c r="G90" s="2785" t="s">
        <v>947</v>
      </c>
      <c r="H90" s="2786"/>
      <c r="I90" s="1258"/>
      <c r="J90" s="2851" t="s">
        <v>948</v>
      </c>
      <c r="K90" s="2848"/>
      <c r="L90" s="2848"/>
      <c r="M90" s="2848"/>
      <c r="N90" s="2848"/>
      <c r="O90" s="2848"/>
      <c r="P90" s="2848"/>
      <c r="Q90" s="2848"/>
      <c r="R90" s="2848"/>
      <c r="S90" s="2848"/>
      <c r="T90" s="2848"/>
      <c r="U90" s="2848"/>
      <c r="V90" s="2848"/>
      <c r="W90" s="2848"/>
      <c r="X90" s="2848"/>
      <c r="Y90" s="2848"/>
      <c r="Z90" s="2848"/>
      <c r="AA90" s="2855"/>
      <c r="AB90" s="2855"/>
      <c r="AC90" s="2855"/>
      <c r="AD90" s="2855"/>
      <c r="AE90" s="2855"/>
      <c r="AF90" s="2855"/>
      <c r="AG90" s="2855"/>
      <c r="AH90" s="2855"/>
      <c r="AI90" s="2855"/>
    </row>
    <row r="91" s="2587" customFormat="1" ht="27.75" customHeight="1" spans="1:35">
      <c r="A91" s="2419" t="s">
        <v>949</v>
      </c>
      <c r="B91" s="968" t="s">
        <v>950</v>
      </c>
      <c r="C91" s="2425">
        <f ca="1">IF(H91="——",成本法!C33,I91)</f>
        <v>0</v>
      </c>
      <c r="D91" s="2426"/>
      <c r="E91" s="2427" t="s">
        <v>951</v>
      </c>
      <c r="F91" s="2464"/>
      <c r="G91" s="2464"/>
      <c r="H91" s="2787"/>
      <c r="I91" s="2852"/>
      <c r="J91" s="2848"/>
      <c r="K91" s="2848"/>
      <c r="L91" s="2848"/>
      <c r="M91" s="2848"/>
      <c r="N91" s="2848"/>
      <c r="O91" s="2848"/>
      <c r="P91" s="2848"/>
      <c r="Q91" s="2848"/>
      <c r="R91" s="2848"/>
      <c r="S91" s="2848"/>
      <c r="T91" s="2848"/>
      <c r="U91" s="2848"/>
      <c r="V91" s="2848"/>
      <c r="W91" s="2848"/>
      <c r="X91" s="2848"/>
      <c r="Y91" s="2848"/>
      <c r="Z91" s="2848"/>
      <c r="AA91" s="2855"/>
      <c r="AB91" s="2855"/>
      <c r="AC91" s="2855"/>
      <c r="AD91" s="2855"/>
      <c r="AE91" s="2855"/>
      <c r="AF91" s="2855"/>
      <c r="AG91" s="2855"/>
      <c r="AH91" s="2855"/>
      <c r="AI91" s="2855"/>
    </row>
    <row r="92" s="2587" customFormat="1" ht="25.5" customHeight="1" spans="1:35">
      <c r="A92" s="2419" t="s">
        <v>952</v>
      </c>
      <c r="B92" s="968" t="s">
        <v>953</v>
      </c>
      <c r="C92" s="2425">
        <f ca="1">ROUND((C87+C90+C91)*D92,0)</f>
        <v>0</v>
      </c>
      <c r="D92" s="2788"/>
      <c r="E92" s="2427" t="s">
        <v>954</v>
      </c>
      <c r="F92" s="2464"/>
      <c r="G92" s="2464"/>
      <c r="H92" s="2465"/>
      <c r="I92" s="1258"/>
      <c r="J92" s="2853" t="s">
        <v>955</v>
      </c>
      <c r="K92" s="2848"/>
      <c r="L92" s="2848"/>
      <c r="M92" s="2848"/>
      <c r="N92" s="2848"/>
      <c r="O92" s="2848"/>
      <c r="P92" s="2848"/>
      <c r="Q92" s="2848"/>
      <c r="R92" s="2848"/>
      <c r="S92" s="2848"/>
      <c r="T92" s="2848"/>
      <c r="U92" s="2848"/>
      <c r="V92" s="2848"/>
      <c r="W92" s="2848"/>
      <c r="X92" s="2848"/>
      <c r="Y92" s="2848"/>
      <c r="Z92" s="2848"/>
      <c r="AA92" s="2855"/>
      <c r="AB92" s="2855"/>
      <c r="AC92" s="2855"/>
      <c r="AD92" s="2855"/>
      <c r="AE92" s="2855"/>
      <c r="AF92" s="2855"/>
      <c r="AG92" s="2855"/>
      <c r="AH92" s="2855"/>
      <c r="AI92" s="2855"/>
    </row>
    <row r="93" s="2587" customFormat="1" ht="25.5" customHeight="1" spans="1:35">
      <c r="A93" s="2419" t="s">
        <v>956</v>
      </c>
      <c r="B93" s="968" t="s">
        <v>933</v>
      </c>
      <c r="C93" s="2425">
        <f ca="1">ROUND(D45*D93/(1+'数据-取费表'!C42),0)</f>
        <v>4</v>
      </c>
      <c r="D93" s="2426">
        <f>'数据-取费表'!B43</f>
        <v>0.005</v>
      </c>
      <c r="E93" s="2427" t="s">
        <v>934</v>
      </c>
      <c r="F93" s="2464"/>
      <c r="G93" s="2464"/>
      <c r="H93" s="2465"/>
      <c r="I93" s="1258"/>
      <c r="J93" s="2848"/>
      <c r="K93" s="2848"/>
      <c r="L93" s="2848"/>
      <c r="M93" s="2848"/>
      <c r="N93" s="2848"/>
      <c r="O93" s="2848"/>
      <c r="P93" s="2848"/>
      <c r="Q93" s="2848"/>
      <c r="R93" s="2848"/>
      <c r="S93" s="2848"/>
      <c r="T93" s="2848"/>
      <c r="U93" s="2848"/>
      <c r="V93" s="2848"/>
      <c r="W93" s="2848"/>
      <c r="X93" s="2848"/>
      <c r="Y93" s="2848"/>
      <c r="Z93" s="2848"/>
      <c r="AA93" s="2855"/>
      <c r="AB93" s="2855"/>
      <c r="AC93" s="2855"/>
      <c r="AD93" s="2855"/>
      <c r="AE93" s="2855"/>
      <c r="AF93" s="2855"/>
      <c r="AG93" s="2855"/>
      <c r="AH93" s="2855"/>
      <c r="AI93" s="2855"/>
    </row>
    <row r="94" s="2587" customFormat="1" ht="36.75" customHeight="1" spans="1:35">
      <c r="A94" s="2419" t="s">
        <v>957</v>
      </c>
      <c r="B94" s="968" t="s">
        <v>958</v>
      </c>
      <c r="C94" s="2781">
        <f ca="1">ROUND((C87+C90+C91)*D94,0)</f>
        <v>0</v>
      </c>
      <c r="D94" s="2426">
        <v>0.2</v>
      </c>
      <c r="E94" s="2789" t="s">
        <v>959</v>
      </c>
      <c r="F94" s="2790"/>
      <c r="G94" s="2790"/>
      <c r="H94" s="2791"/>
      <c r="I94" s="1258"/>
      <c r="J94" s="2848"/>
      <c r="K94" s="2848"/>
      <c r="L94" s="2848"/>
      <c r="M94" s="2848"/>
      <c r="N94" s="2848"/>
      <c r="O94" s="2848"/>
      <c r="P94" s="2848"/>
      <c r="Q94" s="2848"/>
      <c r="R94" s="2848"/>
      <c r="S94" s="2848"/>
      <c r="T94" s="2848"/>
      <c r="U94" s="2848"/>
      <c r="V94" s="2848"/>
      <c r="W94" s="2848"/>
      <c r="X94" s="2848"/>
      <c r="Y94" s="2848"/>
      <c r="Z94" s="2848"/>
      <c r="AA94" s="2855"/>
      <c r="AB94" s="2855"/>
      <c r="AC94" s="2855"/>
      <c r="AD94" s="2855"/>
      <c r="AE94" s="2855"/>
      <c r="AF94" s="2855"/>
      <c r="AG94" s="2855"/>
      <c r="AH94" s="2855"/>
      <c r="AI94" s="2855"/>
    </row>
    <row r="95" s="2587" customFormat="1" ht="13.8" spans="1:35">
      <c r="A95" s="2415" t="s">
        <v>910</v>
      </c>
      <c r="B95" s="2416" t="s">
        <v>935</v>
      </c>
      <c r="C95" s="2417">
        <f ca="1">ROUND(C85-C86,0)</f>
        <v>751</v>
      </c>
      <c r="D95" s="968" t="s">
        <v>124</v>
      </c>
      <c r="E95" s="2163"/>
      <c r="F95" s="2164"/>
      <c r="G95" s="2164"/>
      <c r="H95" s="2779"/>
      <c r="I95" s="1258"/>
      <c r="J95" s="2848"/>
      <c r="K95" s="2848"/>
      <c r="L95" s="2848"/>
      <c r="M95" s="2848"/>
      <c r="N95" s="2848"/>
      <c r="O95" s="2848"/>
      <c r="P95" s="2848"/>
      <c r="Q95" s="2848"/>
      <c r="R95" s="2848"/>
      <c r="S95" s="2848"/>
      <c r="T95" s="2848"/>
      <c r="U95" s="2848"/>
      <c r="V95" s="2848"/>
      <c r="W95" s="2848"/>
      <c r="X95" s="2848"/>
      <c r="Y95" s="2848"/>
      <c r="Z95" s="2848"/>
      <c r="AA95" s="2855"/>
      <c r="AB95" s="2855"/>
      <c r="AC95" s="2855"/>
      <c r="AD95" s="2855"/>
      <c r="AE95" s="2855"/>
      <c r="AF95" s="2855"/>
      <c r="AG95" s="2855"/>
      <c r="AH95" s="2855"/>
      <c r="AI95" s="2855"/>
    </row>
    <row r="96" s="2587" customFormat="1" ht="24" spans="1:35">
      <c r="A96" s="2415" t="s">
        <v>913</v>
      </c>
      <c r="B96" s="2416" t="s">
        <v>936</v>
      </c>
      <c r="C96" s="2428">
        <f ca="1">IF(C95&lt;=0,0,C95/C86)</f>
        <v>187.75</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9"/>
      <c r="I96" s="1258"/>
      <c r="J96" s="2848"/>
      <c r="K96" s="2848"/>
      <c r="L96" s="2848"/>
      <c r="M96" s="2848"/>
      <c r="N96" s="2848"/>
      <c r="O96" s="2848"/>
      <c r="P96" s="2848"/>
      <c r="Q96" s="2848"/>
      <c r="R96" s="2848"/>
      <c r="S96" s="2848"/>
      <c r="T96" s="2848"/>
      <c r="U96" s="2848"/>
      <c r="V96" s="2848"/>
      <c r="W96" s="2848"/>
      <c r="X96" s="2848"/>
      <c r="Y96" s="2848"/>
      <c r="Z96" s="2848"/>
      <c r="AA96" s="2855"/>
      <c r="AB96" s="2855"/>
      <c r="AC96" s="2855"/>
      <c r="AD96" s="2855"/>
      <c r="AE96" s="2855"/>
      <c r="AF96" s="2855"/>
      <c r="AG96" s="2855"/>
      <c r="AH96" s="2855"/>
      <c r="AI96" s="2855"/>
    </row>
    <row r="97" s="2587" customFormat="1" ht="24.75" spans="1:35">
      <c r="A97" s="2429" t="s">
        <v>937</v>
      </c>
      <c r="B97" s="2430" t="s">
        <v>938</v>
      </c>
      <c r="C97" s="2431">
        <f ca="1">ROUND(IF(C95&lt;=0,0,IF(C96&gt;=200%,C95*60%-C86*35%,IF(C96&gt;=100%,C95*50%-C86*15%,IF(C96&gt;=50%,C95*40%-C86*5%,IF(C96&lt;50%,C95*30%,0))))),0)</f>
        <v>449</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6"/>
      <c r="G97" s="2466"/>
      <c r="H97" s="2792"/>
      <c r="I97" s="1258"/>
      <c r="J97" s="2848"/>
      <c r="K97" s="2848"/>
      <c r="L97" s="2848"/>
      <c r="M97" s="2848"/>
      <c r="N97" s="2848"/>
      <c r="O97" s="2848"/>
      <c r="P97" s="2848"/>
      <c r="Q97" s="2848"/>
      <c r="R97" s="2848"/>
      <c r="S97" s="2848"/>
      <c r="T97" s="2848"/>
      <c r="U97" s="2848"/>
      <c r="V97" s="2848"/>
      <c r="W97" s="2848"/>
      <c r="X97" s="2848"/>
      <c r="Y97" s="2848"/>
      <c r="Z97" s="2848"/>
      <c r="AA97" s="2855"/>
      <c r="AB97" s="2855"/>
      <c r="AC97" s="2855"/>
      <c r="AD97" s="2855"/>
      <c r="AE97" s="2855"/>
      <c r="AF97" s="2855"/>
      <c r="AG97" s="2855"/>
      <c r="AH97" s="2855"/>
      <c r="AI97" s="2855"/>
    </row>
    <row r="98" customHeight="1" spans="1:9">
      <c r="A98" s="2740"/>
      <c r="B98" s="2591"/>
      <c r="C98" s="2591"/>
      <c r="D98" s="2591"/>
      <c r="E98" s="2741"/>
      <c r="F98" s="2741"/>
      <c r="G98" s="2741"/>
      <c r="H98" s="2690"/>
      <c r="I98" s="1416"/>
    </row>
    <row r="99" customHeight="1" spans="1:9">
      <c r="A99" s="2692" t="s">
        <v>960</v>
      </c>
      <c r="B99" s="2591"/>
      <c r="C99" s="2591"/>
      <c r="D99" s="2591"/>
      <c r="E99" s="2741"/>
      <c r="F99" s="2741"/>
      <c r="G99" s="2741"/>
      <c r="H99" s="2690"/>
      <c r="I99" s="1416"/>
    </row>
    <row r="100" ht="18.75" customHeight="1" spans="1:9">
      <c r="A100" s="2793" t="s">
        <v>961</v>
      </c>
      <c r="B100" s="2794"/>
      <c r="C100" s="2794"/>
      <c r="D100" s="2795"/>
      <c r="E100" s="2794" t="s">
        <v>962</v>
      </c>
      <c r="F100" s="2794"/>
      <c r="G100" s="2794"/>
      <c r="H100" s="2795"/>
      <c r="I100" s="1416"/>
    </row>
    <row r="101" ht="18.75" customHeight="1" spans="1:9">
      <c r="A101" s="2796" t="s">
        <v>963</v>
      </c>
      <c r="B101" s="2797"/>
      <c r="C101" s="2798" t="str">
        <f>C4</f>
        <v>比较法-商业</v>
      </c>
      <c r="D101" s="2799" t="str">
        <f>D4</f>
        <v>收益法 (元)</v>
      </c>
      <c r="E101" s="2800" t="s">
        <v>964</v>
      </c>
      <c r="F101" s="2801"/>
      <c r="G101" s="2802" t="s">
        <v>965</v>
      </c>
      <c r="H101" s="2803">
        <f ca="1">H118</f>
        <v>1416</v>
      </c>
      <c r="I101" s="1416"/>
    </row>
    <row r="102" ht="18.75" customHeight="1" spans="1:9">
      <c r="A102" s="2804" t="s">
        <v>966</v>
      </c>
      <c r="B102" s="2805" t="s">
        <v>965</v>
      </c>
      <c r="C102" s="2798">
        <f ca="1">IF(D32="楼面单价",ROUND(C19,0),C19)</f>
        <v>1929</v>
      </c>
      <c r="D102" s="2799">
        <f ca="1">IF(D32="楼面单价",ROUND(D19,0),D19)</f>
        <v>648</v>
      </c>
      <c r="E102" s="2800"/>
      <c r="F102" s="2801"/>
      <c r="G102" s="2802" t="s">
        <v>99</v>
      </c>
      <c r="H102" s="2727">
        <f ca="1">I118</f>
        <v>31829</v>
      </c>
      <c r="I102" s="1416"/>
    </row>
    <row r="103" ht="42.75" customHeight="1" spans="1:9">
      <c r="A103" s="2804"/>
      <c r="B103" s="2805" t="s">
        <v>99</v>
      </c>
      <c r="C103" s="2806">
        <f ca="1">C20</f>
        <v>43345</v>
      </c>
      <c r="D103" s="2807">
        <f ca="1">D20</f>
        <v>14556</v>
      </c>
      <c r="E103" s="2808" t="s">
        <v>967</v>
      </c>
      <c r="F103" s="2809"/>
      <c r="G103" s="2810" t="s">
        <v>102</v>
      </c>
      <c r="H103" s="2803">
        <f>IF(D36="正常操作",H104+H105+H106,H105+H106)</f>
        <v>0</v>
      </c>
      <c r="I103" s="1416"/>
    </row>
    <row r="104" ht="18.75" customHeight="1" spans="1:9">
      <c r="A104" s="2804" t="s">
        <v>968</v>
      </c>
      <c r="B104" s="2811" t="s">
        <v>965</v>
      </c>
      <c r="C104" s="2812">
        <f ca="1">H118</f>
        <v>1416</v>
      </c>
      <c r="D104" s="2813"/>
      <c r="E104" s="2674" t="s">
        <v>969</v>
      </c>
      <c r="F104" s="2814"/>
      <c r="G104" s="2810" t="s">
        <v>102</v>
      </c>
      <c r="H104" s="2815">
        <f>IF(D36="同一抵押权人同一抵押物续贷",C36&amp;"（续贷，未扣减，详见特别提示）",C36)</f>
        <v>0</v>
      </c>
      <c r="I104" s="1416"/>
    </row>
    <row r="105" ht="18.75" customHeight="1" spans="1:9">
      <c r="A105" s="2816"/>
      <c r="B105" s="2817" t="s">
        <v>99</v>
      </c>
      <c r="C105" s="2818">
        <f ca="1">I118</f>
        <v>31829</v>
      </c>
      <c r="D105" s="2819"/>
      <c r="E105" s="2674" t="s">
        <v>970</v>
      </c>
      <c r="F105" s="2814"/>
      <c r="G105" s="2810" t="s">
        <v>102</v>
      </c>
      <c r="H105" s="2820">
        <f>C37</f>
        <v>0</v>
      </c>
      <c r="I105" s="1416"/>
    </row>
    <row r="106" ht="18.75" customHeight="1" spans="1:9">
      <c r="A106" s="2591" t="s">
        <v>971</v>
      </c>
      <c r="B106" s="2591"/>
      <c r="C106" s="2591"/>
      <c r="D106" s="2591"/>
      <c r="E106" s="2821" t="s">
        <v>972</v>
      </c>
      <c r="F106" s="2814"/>
      <c r="G106" s="2810" t="s">
        <v>102</v>
      </c>
      <c r="H106" s="2820">
        <f>C38</f>
        <v>0</v>
      </c>
      <c r="I106" s="1416"/>
    </row>
    <row r="107" ht="18.75" customHeight="1" spans="1:9">
      <c r="A107" s="1416"/>
      <c r="B107" s="1416"/>
      <c r="C107" s="1416"/>
      <c r="D107" s="1416"/>
      <c r="E107" s="2822" t="str">
        <f>IF(项目基本情况!E8="已注销","——","3.房地产抵押价值")</f>
        <v>3.房地产抵押价值</v>
      </c>
      <c r="F107" s="2801"/>
      <c r="G107" s="2802" t="s">
        <v>965</v>
      </c>
      <c r="H107" s="2803">
        <f ca="1">IF(E107="——","——",H101-H103)</f>
        <v>1416</v>
      </c>
      <c r="I107" s="1416"/>
    </row>
    <row r="108" ht="18.75" customHeight="1" spans="1:9">
      <c r="A108" s="1416"/>
      <c r="B108" s="1416"/>
      <c r="C108" s="1416"/>
      <c r="D108" s="1416"/>
      <c r="E108" s="2822"/>
      <c r="F108" s="2801"/>
      <c r="G108" s="2802" t="s">
        <v>99</v>
      </c>
      <c r="H108" s="2727">
        <f ca="1">IF(H107=H101,H102,ROUND(H107*10000/'数据-汇总表'!E3,0))</f>
        <v>31829</v>
      </c>
      <c r="I108" s="1416"/>
    </row>
    <row r="109" ht="18.75" customHeight="1" spans="1:9">
      <c r="A109" s="1416"/>
      <c r="B109" s="1416"/>
      <c r="C109" s="1416"/>
      <c r="D109" s="1416"/>
      <c r="E109" s="2822" t="str">
        <f>IF(项目基本情况!E8="已注销及未注销","4.抵押担保权已注销时的房地产抵押价值",IF(项目基本情况!E8="已注销","3.抵押担保权已注销时的房地产抵押价值","——"))</f>
        <v>——</v>
      </c>
      <c r="F109" s="2801"/>
      <c r="G109" s="2802" t="s">
        <v>965</v>
      </c>
      <c r="H109" s="2823" t="str">
        <f ca="1">IF(E109="——","——",H101-H105-H106)</f>
        <v>——</v>
      </c>
      <c r="I109" s="1416"/>
    </row>
    <row r="110" ht="18.75" customHeight="1" spans="1:9">
      <c r="A110" s="1416"/>
      <c r="B110" s="1416"/>
      <c r="C110" s="1416"/>
      <c r="D110" s="1416"/>
      <c r="E110" s="2822"/>
      <c r="F110" s="2801"/>
      <c r="G110" s="2802" t="s">
        <v>99</v>
      </c>
      <c r="H110" s="2727" t="str">
        <f ca="1">IF(H109="——","——",ROUND(H109*10000/'数据-汇总表'!E3,0))</f>
        <v>——</v>
      </c>
      <c r="I110" s="1416"/>
    </row>
    <row r="111" ht="18.75" customHeight="1" spans="1:9">
      <c r="A111" s="1416"/>
      <c r="B111" s="1416"/>
      <c r="C111" s="1416"/>
      <c r="D111" s="1416"/>
      <c r="E111" s="2824" t="str">
        <f>IF(项目基本情况!E9="抵押净值",IF(OR(项目基本情况!E8="已注销",项目基本情况!E8="房地产抵押价值"),"4.抵押净值","5.抵押净值"),"——")</f>
        <v>4.抵押净值</v>
      </c>
      <c r="F111" s="2825"/>
      <c r="G111" s="2802" t="s">
        <v>965</v>
      </c>
      <c r="H111" s="2803">
        <f ca="1">IF(E111="——","——",N59)</f>
        <v>1247</v>
      </c>
      <c r="I111" s="1416"/>
    </row>
    <row r="112" ht="18.75" customHeight="1" spans="1:9">
      <c r="A112" s="1416"/>
      <c r="B112" s="1416"/>
      <c r="C112" s="1416"/>
      <c r="D112" s="1416"/>
      <c r="E112" s="2826"/>
      <c r="F112" s="2827"/>
      <c r="G112" s="2828" t="s">
        <v>99</v>
      </c>
      <c r="H112" s="2829">
        <f ca="1">IF(E111="——","——",N61)</f>
        <v>28024</v>
      </c>
      <c r="I112" s="1416"/>
    </row>
    <row r="113" ht="18.75" customHeight="1" spans="1:9">
      <c r="A113" s="1416"/>
      <c r="B113" s="1416"/>
      <c r="C113" s="1416"/>
      <c r="D113" s="1416"/>
      <c r="E113" s="2830" t="s">
        <v>971</v>
      </c>
      <c r="F113" s="2830"/>
      <c r="G113" s="2830"/>
      <c r="H113" s="2830"/>
      <c r="I113" s="1416"/>
    </row>
    <row r="114" ht="3.75" customHeight="1" spans="1:9">
      <c r="A114" s="2591"/>
      <c r="B114" s="2591"/>
      <c r="C114" s="2591"/>
      <c r="D114" s="2591"/>
      <c r="E114" s="2740"/>
      <c r="F114" s="2740"/>
      <c r="G114" s="2740"/>
      <c r="H114" s="2740"/>
      <c r="I114" s="2591"/>
    </row>
    <row r="115" ht="18.75" customHeight="1" spans="1:9">
      <c r="A115" s="2831" t="s">
        <v>973</v>
      </c>
      <c r="B115" s="2832"/>
      <c r="C115" s="2832"/>
      <c r="D115" s="2832"/>
      <c r="E115" s="2832"/>
      <c r="F115" s="2832"/>
      <c r="G115" s="2832"/>
      <c r="H115" s="2832"/>
      <c r="I115" s="2854"/>
    </row>
    <row r="116" ht="27" customHeight="1" spans="1:9">
      <c r="A116" s="2604" t="s">
        <v>974</v>
      </c>
      <c r="B116" s="2833" t="s">
        <v>975</v>
      </c>
      <c r="C116" s="2833" t="s">
        <v>976</v>
      </c>
      <c r="D116" s="2834" t="s">
        <v>977</v>
      </c>
      <c r="E116" s="2835"/>
      <c r="F116" s="2836" t="s">
        <v>978</v>
      </c>
      <c r="G116" s="2836"/>
      <c r="H116" s="2604" t="s">
        <v>979</v>
      </c>
      <c r="I116" s="2604"/>
    </row>
    <row r="117" ht="18.75" customHeight="1" spans="1:9">
      <c r="A117" s="2604"/>
      <c r="B117" s="2837"/>
      <c r="C117" s="2837"/>
      <c r="D117" s="2604" t="s">
        <v>980</v>
      </c>
      <c r="E117" s="2604" t="s">
        <v>802</v>
      </c>
      <c r="F117" s="2604" t="s">
        <v>980</v>
      </c>
      <c r="G117" s="2604" t="s">
        <v>802</v>
      </c>
      <c r="H117" s="2604" t="s">
        <v>980</v>
      </c>
      <c r="I117" s="2604" t="s">
        <v>802</v>
      </c>
    </row>
    <row r="118" ht="24.75" customHeight="1" spans="1:9">
      <c r="A118" s="2838" t="str">
        <f>项目基本情况!S2</f>
        <v>北京市房地产</v>
      </c>
      <c r="B118" s="2604">
        <f>M18</f>
        <v>444.98</v>
      </c>
      <c r="C118" s="2604">
        <f>M19</f>
        <v>0</v>
      </c>
      <c r="D118" s="2604" t="e">
        <f ca="1">ROUND(IF(D32="总价",C34,E118*B118/10000),0)</f>
        <v>#REF!</v>
      </c>
      <c r="E118" s="2604" t="e">
        <f ca="1">ROUND(IF(C33="自定义",IF(D32="楼面单价",C34,D118*10000/B118),I118-G118),0)</f>
        <v>#REF!</v>
      </c>
      <c r="F118" s="2604" t="e">
        <f ca="1">ROUND(IF(D32="总价",C35,G118*B118/10000),0)</f>
        <v>#REF!</v>
      </c>
      <c r="G118" s="2604" t="e">
        <f ca="1">ROUND(IF(D32="楼面单价",C35,F118*10000/B118),0)</f>
        <v>#REF!</v>
      </c>
      <c r="H118" s="2604">
        <f ca="1">ROUND(IF(D32="总价",C32,I118*B118/10000),0)</f>
        <v>1416</v>
      </c>
      <c r="I118" s="2604">
        <f ca="1">ROUND(IF(D32="楼面单价",C32,H118*10000/B118),0)</f>
        <v>31829</v>
      </c>
    </row>
    <row r="119" ht="18.75" customHeight="1" spans="1:9">
      <c r="A119" s="2604" t="s">
        <v>981</v>
      </c>
      <c r="B119" s="2604"/>
      <c r="C119" s="2604"/>
      <c r="D119" s="2839" t="e">
        <f ca="1">NUMBERSTRING(INT(D118*10000),2)&amp;"元整"</f>
        <v>#REF!</v>
      </c>
      <c r="E119" s="2840"/>
      <c r="F119" s="2839" t="e">
        <f ca="1">NUMBERSTRING(INT(F118*10000),2)&amp;"元整"</f>
        <v>#REF!</v>
      </c>
      <c r="G119" s="2840"/>
      <c r="H119" s="2839" t="str">
        <f ca="1">NUMBERSTRING(INT(H118*10000),2)&amp;"元整"</f>
        <v>壹仟肆佰壹拾陆万元整</v>
      </c>
      <c r="I119" s="2840"/>
    </row>
    <row r="120" ht="18.75" customHeight="1" spans="1:19">
      <c r="A120" s="2841" t="str">
        <f>IF(项目基本情况!B9="房地产市场价值","",MID(E103,3,LEN(E103)-2))</f>
        <v>估价师知悉的法定优先受偿款</v>
      </c>
      <c r="B120" s="2842"/>
      <c r="C120" s="2843"/>
      <c r="D120" s="2841">
        <f>H103</f>
        <v>0</v>
      </c>
      <c r="E120" s="2842"/>
      <c r="F120" s="2842"/>
      <c r="G120" s="2842"/>
      <c r="H120" s="2842"/>
      <c r="I120" s="284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ht="18.75" customHeight="1" spans="1:27">
      <c r="A121" s="2839" t="s">
        <v>981</v>
      </c>
      <c r="B121" s="2844"/>
      <c r="C121" s="2840"/>
      <c r="D121" s="2839" t="str">
        <f>IF(D120=0,"零元整",NUMBERSTRING(INT(D120*10000),2)&amp;"元整")</f>
        <v>零元整</v>
      </c>
      <c r="E121" s="2844"/>
      <c r="F121" s="2844"/>
      <c r="G121" s="2844"/>
      <c r="H121" s="2844"/>
      <c r="I121" s="2840"/>
      <c r="AA121" s="1372"/>
    </row>
    <row r="122" ht="18.75" customHeight="1" spans="1:27">
      <c r="A122" s="2825" t="str">
        <f>IF(项目基本情况!B9="房地产市场价值","",MID(E107,3,LEN(E107)-2))</f>
        <v>房地产抵押价值</v>
      </c>
      <c r="B122" s="2825"/>
      <c r="C122" s="2825"/>
      <c r="D122" s="2841">
        <f ca="1">H107</f>
        <v>1416</v>
      </c>
      <c r="E122" s="2842"/>
      <c r="F122" s="2842"/>
      <c r="G122" s="2842"/>
      <c r="H122" s="2842"/>
      <c r="I122" s="2843"/>
      <c r="AA122" s="1372"/>
    </row>
    <row r="123" ht="18.75" customHeight="1" spans="1:27">
      <c r="A123" s="2604" t="s">
        <v>981</v>
      </c>
      <c r="B123" s="2604"/>
      <c r="C123" s="2604"/>
      <c r="D123" s="2839" t="str">
        <f ca="1">NUMBERSTRING(INT(D122*10000),2)&amp;"元整"</f>
        <v>壹仟肆佰壹拾陆万元整</v>
      </c>
      <c r="E123" s="2844"/>
      <c r="F123" s="2844"/>
      <c r="G123" s="2844"/>
      <c r="H123" s="2844"/>
      <c r="I123" s="2840"/>
      <c r="AA123" s="1372"/>
    </row>
    <row r="124" ht="18.75" customHeight="1" spans="1:27">
      <c r="A124" s="2825" t="str">
        <f>IF(项目基本情况!B9="房地产市场价值","",MID(E109,3,LEN(E109)-2))</f>
        <v/>
      </c>
      <c r="B124" s="2825"/>
      <c r="C124" s="2825"/>
      <c r="D124" s="2841" t="str">
        <f ca="1">H109</f>
        <v>——</v>
      </c>
      <c r="E124" s="2842"/>
      <c r="F124" s="2842"/>
      <c r="G124" s="2842"/>
      <c r="H124" s="2842"/>
      <c r="I124" s="2843"/>
      <c r="AA124" s="1372"/>
    </row>
    <row r="125" ht="18.75" customHeight="1" spans="1:27">
      <c r="A125" s="2604" t="s">
        <v>981</v>
      </c>
      <c r="B125" s="2604"/>
      <c r="C125" s="2604"/>
      <c r="D125" s="2839" t="e">
        <f ca="1">NUMBERSTRING(INT(D124*10000),2)&amp;"元整"</f>
        <v>#VALUE!</v>
      </c>
      <c r="E125" s="2844"/>
      <c r="F125" s="2844"/>
      <c r="G125" s="2844"/>
      <c r="H125" s="2844"/>
      <c r="I125" s="2840"/>
      <c r="AA125" s="1372"/>
    </row>
    <row r="126" ht="18.75" customHeight="1" spans="1:27">
      <c r="A126" s="2825" t="str">
        <f>IF(项目基本情况!B9="房地产市场价值","",MID(E111,3,LEN(E111)-2))</f>
        <v>抵押净值</v>
      </c>
      <c r="B126" s="2825"/>
      <c r="C126" s="2825"/>
      <c r="D126" s="2841">
        <f ca="1">H111</f>
        <v>1247</v>
      </c>
      <c r="E126" s="2842"/>
      <c r="F126" s="2842"/>
      <c r="G126" s="2842"/>
      <c r="H126" s="2842"/>
      <c r="I126" s="2843"/>
      <c r="AA126" s="1372"/>
    </row>
    <row r="127" ht="18.75" customHeight="1" spans="1:27">
      <c r="A127" s="2604" t="s">
        <v>981</v>
      </c>
      <c r="B127" s="2604"/>
      <c r="C127" s="2604"/>
      <c r="D127" s="2839" t="str">
        <f ca="1">NUMBERSTRING(INT(D126*10000),2)&amp;"元整"</f>
        <v>壹仟贰佰肆拾柒万元整</v>
      </c>
      <c r="E127" s="2844"/>
      <c r="F127" s="2844"/>
      <c r="G127" s="2844"/>
      <c r="H127" s="2844"/>
      <c r="I127" s="2840"/>
      <c r="AA127" s="1372"/>
    </row>
    <row r="128" customHeight="1" spans="1:27">
      <c r="A128" s="2251" t="s">
        <v>113</v>
      </c>
      <c r="B128" s="2251"/>
      <c r="C128" s="2251"/>
      <c r="D128" s="2251"/>
      <c r="E128" s="2251"/>
      <c r="F128" s="2251"/>
      <c r="G128" s="2251"/>
      <c r="H128" s="2251"/>
      <c r="I128" s="2251"/>
      <c r="AA128" s="1372"/>
    </row>
    <row r="129" customHeight="1" spans="1:27">
      <c r="A129" s="2856" t="s">
        <v>982</v>
      </c>
      <c r="B129" s="2857"/>
      <c r="C129" s="2858" t="s">
        <v>983</v>
      </c>
      <c r="D129" s="2859"/>
      <c r="E129" s="2859"/>
      <c r="F129" s="2859"/>
      <c r="G129" s="2859"/>
      <c r="H129" s="2860"/>
      <c r="I129" s="2875"/>
      <c r="AA129" s="1372"/>
    </row>
    <row r="130" customHeight="1" spans="1:27">
      <c r="A130" s="2861">
        <v>1</v>
      </c>
      <c r="B130" s="2862"/>
      <c r="C130" s="2862"/>
      <c r="D130" s="2863"/>
      <c r="E130" s="2863"/>
      <c r="F130" s="2863"/>
      <c r="G130" s="2863"/>
      <c r="H130" s="2864"/>
      <c r="I130" s="2876"/>
      <c r="AA130" s="1372"/>
    </row>
    <row r="131" customHeight="1" spans="1:27">
      <c r="A131" s="2861">
        <v>2</v>
      </c>
      <c r="B131" s="2862"/>
      <c r="C131" s="2862"/>
      <c r="D131" s="2863"/>
      <c r="E131" s="2863"/>
      <c r="F131" s="2863"/>
      <c r="G131" s="2863"/>
      <c r="H131" s="2864"/>
      <c r="I131" s="2876"/>
      <c r="AA131" s="1372"/>
    </row>
    <row r="132" customHeight="1" spans="1:27">
      <c r="A132" s="2861">
        <v>3</v>
      </c>
      <c r="B132" s="2862"/>
      <c r="C132" s="2862"/>
      <c r="D132" s="2863"/>
      <c r="E132" s="2863"/>
      <c r="F132" s="2863"/>
      <c r="G132" s="2863"/>
      <c r="H132" s="2864"/>
      <c r="I132" s="2876"/>
      <c r="AA132" s="1372"/>
    </row>
    <row r="133" customHeight="1" spans="1:9">
      <c r="A133" s="2865"/>
      <c r="B133" s="2866"/>
      <c r="C133" s="2866"/>
      <c r="D133" s="2867"/>
      <c r="E133" s="2867"/>
      <c r="F133" s="2867"/>
      <c r="G133" s="2867"/>
      <c r="H133" s="2868"/>
      <c r="I133" s="2877"/>
    </row>
    <row r="134" customHeight="1" spans="1:9">
      <c r="A134" s="2862"/>
      <c r="B134" s="2862"/>
      <c r="C134" s="2862"/>
      <c r="D134" s="2863"/>
      <c r="E134" s="2863"/>
      <c r="F134" s="2863"/>
      <c r="G134" s="2863"/>
      <c r="H134" s="2864"/>
      <c r="I134" s="1372"/>
    </row>
    <row r="135" customHeight="1" spans="1:9">
      <c r="A135" s="1372"/>
      <c r="B135" s="1372"/>
      <c r="C135" s="1372"/>
      <c r="D135" s="1372"/>
      <c r="E135" s="1372"/>
      <c r="F135" s="2869" t="s">
        <v>984</v>
      </c>
      <c r="G135" s="2870"/>
      <c r="H135" s="2870"/>
      <c r="I135" s="2878" t="s">
        <v>985</v>
      </c>
    </row>
    <row r="136" customHeight="1" spans="1:9">
      <c r="A136" s="1372"/>
      <c r="B136" s="2871"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70"/>
      <c r="C138" s="2870"/>
      <c r="D138" s="2870"/>
      <c r="E138" s="2870"/>
      <c r="F138" s="2870"/>
      <c r="G138" s="2870"/>
      <c r="H138" s="2870"/>
      <c r="I138" s="2878" t="s">
        <v>987</v>
      </c>
    </row>
    <row r="139" customHeight="1" spans="1:9">
      <c r="A139" s="1372"/>
      <c r="B139" s="2871" t="s">
        <v>988</v>
      </c>
      <c r="C139" s="1372"/>
      <c r="D139" s="1372"/>
      <c r="E139" s="1372"/>
      <c r="F139" s="1372"/>
      <c r="G139" s="1372"/>
      <c r="H139" s="1372"/>
      <c r="I139" s="1372"/>
    </row>
    <row r="140" customHeight="1" spans="1:9">
      <c r="A140" s="1372"/>
      <c r="B140" s="2871"/>
      <c r="C140" s="1372"/>
      <c r="D140" s="1372"/>
      <c r="E140" s="1372"/>
      <c r="F140" s="1372"/>
      <c r="G140" s="1372"/>
      <c r="H140" s="1372"/>
      <c r="I140" s="1372"/>
    </row>
    <row r="141" customHeight="1" spans="1:9">
      <c r="A141" s="1372"/>
      <c r="B141" s="2870"/>
      <c r="C141" s="2870"/>
      <c r="D141" s="2870"/>
      <c r="E141" s="2870"/>
      <c r="F141" s="2870"/>
      <c r="G141" s="2870"/>
      <c r="H141" s="2870"/>
      <c r="I141" s="2878" t="s">
        <v>987</v>
      </c>
    </row>
    <row r="142" customHeight="1" spans="1:9">
      <c r="A142" s="1372"/>
      <c r="B142" s="2871"/>
      <c r="C142" s="2872"/>
      <c r="D142" s="2873"/>
      <c r="E142" s="2873"/>
      <c r="F142" s="2874"/>
      <c r="G142" s="1372"/>
      <c r="H142" s="1372"/>
      <c r="I142" s="1372"/>
    </row>
    <row r="143" s="1369" customFormat="1" customHeight="1" spans="1:35">
      <c r="A143" s="1372"/>
      <c r="B143" s="2871"/>
      <c r="C143" s="2872"/>
      <c r="D143" s="2873"/>
      <c r="E143" s="2873"/>
      <c r="F143" s="2874"/>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1" spans="1:7">
      <c r="A1" s="775" t="s">
        <v>989</v>
      </c>
      <c r="B1" s="2570"/>
      <c r="C1" s="777"/>
      <c r="D1" s="777"/>
      <c r="E1" s="777"/>
      <c r="F1" s="777"/>
      <c r="G1" s="2572">
        <f>MATCH(B1,'数据-取费表'!A6:A16,0)+5</f>
        <v>7</v>
      </c>
    </row>
    <row r="2" s="767" customFormat="1" ht="18" customHeight="1" spans="1:7">
      <c r="A2" s="779" t="s">
        <v>990</v>
      </c>
      <c r="B2" s="780">
        <f ca="1">IF(D2="——",C52,C52-E2)</f>
        <v>155</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3483</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8"/>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82"/>
      <c r="H9" s="2583"/>
      <c r="I9" s="2584" t="s">
        <v>1007</v>
      </c>
    </row>
    <row r="10" s="769" customFormat="1" ht="13.5" customHeight="1" spans="1:7">
      <c r="A10" s="801" t="s">
        <v>1008</v>
      </c>
      <c r="B10" s="802" t="s">
        <v>1009</v>
      </c>
      <c r="C10" s="803">
        <f ca="1">ROUND(D10*E10/10000,0)</f>
        <v>9</v>
      </c>
      <c r="D10" s="804">
        <f ca="1">IF(B1="",'数据-汇总表'!E6,IF(INDIRECT("'数据-取费表'!c"&amp;$G$1)="住宅",INDIRECT("'数据-取费表'!s"&amp;$G$1),INDIRECT("'数据-取费表'!k"&amp;$G$1)+INDIRECT("'数据-取费表'!s"&amp;$G$1)))</f>
        <v>444.98</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9</v>
      </c>
      <c r="D19" s="812">
        <f ca="1">D9+D10</f>
        <v>444.98</v>
      </c>
      <c r="E19" s="788">
        <f>'数据-取费表'!B31</f>
        <v>200</v>
      </c>
      <c r="F19" s="813"/>
      <c r="G19" s="2578"/>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1</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1</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2</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2</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13</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148</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133</v>
      </c>
      <c r="D34" s="794"/>
      <c r="E34" s="797"/>
      <c r="F34" s="843">
        <f ca="1">IF('数据-取费表'!B24=0,1,IF(B1="",'数据-取费表'!N16,INDIRECT("'数据-取费表'!n"&amp;$G$1)))</f>
        <v>1</v>
      </c>
      <c r="G34" s="796" t="s">
        <v>1058</v>
      </c>
    </row>
    <row r="35" ht="13.5" customHeight="1" spans="1:7">
      <c r="A35" s="822" t="s">
        <v>1001</v>
      </c>
      <c r="B35" s="792" t="s">
        <v>1059</v>
      </c>
      <c r="C35" s="797">
        <f ca="1">ROUND(C34*F35,0)</f>
        <v>4</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9</v>
      </c>
      <c r="D37" s="794">
        <f ca="1">D19</f>
        <v>444.98</v>
      </c>
      <c r="E37" s="835">
        <f>'数据-取费表'!B35</f>
        <v>200</v>
      </c>
      <c r="F37" s="844"/>
      <c r="G37" s="846" t="s">
        <v>1064</v>
      </c>
    </row>
    <row r="38" ht="13.5" customHeight="1" spans="1:7">
      <c r="A38" s="822" t="s">
        <v>1065</v>
      </c>
      <c r="B38" s="792" t="s">
        <v>930</v>
      </c>
      <c r="C38" s="797">
        <f ca="1">ROUND(C34*F38,0)</f>
        <v>2</v>
      </c>
      <c r="D38" s="797"/>
      <c r="E38" s="797"/>
      <c r="F38" s="844">
        <f>'数据-取费表'!B36</f>
        <v>0.015</v>
      </c>
      <c r="G38" s="796" t="s">
        <v>1060</v>
      </c>
    </row>
    <row r="39" s="769" customFormat="1" ht="13.5" customHeight="1" spans="1:7">
      <c r="A39" s="786" t="s">
        <v>1026</v>
      </c>
      <c r="B39" s="787" t="s">
        <v>1029</v>
      </c>
      <c r="C39" s="814">
        <f ca="1">ROUND(C33*F20,0)</f>
        <v>3</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6</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6</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30</v>
      </c>
      <c r="D45" s="817">
        <f ca="1">C47</f>
        <v>0.004</v>
      </c>
      <c r="E45" s="818" t="s">
        <v>1067</v>
      </c>
      <c r="F45" s="832">
        <f ca="1">F27</f>
        <v>0.2</v>
      </c>
      <c r="G45" s="833" t="s">
        <v>1070</v>
      </c>
    </row>
    <row r="46" s="769" customFormat="1" ht="13.5" customHeight="1" spans="1:7">
      <c r="A46" s="822" t="s">
        <v>999</v>
      </c>
      <c r="B46" s="834" t="s">
        <v>1071</v>
      </c>
      <c r="C46" s="835">
        <f ca="1">ROUND((C33+C39)*F27,0)</f>
        <v>30</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81">
        <f>ROUND(F30/(1+'数据-取费表'!C42),4)</f>
        <v>0.0524</v>
      </c>
      <c r="D48" s="818" t="s">
        <v>1067</v>
      </c>
      <c r="E48" s="814"/>
      <c r="F48" s="821">
        <f>F30</f>
        <v>0.055</v>
      </c>
      <c r="G48" s="819" t="s">
        <v>1073</v>
      </c>
    </row>
    <row r="49" ht="16.5" customHeight="1" spans="1:7">
      <c r="A49" s="786" t="s">
        <v>1050</v>
      </c>
      <c r="B49" s="787" t="s">
        <v>1074</v>
      </c>
      <c r="C49" s="814">
        <f ca="1">ROUND((C33+C39+C41+C45)/(1-C40-D41-D45-C48),0)</f>
        <v>203</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142</v>
      </c>
      <c r="D51" s="814"/>
      <c r="E51" s="814"/>
      <c r="F51" s="852"/>
      <c r="G51" s="819" t="s">
        <v>1081</v>
      </c>
    </row>
    <row r="52" s="768" customFormat="1" ht="16.35" spans="1:7">
      <c r="A52" s="853" t="s">
        <v>1082</v>
      </c>
      <c r="B52" s="854"/>
      <c r="C52" s="855">
        <f ca="1">C31+C51</f>
        <v>155</v>
      </c>
      <c r="D52" s="854"/>
      <c r="E52" s="854"/>
      <c r="F52" s="854"/>
      <c r="G52" s="856"/>
    </row>
    <row r="55" ht="15" spans="2:3">
      <c r="B55" s="857" t="s">
        <v>1083</v>
      </c>
      <c r="C55" s="858"/>
    </row>
    <row r="56" spans="2:3">
      <c r="B56" s="859" t="s">
        <v>1084</v>
      </c>
      <c r="C56" s="861">
        <f ca="1">1-C57</f>
        <v>0.084</v>
      </c>
    </row>
    <row r="57" spans="2:3">
      <c r="B57" s="859" t="s">
        <v>1085</v>
      </c>
      <c r="C57" s="860">
        <f ca="1">ROUND(C51/C52,3)</f>
        <v>0.916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spans="2:2">
      <c r="B46" s="3726" t="str">
        <f ca="1">项目基本情况!K4</f>
        <v>（注册号：0)、崔锴（注册号：1120100036)</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8" width="10.7777777777778" style="773" customWidth="1"/>
    <col min="9" max="254" width="9" style="773" customWidth="1"/>
    <col min="255" max="16384" width="8.33333333333333" style="773"/>
  </cols>
  <sheetData>
    <row r="1" s="767" customFormat="1" ht="21" spans="1:8">
      <c r="A1" s="775" t="s">
        <v>989</v>
      </c>
      <c r="B1" s="2570"/>
      <c r="C1" s="2571" t="s">
        <v>1086</v>
      </c>
      <c r="D1" s="777"/>
      <c r="E1" s="777"/>
      <c r="F1" s="777"/>
      <c r="G1" s="2572">
        <f>MATCH(B1,'数据-取费表'!A6:A16,0)+5</f>
        <v>7</v>
      </c>
      <c r="H1" s="1833" t="str">
        <f>IF(ISERROR(FIND("住宅",B1)),"非住宅","住宅")</f>
        <v>非住宅</v>
      </c>
    </row>
    <row r="2" s="767" customFormat="1" ht="18" customHeight="1" spans="1:7">
      <c r="A2" s="779" t="s">
        <v>990</v>
      </c>
      <c r="B2" s="2573">
        <f ca="1">ROUND(IF(D2="——",C52/10000,C52/10000-E2),4)</f>
        <v>167.8111</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3771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88996</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88996</v>
      </c>
      <c r="D8" s="799"/>
      <c r="E8" s="797"/>
      <c r="F8" s="798"/>
      <c r="G8" s="2578"/>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88996</v>
      </c>
      <c r="D10" s="804">
        <f ca="1">IF(B1="",'数据-汇总表'!E6,IF(INDIRECT("'数据-取费表'!c"&amp;$G$1)="住宅",INDIRECT("'数据-取费表'!s"&amp;$G$1),INDIRECT("'数据-取费表'!k"&amp;$G$1)+INDIRECT("'数据-取费表'!s"&amp;$G$1)))</f>
        <v>444.98</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88996</v>
      </c>
      <c r="D19" s="812">
        <f ca="1">D9+D10</f>
        <v>444.98</v>
      </c>
      <c r="E19" s="788">
        <f>'数据-取费表'!B31</f>
        <v>200</v>
      </c>
      <c r="F19" s="813"/>
      <c r="G19" s="2578"/>
    </row>
    <row r="20" s="769" customFormat="1" ht="13.5" customHeight="1" spans="1:7">
      <c r="A20" s="786" t="s">
        <v>1028</v>
      </c>
      <c r="B20" s="787" t="s">
        <v>1029</v>
      </c>
      <c r="C20" s="814">
        <f ca="1">ROUND((C5+C19)*F20,0)</f>
        <v>3560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9">
        <f ca="1">ROUND(SUM(C23:C25),0)</f>
        <v>15228</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80">
        <f ca="1">ROUND(IF('数据-取费表'!B22&lt;=1,C5*F22*'数据-取费表'!B22,C5*(POWER((1+F22),'数据-取费表'!B22)-1)),0)</f>
        <v>7540</v>
      </c>
      <c r="D23" s="824"/>
      <c r="E23" s="824"/>
      <c r="F23" s="825"/>
      <c r="G23" s="826" t="s">
        <v>1038</v>
      </c>
    </row>
    <row r="24" s="769" customFormat="1" ht="13.5" customHeight="1" spans="1:7">
      <c r="A24" s="822" t="s">
        <v>1001</v>
      </c>
      <c r="B24" s="792" t="s">
        <v>1039</v>
      </c>
      <c r="C24" s="2580">
        <f ca="1">ROUND(IF('数据-取费表'!B22&lt;=1,C19*F22*('数据-取费表'!B19/2+'数据-取费表'!B20),C19*(POWER((1+F22),('数据-取费表'!B19/2+'数据-取费表'!B20))-1)),0)</f>
        <v>7540</v>
      </c>
      <c r="D24" s="824"/>
      <c r="E24" s="824"/>
      <c r="F24" s="825"/>
      <c r="G24" s="826" t="s">
        <v>1040</v>
      </c>
    </row>
    <row r="25" s="769" customFormat="1" ht="24" spans="1:7">
      <c r="A25" s="822" t="s">
        <v>1003</v>
      </c>
      <c r="B25" s="792" t="s">
        <v>1041</v>
      </c>
      <c r="C25" s="2580">
        <f ca="1">ROUND(IF('数据-取费表'!B22&lt;=1,C20*F22*'数据-取费表'!B22/2,C20*(POWER((1+F22),'数据-取费表'!B22/2)-1)),0)</f>
        <v>148</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36310</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36310</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252590</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1484008</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1334940</v>
      </c>
      <c r="D34" s="794"/>
      <c r="E34" s="797"/>
      <c r="F34" s="843"/>
      <c r="G34" s="796"/>
    </row>
    <row r="35" ht="13.5" customHeight="1" spans="1:7">
      <c r="A35" s="822" t="s">
        <v>1001</v>
      </c>
      <c r="B35" s="792" t="s">
        <v>1059</v>
      </c>
      <c r="C35" s="797">
        <f ca="1">ROUND(C34*F35,0)</f>
        <v>40048</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88996</v>
      </c>
      <c r="D37" s="794">
        <f ca="1">D19</f>
        <v>444.98</v>
      </c>
      <c r="E37" s="835">
        <f>'数据-取费表'!B35</f>
        <v>200</v>
      </c>
      <c r="F37" s="844"/>
      <c r="G37" s="846"/>
    </row>
    <row r="38" ht="13.5" customHeight="1" spans="1:7">
      <c r="A38" s="822" t="s">
        <v>1065</v>
      </c>
      <c r="B38" s="792" t="s">
        <v>930</v>
      </c>
      <c r="C38" s="797">
        <f ca="1">ROUND(C34*F38,0)</f>
        <v>20024</v>
      </c>
      <c r="D38" s="797"/>
      <c r="E38" s="797"/>
      <c r="F38" s="844">
        <f>'数据-取费表'!B36</f>
        <v>0.015</v>
      </c>
      <c r="G38" s="796" t="s">
        <v>1060</v>
      </c>
    </row>
    <row r="39" s="769" customFormat="1" ht="13.5" customHeight="1" spans="1:7">
      <c r="A39" s="786" t="s">
        <v>1026</v>
      </c>
      <c r="B39" s="787" t="s">
        <v>1029</v>
      </c>
      <c r="C39" s="814">
        <f ca="1">ROUND(C33*F20,0)</f>
        <v>29680</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62818</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61586</v>
      </c>
      <c r="D42" s="824"/>
      <c r="E42" s="824"/>
      <c r="F42" s="825"/>
      <c r="G42" s="848" t="s">
        <v>1089</v>
      </c>
    </row>
    <row r="43" ht="13.5" customHeight="1" spans="1:7">
      <c r="A43" s="822" t="s">
        <v>1001</v>
      </c>
      <c r="B43" s="792" t="s">
        <v>1039</v>
      </c>
      <c r="C43" s="824">
        <f ca="1">ROUND(IF('数据-取费表'!B22&lt;=1,C39*F22*'数据-取费表'!B20/2,C39*(POWER((1+F22),'数据-取费表'!B20/2)-1)),0)</f>
        <v>1232</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302738</v>
      </c>
      <c r="D45" s="817">
        <f ca="1">C47</f>
        <v>0.004</v>
      </c>
      <c r="E45" s="818" t="s">
        <v>1067</v>
      </c>
      <c r="F45" s="832">
        <f ca="1">F27</f>
        <v>0.2</v>
      </c>
      <c r="G45" s="833" t="s">
        <v>1070</v>
      </c>
    </row>
    <row r="46" s="769" customFormat="1" ht="13.5" customHeight="1" spans="1:7">
      <c r="A46" s="822" t="s">
        <v>999</v>
      </c>
      <c r="B46" s="834" t="s">
        <v>1071</v>
      </c>
      <c r="C46" s="835">
        <f ca="1">ROUND((C33+C39)*F27,0)</f>
        <v>302738</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2036459</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1425521</v>
      </c>
      <c r="D51" s="814"/>
      <c r="E51" s="814"/>
      <c r="F51" s="852"/>
      <c r="G51" s="819" t="s">
        <v>1081</v>
      </c>
    </row>
    <row r="52" s="768" customFormat="1" ht="16.35" spans="1:7">
      <c r="A52" s="853" t="s">
        <v>1082</v>
      </c>
      <c r="B52" s="854"/>
      <c r="C52" s="855">
        <f ca="1">C31+C51</f>
        <v>1678111</v>
      </c>
      <c r="D52" s="854"/>
      <c r="E52" s="854"/>
      <c r="F52" s="854"/>
      <c r="G52" s="856"/>
    </row>
    <row r="55" ht="15" spans="2:3">
      <c r="B55" s="857" t="s">
        <v>1083</v>
      </c>
      <c r="C55" s="858"/>
    </row>
    <row r="56" spans="2:3">
      <c r="B56" s="859" t="s">
        <v>1084</v>
      </c>
      <c r="C56" s="861">
        <f ca="1">1-C57</f>
        <v>0.151</v>
      </c>
    </row>
    <row r="57" spans="2:3">
      <c r="B57" s="859" t="s">
        <v>1085</v>
      </c>
      <c r="C57" s="860">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69" customWidth="1"/>
    <col min="2" max="2" width="25.7777777777778" style="2485" customWidth="1"/>
    <col min="3" max="3" width="10.3333333333333" style="2486" customWidth="1"/>
    <col min="4" max="4" width="9.88888888888889" style="2485" customWidth="1"/>
    <col min="5" max="5" width="9.44444444444444" style="1469" customWidth="1"/>
    <col min="6" max="6" width="10.1111111111111" style="2485" customWidth="1"/>
    <col min="7" max="7" width="10.7777777777778" style="2485" customWidth="1"/>
    <col min="8" max="8" width="10" style="2485" customWidth="1"/>
    <col min="9" max="11" width="9.44444444444444" style="2485" customWidth="1"/>
    <col min="12" max="12" width="9" style="2485" customWidth="1"/>
    <col min="13" max="13" width="10.4444444444444" style="2485" customWidth="1"/>
    <col min="14" max="254" width="9" style="2485" customWidth="1"/>
    <col min="255" max="16384" width="6.66666666666667" style="2485"/>
  </cols>
  <sheetData>
    <row r="1" ht="20.4" spans="1:11">
      <c r="A1" s="775" t="s">
        <v>1092</v>
      </c>
      <c r="B1" s="2209"/>
      <c r="C1" s="2487"/>
      <c r="D1" s="2488"/>
      <c r="E1" s="2489"/>
      <c r="F1" s="2489"/>
      <c r="G1" s="2490"/>
      <c r="H1" s="2489"/>
      <c r="I1" s="2489"/>
      <c r="J1" s="2489"/>
      <c r="K1" s="2557">
        <f>MATCH(C1,'数据-取费表'!A6:A16,0)+5</f>
        <v>7</v>
      </c>
    </row>
    <row r="2" ht="18" customHeight="1" spans="1:11">
      <c r="A2" s="779" t="s">
        <v>990</v>
      </c>
      <c r="B2" s="782">
        <f ca="1">C32</f>
        <v>-11</v>
      </c>
      <c r="C2" s="2491" t="s">
        <v>1093</v>
      </c>
      <c r="D2" s="2491"/>
      <c r="E2" s="2489"/>
      <c r="F2" s="2489"/>
      <c r="G2" s="2489"/>
      <c r="H2" s="2489"/>
      <c r="I2" s="2489"/>
      <c r="J2" s="2489"/>
      <c r="K2" s="2489"/>
    </row>
    <row r="3" ht="18" customHeight="1" spans="1:11">
      <c r="A3" s="36" t="s">
        <v>992</v>
      </c>
      <c r="B3" s="782">
        <f ca="1">ROUND(B2*10000/IF(C1="",'数据-汇总表'!E3,INDIRECT("'数据-取费表'!K"&amp;$K$1)),0)</f>
        <v>-247</v>
      </c>
      <c r="C3" s="2491" t="s">
        <v>1094</v>
      </c>
      <c r="D3" s="2491"/>
      <c r="E3" s="2489"/>
      <c r="F3" s="2489"/>
      <c r="G3" s="2489"/>
      <c r="H3" s="2489"/>
      <c r="I3" s="2489"/>
      <c r="J3" s="2489"/>
      <c r="K3" s="2489"/>
    </row>
    <row r="4" s="2476" customFormat="1" ht="16.5" customHeight="1" spans="1:11">
      <c r="A4" s="2492" t="s">
        <v>1095</v>
      </c>
      <c r="B4" s="2493"/>
      <c r="C4" s="2494">
        <f>SUM(C8:K8)</f>
        <v>0</v>
      </c>
      <c r="D4" s="2493"/>
      <c r="E4" s="2493"/>
      <c r="F4" s="2493"/>
      <c r="G4" s="2493"/>
      <c r="H4" s="2493"/>
      <c r="I4" s="2493"/>
      <c r="J4" s="2493"/>
      <c r="K4" s="2558"/>
    </row>
    <row r="5" s="2477" customFormat="1" ht="14.4" spans="1:33">
      <c r="A5" s="2495" t="s">
        <v>1096</v>
      </c>
      <c r="B5" s="2496" t="s">
        <v>1097</v>
      </c>
      <c r="C5" s="2497"/>
      <c r="D5" s="2497"/>
      <c r="E5" s="2497"/>
      <c r="F5" s="2497"/>
      <c r="G5" s="2497"/>
      <c r="H5" s="2497"/>
      <c r="I5" s="2497"/>
      <c r="J5" s="2497"/>
      <c r="K5" s="2497"/>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2478" customFormat="1" ht="13.5" customHeight="1" spans="1:33">
      <c r="A6" s="2498" t="s">
        <v>898</v>
      </c>
      <c r="B6" s="2172" t="s">
        <v>1098</v>
      </c>
      <c r="C6" s="2499"/>
      <c r="D6" s="2499"/>
      <c r="E6" s="2499"/>
      <c r="F6" s="2499"/>
      <c r="G6" s="2499"/>
      <c r="H6" s="2499"/>
      <c r="I6" s="2499"/>
      <c r="J6" s="2499"/>
      <c r="K6" s="2560"/>
      <c r="L6" s="2561"/>
      <c r="M6" s="2561"/>
      <c r="N6" s="2561"/>
      <c r="O6" s="2561"/>
      <c r="P6" s="2561"/>
      <c r="Q6" s="2561"/>
      <c r="R6" s="2561"/>
      <c r="S6" s="2561"/>
      <c r="T6" s="2561"/>
      <c r="U6" s="2561"/>
      <c r="V6" s="2561"/>
      <c r="W6" s="2561"/>
      <c r="X6" s="2561"/>
      <c r="Y6" s="2561"/>
      <c r="Z6" s="2561"/>
      <c r="AA6" s="2561"/>
      <c r="AB6" s="2561"/>
      <c r="AC6" s="2561"/>
      <c r="AD6" s="2561"/>
      <c r="AE6" s="2561"/>
      <c r="AF6" s="2561"/>
      <c r="AG6" s="2561"/>
    </row>
    <row r="7" s="2478" customFormat="1" ht="13.5" customHeight="1" spans="1:33">
      <c r="A7" s="2498" t="s">
        <v>902</v>
      </c>
      <c r="B7" s="2172" t="s">
        <v>456</v>
      </c>
      <c r="C7" s="2500">
        <f>SUMIF('数据-汇总表'!$C19:$C33,假设开发法!C5,'数据-汇总表'!$E19:$E33)</f>
        <v>0</v>
      </c>
      <c r="D7" s="2500">
        <f>SUMIF('数据-汇总表'!$C19:$C33,假设开发法!D5,'数据-汇总表'!$E19:$E33)</f>
        <v>0</v>
      </c>
      <c r="E7" s="2500">
        <f>SUMIF('数据-汇总表'!$C19:$C33,假设开发法!E5,'数据-汇总表'!$E19:$E33)</f>
        <v>0</v>
      </c>
      <c r="F7" s="2500">
        <f>SUMIF('数据-汇总表'!$C19:$C33,假设开发法!F5,'数据-汇总表'!$E19:$E33)</f>
        <v>0</v>
      </c>
      <c r="G7" s="2500">
        <f>SUMIF('数据-汇总表'!$C19:$C33,假设开发法!G5,'数据-汇总表'!$E19:$E33)</f>
        <v>0</v>
      </c>
      <c r="H7" s="2500">
        <f>SUMIF('数据-汇总表'!$C19:$C33,假设开发法!H5,'数据-汇总表'!$E19:$E33)</f>
        <v>0</v>
      </c>
      <c r="I7" s="2500">
        <f>SUMIF('数据-汇总表'!$C19:$C33,假设开发法!I5,'数据-汇总表'!$E19:$E33)</f>
        <v>0</v>
      </c>
      <c r="J7" s="2500">
        <f>SUMIF('数据-汇总表'!$C19:$C33,假设开发法!J5,'数据-汇总表'!$E19:$E33)</f>
        <v>0</v>
      </c>
      <c r="K7" s="2562">
        <f>SUMIF('数据-汇总表'!$C19:$C33,假设开发法!K5,'数据-汇总表'!$E19:$E33)</f>
        <v>0</v>
      </c>
      <c r="L7" s="2561"/>
      <c r="M7" s="2561"/>
      <c r="N7" s="2561"/>
      <c r="O7" s="2561"/>
      <c r="P7" s="2561"/>
      <c r="Q7" s="2561"/>
      <c r="R7" s="2561"/>
      <c r="S7" s="2561"/>
      <c r="T7" s="2561"/>
      <c r="U7" s="2561"/>
      <c r="V7" s="2561"/>
      <c r="W7" s="2561"/>
      <c r="X7" s="2561"/>
      <c r="Y7" s="2561"/>
      <c r="Z7" s="2561"/>
      <c r="AA7" s="2561"/>
      <c r="AB7" s="2561"/>
      <c r="AC7" s="2561"/>
      <c r="AD7" s="2561"/>
      <c r="AE7" s="2561"/>
      <c r="AF7" s="2561"/>
      <c r="AG7" s="2561"/>
    </row>
    <row r="8" s="2478" customFormat="1" ht="13.5" customHeight="1" spans="1:33">
      <c r="A8" s="2501" t="s">
        <v>949</v>
      </c>
      <c r="B8" s="2502" t="s">
        <v>1099</v>
      </c>
      <c r="C8" s="2503"/>
      <c r="D8" s="2503"/>
      <c r="E8" s="2503"/>
      <c r="F8" s="2504"/>
      <c r="G8" s="2504"/>
      <c r="H8" s="2504"/>
      <c r="I8" s="2504"/>
      <c r="J8" s="2504"/>
      <c r="K8" s="2563"/>
      <c r="L8" s="2561"/>
      <c r="M8" s="2561"/>
      <c r="N8" s="2561"/>
      <c r="O8" s="2561"/>
      <c r="P8" s="2561"/>
      <c r="Q8" s="2561"/>
      <c r="R8" s="2561"/>
      <c r="S8" s="2561"/>
      <c r="T8" s="2561"/>
      <c r="U8" s="2561"/>
      <c r="V8" s="2561"/>
      <c r="W8" s="2561"/>
      <c r="X8" s="2561"/>
      <c r="Y8" s="2561"/>
      <c r="Z8" s="2561"/>
      <c r="AA8" s="2561"/>
      <c r="AB8" s="2561"/>
      <c r="AC8" s="2561"/>
      <c r="AD8" s="2561"/>
      <c r="AE8" s="2561"/>
      <c r="AF8" s="2561"/>
      <c r="AG8" s="2561"/>
    </row>
    <row r="9" s="2476" customFormat="1" ht="16.5" customHeight="1" spans="1:11">
      <c r="A9" s="2492" t="s">
        <v>1100</v>
      </c>
      <c r="B9" s="2493"/>
      <c r="C9" s="2493"/>
      <c r="D9" s="2493"/>
      <c r="E9" s="2493"/>
      <c r="F9" s="2493"/>
      <c r="G9" s="2493"/>
      <c r="H9" s="2493"/>
      <c r="I9" s="2493"/>
      <c r="J9" s="2493"/>
      <c r="K9" s="2558"/>
    </row>
    <row r="10" s="2479" customFormat="1" ht="13.5" customHeight="1" spans="1:11">
      <c r="A10" s="2495" t="s">
        <v>1096</v>
      </c>
      <c r="B10" s="2505" t="s">
        <v>1097</v>
      </c>
      <c r="C10" s="2506" t="s">
        <v>1101</v>
      </c>
      <c r="D10" s="2507" t="s">
        <v>1102</v>
      </c>
      <c r="E10" s="2507" t="s">
        <v>1103</v>
      </c>
      <c r="F10" s="2507" t="s">
        <v>1104</v>
      </c>
      <c r="G10" s="2505"/>
      <c r="H10" s="2508"/>
      <c r="I10" s="2508"/>
      <c r="J10" s="2508"/>
      <c r="K10" s="2564"/>
    </row>
    <row r="11" s="2480" customFormat="1" ht="13.5" customHeight="1" spans="1:11">
      <c r="A11" s="2509" t="s">
        <v>1005</v>
      </c>
      <c r="B11" s="2510" t="s">
        <v>1105</v>
      </c>
      <c r="C11" s="2511">
        <f ca="1">IF(C1="",'数据-取费表'!P16,INDIRECT("'数据-取费表'!p"&amp;$K$1)+INDIRECT("'数据-取费表'!ar"&amp;$K$1))</f>
        <v>0</v>
      </c>
      <c r="D11" s="2512"/>
      <c r="E11" s="2175"/>
      <c r="F11" s="2513">
        <f ca="1">1-IF('数据-取费表'!B24=0,1,IF(C1="",'数据-取费表'!N16,INDIRECT("'数据-取费表'!n"&amp;$K$1)))</f>
        <v>0</v>
      </c>
      <c r="G11" s="2505"/>
      <c r="H11" s="2508"/>
      <c r="I11" s="2508"/>
      <c r="J11" s="2508"/>
      <c r="K11" s="2564"/>
    </row>
    <row r="12" s="2480" customFormat="1" ht="13.5" customHeight="1" spans="1:11">
      <c r="A12" s="2509" t="s">
        <v>1008</v>
      </c>
      <c r="B12" s="2510" t="s">
        <v>1106</v>
      </c>
      <c r="C12" s="1427">
        <f ca="1">ROUND(C11*F12,0)</f>
        <v>0</v>
      </c>
      <c r="D12" s="2512"/>
      <c r="E12" s="2175"/>
      <c r="F12" s="2513">
        <f>'数据-取费表'!B33</f>
        <v>0.03</v>
      </c>
      <c r="G12" s="2505" t="s">
        <v>1107</v>
      </c>
      <c r="H12" s="2508"/>
      <c r="I12" s="2508"/>
      <c r="J12" s="2508"/>
      <c r="K12" s="2564"/>
    </row>
    <row r="13" s="2480" customFormat="1" ht="13.5" customHeight="1" spans="1:11">
      <c r="A13" s="2509" t="s">
        <v>1108</v>
      </c>
      <c r="B13" s="2510" t="s">
        <v>1109</v>
      </c>
      <c r="C13" s="1427">
        <f ca="1">ROUND(IF(C1="",SUMIF('数据-取费表'!C:C,"住宅",'数据-取费表'!P:P)*F13,IF(INDIRECT("'数据-取费表'!c"&amp;$K$1)="住宅",INDIRECT("'数据-取费表'!P"&amp;$K$1)*F13,0)),0)</f>
        <v>0</v>
      </c>
      <c r="D13" s="2514"/>
      <c r="E13" s="2175"/>
      <c r="F13" s="2513">
        <f>'数据-取费表'!B34</f>
        <v>0.05</v>
      </c>
      <c r="G13" s="2505" t="s">
        <v>1110</v>
      </c>
      <c r="H13" s="2508"/>
      <c r="I13" s="2508"/>
      <c r="J13" s="2508"/>
      <c r="K13" s="2564"/>
    </row>
    <row r="14" s="2481" customFormat="1" ht="13.5" customHeight="1" spans="1:33">
      <c r="A14" s="2509" t="s">
        <v>1111</v>
      </c>
      <c r="B14" s="2510" t="s">
        <v>1112</v>
      </c>
      <c r="C14" s="1427">
        <f ca="1">ROUND(D14*E14*F11/10000,0)</f>
        <v>0</v>
      </c>
      <c r="D14" s="2514">
        <f ca="1">IF(C1="",'数据-汇总表'!E3,INDIRECT("'数据-取费表'!K"&amp;$K$1)+INDIRECT("'数据-取费表'!S"&amp;$K$1))</f>
        <v>444.98</v>
      </c>
      <c r="E14" s="1427">
        <f>'数据-取费表'!B35</f>
        <v>200</v>
      </c>
      <c r="F14" s="2515"/>
      <c r="G14" s="2505" t="s">
        <v>1113</v>
      </c>
      <c r="H14" s="2508"/>
      <c r="I14" s="2508"/>
      <c r="J14" s="2508"/>
      <c r="K14" s="256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2481" customFormat="1" ht="13.5" customHeight="1" spans="1:33">
      <c r="A15" s="2509" t="s">
        <v>1114</v>
      </c>
      <c r="B15" s="2510" t="s">
        <v>1115</v>
      </c>
      <c r="C15" s="2516">
        <f ca="1">ROUND(C11*F15,0)</f>
        <v>0</v>
      </c>
      <c r="D15" s="2517"/>
      <c r="E15" s="2516"/>
      <c r="F15" s="2513">
        <f>'数据-取费表'!B36</f>
        <v>0.015</v>
      </c>
      <c r="G15" s="2172" t="s">
        <v>1116</v>
      </c>
      <c r="H15" s="2287"/>
      <c r="I15" s="2287"/>
      <c r="J15" s="2287"/>
      <c r="K15" s="2288"/>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2481" customFormat="1" ht="13.5" customHeight="1" spans="1:33">
      <c r="A16" s="2509" t="s">
        <v>921</v>
      </c>
      <c r="B16" s="2510" t="s">
        <v>1117</v>
      </c>
      <c r="C16" s="2516">
        <f ca="1">SUM(C11:C15)</f>
        <v>0</v>
      </c>
      <c r="D16" s="2517"/>
      <c r="E16" s="2516"/>
      <c r="F16" s="2513"/>
      <c r="G16" s="2172"/>
      <c r="H16" s="2518"/>
      <c r="I16" s="2287"/>
      <c r="J16" s="2287"/>
      <c r="K16" s="2288"/>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2481" customFormat="1" ht="13.5" customHeight="1" spans="1:33">
      <c r="A17" s="2509" t="s">
        <v>926</v>
      </c>
      <c r="B17" s="2510" t="s">
        <v>1118</v>
      </c>
      <c r="C17" s="1427">
        <f ca="1">ROUND(D17*E17/10000,0)</f>
        <v>0</v>
      </c>
      <c r="D17" s="2514">
        <f ca="1">D14</f>
        <v>444.98</v>
      </c>
      <c r="E17" s="1427">
        <f>'数据-取费表'!B32</f>
        <v>0</v>
      </c>
      <c r="F17" s="2517"/>
      <c r="G17" s="2172" t="s">
        <v>1119</v>
      </c>
      <c r="H17" s="2518"/>
      <c r="I17" s="2287"/>
      <c r="J17" s="2287"/>
      <c r="K17" s="2288"/>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2480" customFormat="1" ht="13.5" customHeight="1" spans="1:11">
      <c r="A18" s="2509" t="s">
        <v>1120</v>
      </c>
      <c r="B18" s="2510" t="s">
        <v>1121</v>
      </c>
      <c r="C18" s="1427">
        <f ca="1">C19+C20-IF(C1="",'数据-取费表'!B29,IF(G18="已全部缴纳",C19+C20,H18))</f>
        <v>9</v>
      </c>
      <c r="D18" s="2514"/>
      <c r="E18" s="1427"/>
      <c r="F18" s="2515"/>
      <c r="G18" s="2519"/>
      <c r="H18" s="2520"/>
      <c r="I18" s="2565" t="s">
        <v>1122</v>
      </c>
      <c r="J18" s="2287"/>
      <c r="K18" s="2288"/>
    </row>
    <row r="19" s="2480" customFormat="1" ht="13.5" customHeight="1" spans="1:11">
      <c r="A19" s="2509" t="s">
        <v>1005</v>
      </c>
      <c r="B19" s="2510" t="s">
        <v>443</v>
      </c>
      <c r="C19" s="1427">
        <f ca="1">ROUND(D19*E19/10000,0)</f>
        <v>0</v>
      </c>
      <c r="D19" s="2514">
        <f ca="1">IF(C1="",'数据-汇总表'!E5,IF(INDIRECT("'数据-取费表'!c"&amp;$K$1)="住宅",INDIRECT("'数据-取费表'!k"&amp;$K$1),0))</f>
        <v>0</v>
      </c>
      <c r="E19" s="1427">
        <f>'数据-取费表'!B27</f>
        <v>0</v>
      </c>
      <c r="F19" s="2515"/>
      <c r="G19" s="2286"/>
      <c r="H19" s="2521"/>
      <c r="I19" s="2402"/>
      <c r="J19" s="2402"/>
      <c r="K19" s="2566"/>
    </row>
    <row r="20" s="2480" customFormat="1" ht="13.5" customHeight="1" spans="1:11">
      <c r="A20" s="2509" t="s">
        <v>1008</v>
      </c>
      <c r="B20" s="2510" t="s">
        <v>1123</v>
      </c>
      <c r="C20" s="1427">
        <f ca="1">ROUND(D20*E20/10000,0)</f>
        <v>9</v>
      </c>
      <c r="D20" s="2514">
        <f ca="1">IF(C1="",'数据-汇总表'!E6,IF(INDIRECT("'数据-取费表'!c"&amp;$K$1)="住宅",INDIRECT("'数据-取费表'!s"&amp;$K$1),INDIRECT("'数据-取费表'!k"&amp;$K$1)+INDIRECT("'数据-取费表'!s"&amp;$K$1)))</f>
        <v>444.98</v>
      </c>
      <c r="E20" s="1427">
        <f>'数据-取费表'!B28</f>
        <v>200</v>
      </c>
      <c r="F20" s="2515"/>
      <c r="G20" s="2286"/>
      <c r="H20" s="2402"/>
      <c r="I20" s="2402"/>
      <c r="J20" s="2402"/>
      <c r="K20" s="2566"/>
    </row>
    <row r="21" s="2480" customFormat="1" ht="13.5" customHeight="1" spans="1:11">
      <c r="A21" s="2498" t="s">
        <v>898</v>
      </c>
      <c r="B21" s="2522" t="s">
        <v>1124</v>
      </c>
      <c r="C21" s="2523">
        <f ca="1">C16+C17+C18</f>
        <v>9</v>
      </c>
      <c r="D21" s="2524"/>
      <c r="E21" s="2525"/>
      <c r="F21" s="2525"/>
      <c r="G21" s="2172" t="s">
        <v>1125</v>
      </c>
      <c r="H21" s="2287"/>
      <c r="I21" s="2287"/>
      <c r="J21" s="2287"/>
      <c r="K21" s="2288"/>
    </row>
    <row r="22" s="2480" customFormat="1" ht="13.5" customHeight="1" spans="1:11">
      <c r="A22" s="2498" t="s">
        <v>902</v>
      </c>
      <c r="B22" s="2522" t="s">
        <v>1126</v>
      </c>
      <c r="C22" s="2523">
        <f ca="1">ROUND(C21*F22,0)</f>
        <v>0</v>
      </c>
      <c r="D22" s="2525"/>
      <c r="E22" s="2525"/>
      <c r="F22" s="2526">
        <f>'数据-取费表'!B37</f>
        <v>0.02</v>
      </c>
      <c r="G22" s="2505" t="s">
        <v>1127</v>
      </c>
      <c r="H22" s="2508"/>
      <c r="I22" s="2508"/>
      <c r="J22" s="2508"/>
      <c r="K22" s="2564"/>
    </row>
    <row r="23" s="2480" customFormat="1" ht="13.5" customHeight="1" spans="1:11">
      <c r="A23" s="2498" t="s">
        <v>949</v>
      </c>
      <c r="B23" s="2522" t="s">
        <v>1128</v>
      </c>
      <c r="C23" s="2523">
        <f ca="1">ROUND(C4*F23*F11,0)</f>
        <v>0</v>
      </c>
      <c r="D23" s="2525"/>
      <c r="E23" s="2525"/>
      <c r="F23" s="2526">
        <f>'数据-取费表'!B38</f>
        <v>0.02</v>
      </c>
      <c r="G23" s="2505" t="s">
        <v>1129</v>
      </c>
      <c r="H23" s="2508"/>
      <c r="I23" s="2508"/>
      <c r="J23" s="2508"/>
      <c r="K23" s="2564"/>
    </row>
    <row r="24" s="2480" customFormat="1" ht="13.5" customHeight="1" spans="1:11">
      <c r="A24" s="2498" t="s">
        <v>952</v>
      </c>
      <c r="B24" s="2522" t="s">
        <v>1130</v>
      </c>
      <c r="C24" s="2527">
        <f>ROUND(F24/(1+'数据-取费表'!C42),4)</f>
        <v>0.029</v>
      </c>
      <c r="D24" s="2525" t="s">
        <v>1131</v>
      </c>
      <c r="E24" s="2525"/>
      <c r="F24" s="2526">
        <f>IF(项目基本情况!B8="出让",0,'数据-取费表'!B48+'数据-取费表'!B49)</f>
        <v>0.0305</v>
      </c>
      <c r="G24" s="2505" t="s">
        <v>1132</v>
      </c>
      <c r="H24" s="2528"/>
      <c r="I24" s="2528"/>
      <c r="J24" s="2528"/>
      <c r="K24" s="2567"/>
    </row>
    <row r="25" s="2480" customFormat="1" ht="13.5" customHeight="1" spans="1:11">
      <c r="A25" s="2498" t="s">
        <v>956</v>
      </c>
      <c r="B25" s="2524" t="s">
        <v>1133</v>
      </c>
      <c r="C25" s="2529">
        <f ca="1">C27</f>
        <v>0</v>
      </c>
      <c r="D25" s="2527">
        <f ca="1">C26</f>
        <v>0</v>
      </c>
      <c r="E25" s="2530" t="s">
        <v>1131</v>
      </c>
      <c r="F25" s="2531">
        <f ca="1">'数据-取费表'!B40</f>
        <v>0.0415</v>
      </c>
      <c r="G25" s="2172" t="str">
        <f>IF('数据-取费表'!B22&lt;=1,"单利计息。","复利计息。")&amp;"后续开发成本、管理费用及销售费用产生的利息。"</f>
        <v>复利计息。后续开发成本、管理费用及销售费用产生的利息。</v>
      </c>
      <c r="H25" s="2528"/>
      <c r="I25" s="2528"/>
      <c r="J25" s="2528"/>
      <c r="K25" s="2567"/>
    </row>
    <row r="26" s="2482" customFormat="1" ht="13.5" customHeight="1" spans="1:11">
      <c r="A26" s="2509" t="s">
        <v>921</v>
      </c>
      <c r="B26" s="2532" t="s">
        <v>1134</v>
      </c>
      <c r="C26" s="2533">
        <f ca="1">ROUND(IF('数据-取费表'!B22&lt;=1,(1+C24)*F25*'数据-取费表'!B24,(1+C24)*(POWER((1+F25),'数据-取费表'!B24)-1)),4)</f>
        <v>0</v>
      </c>
      <c r="D26" s="2534"/>
      <c r="E26" s="2535"/>
      <c r="F26" s="2536"/>
      <c r="G26" s="2537" t="str">
        <f>IF('数据-取费表'!B22&lt;=1,"（(1)+取得税费率/(1+5%)）×年利率×建设期","（(1)+取得税费率）/(1+5%)×((1+年利率)^建设期-1)")</f>
        <v>（(1)+取得税费率）/(1+5%)×((1+年利率)^建设期-1)</v>
      </c>
      <c r="H26" s="2287"/>
      <c r="I26" s="2287"/>
      <c r="J26" s="2287"/>
      <c r="K26" s="2288"/>
    </row>
    <row r="27" s="2482" customFormat="1" ht="13.5" customHeight="1" spans="1:11">
      <c r="A27" s="2509" t="s">
        <v>926</v>
      </c>
      <c r="B27" s="2532" t="s">
        <v>1135</v>
      </c>
      <c r="C27" s="2538">
        <f ca="1">ROUND(IF('数据-取费表'!B22&lt;=1,(C21+C22+C23)*F25*'数据-取费表'!B24/2,(C21+C22+C23)*(POWER((1+F25),'数据-取费表'!B24/2)-1)),0)</f>
        <v>0</v>
      </c>
      <c r="D27" s="2534"/>
      <c r="E27" s="2535"/>
      <c r="F27" s="2536"/>
      <c r="G27" s="2537" t="str">
        <f>IF('数据-取费表'!B22&lt;=1,"（1）-（3）项×年利率×建设期÷2","（1）-（3）项×((1+年利率)^(建设期÷2)-1)")</f>
        <v>（1）-（3）项×((1+年利率)^(建设期÷2)-1)</v>
      </c>
      <c r="H27" s="2287"/>
      <c r="I27" s="2287"/>
      <c r="J27" s="2287"/>
      <c r="K27" s="2288"/>
    </row>
    <row r="28" s="2483" customFormat="1" ht="13.5" customHeight="1" spans="1:11">
      <c r="A28" s="2498" t="s">
        <v>957</v>
      </c>
      <c r="B28" s="2539" t="s">
        <v>1136</v>
      </c>
      <c r="C28" s="2540">
        <f ca="1">C30</f>
        <v>2</v>
      </c>
      <c r="D28" s="2527">
        <f ca="1">C29</f>
        <v>0</v>
      </c>
      <c r="E28" s="2530" t="s">
        <v>1131</v>
      </c>
      <c r="F28" s="1610">
        <f ca="1">IF(C1="",'数据-取费表'!Q16,INDIRECT("'数据-取费表'!q"&amp;$K$1))</f>
        <v>0.2</v>
      </c>
      <c r="G28" s="2541"/>
      <c r="H28" s="2528"/>
      <c r="I28" s="2528"/>
      <c r="J28" s="2528"/>
      <c r="K28" s="2567"/>
    </row>
    <row r="29" s="2484" customFormat="1" ht="13.5" customHeight="1" spans="1:11">
      <c r="A29" s="2509" t="s">
        <v>921</v>
      </c>
      <c r="B29" s="2542" t="s">
        <v>1137</v>
      </c>
      <c r="C29" s="2534">
        <f ca="1">ROUND((1+C24)*F28*'数据-取费表'!B24/'数据-取费表'!B20,4)</f>
        <v>0</v>
      </c>
      <c r="D29" s="2534"/>
      <c r="E29" s="2535"/>
      <c r="F29" s="2543"/>
      <c r="G29" s="2172" t="s">
        <v>1138</v>
      </c>
      <c r="H29" s="2287"/>
      <c r="I29" s="2287"/>
      <c r="J29" s="2287"/>
      <c r="K29" s="2288"/>
    </row>
    <row r="30" s="2484" customFormat="1" ht="13.5" customHeight="1" spans="1:11">
      <c r="A30" s="2509" t="s">
        <v>926</v>
      </c>
      <c r="B30" s="2542" t="s">
        <v>1139</v>
      </c>
      <c r="C30" s="2544">
        <f ca="1">ROUND((C21+C22+C23)*F28,0)</f>
        <v>2</v>
      </c>
      <c r="D30" s="2534"/>
      <c r="E30" s="2535"/>
      <c r="F30" s="2543"/>
      <c r="G30" s="2172"/>
      <c r="H30" s="2287"/>
      <c r="I30" s="2287"/>
      <c r="J30" s="2287"/>
      <c r="K30" s="2288"/>
    </row>
    <row r="31" s="2480" customFormat="1" ht="13.5" customHeight="1" spans="1:11">
      <c r="A31" s="2545" t="s">
        <v>1140</v>
      </c>
      <c r="B31" s="2546" t="s">
        <v>1141</v>
      </c>
      <c r="C31" s="2547">
        <f>ROUND(C4*F31/(1+'数据-取费表'!C42),0)</f>
        <v>0</v>
      </c>
      <c r="D31" s="2548"/>
      <c r="E31" s="2549"/>
      <c r="F31" s="2550">
        <f>'数据-取费表'!B41</f>
        <v>0.055</v>
      </c>
      <c r="G31" s="2551" t="s">
        <v>1142</v>
      </c>
      <c r="H31" s="2552"/>
      <c r="I31" s="2552"/>
      <c r="J31" s="2552"/>
      <c r="K31" s="2568"/>
    </row>
    <row r="32" s="2479" customFormat="1" ht="13.5" customHeight="1" spans="1:11">
      <c r="A32" s="2553" t="s">
        <v>1143</v>
      </c>
      <c r="B32" s="2554"/>
      <c r="C32" s="2555">
        <f ca="1">ROUND((C4-C21-C22-C23-C25-C28-C31)/(1+C24+D25+D28),0)</f>
        <v>-11</v>
      </c>
      <c r="D32" s="2554"/>
      <c r="E32" s="2554"/>
      <c r="F32" s="2554"/>
      <c r="G32" s="2556" t="s">
        <v>1144</v>
      </c>
      <c r="H32" s="2554"/>
      <c r="I32" s="2554"/>
      <c r="J32" s="2554"/>
      <c r="K32" s="25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5.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8"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9"/>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5"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70"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71"/>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72" t="s">
        <v>1281</v>
      </c>
      <c r="B53" s="2473"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4"/>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opLeftCell="A26" workbookViewId="0">
      <selection activeCell="K41" sqref="K41"/>
    </sheetView>
  </sheetViews>
  <sheetFormatPr defaultColWidth="9" defaultRowHeight="14.4"/>
  <cols>
    <col min="6" max="6" width="8.77777777777778" customWidth="1"/>
    <col min="7" max="7" width="10.8888888888889" customWidth="1"/>
    <col min="8" max="8" width="13.3333333333333" customWidth="1"/>
    <col min="9" max="9" width="12" customWidth="1"/>
    <col min="11" max="11" width="32.1111111111111"/>
  </cols>
  <sheetData>
    <row r="24" ht="13.5" customHeight="1" spans="4:9">
      <c r="D24" s="2387" t="s">
        <v>1332</v>
      </c>
      <c r="E24" s="2388"/>
      <c r="F24" s="2388"/>
      <c r="G24" s="2388"/>
      <c r="H24" s="2388"/>
      <c r="I24" s="2444"/>
    </row>
    <row r="25" ht="13.5" customHeight="1" spans="4:9">
      <c r="D25" s="1034">
        <v>1</v>
      </c>
      <c r="E25" s="2389" t="s">
        <v>378</v>
      </c>
      <c r="F25" s="2390"/>
      <c r="G25" s="2391"/>
      <c r="H25" s="2392"/>
      <c r="I25" s="2445"/>
    </row>
    <row r="26" spans="4:9">
      <c r="D26" s="1034">
        <v>2</v>
      </c>
      <c r="E26" s="2389" t="s">
        <v>341</v>
      </c>
      <c r="F26" s="2390"/>
      <c r="G26" s="2393">
        <f>结果表!M47</f>
        <v>45042</v>
      </c>
      <c r="H26" s="2394"/>
      <c r="I26" s="2446"/>
    </row>
    <row r="27" spans="4:9">
      <c r="D27" s="1034">
        <v>3</v>
      </c>
      <c r="E27" s="2389" t="s">
        <v>1333</v>
      </c>
      <c r="F27" s="2390"/>
      <c r="G27" s="2395">
        <f ca="1">系统读取表!D14*10000</f>
        <v>14163268</v>
      </c>
      <c r="H27" s="2396"/>
      <c r="I27" s="2447"/>
    </row>
    <row r="28" ht="38.25" customHeight="1" spans="4:9">
      <c r="D28" s="1034">
        <v>4</v>
      </c>
      <c r="E28" s="2389" t="s">
        <v>330</v>
      </c>
      <c r="F28" s="2390"/>
      <c r="G28" s="2395">
        <f ca="1">G27</f>
        <v>14163268</v>
      </c>
      <c r="H28" s="2396"/>
      <c r="I28" s="2447"/>
    </row>
    <row r="29" ht="13.5" customHeight="1" spans="4:9">
      <c r="D29" s="2387" t="s">
        <v>1334</v>
      </c>
      <c r="E29" s="2388"/>
      <c r="F29" s="2388"/>
      <c r="G29" s="2388"/>
      <c r="H29" s="2388"/>
      <c r="I29" s="2444"/>
    </row>
    <row r="30" spans="4:9">
      <c r="D30" s="2397" t="s">
        <v>1335</v>
      </c>
      <c r="E30" s="2397" t="s">
        <v>1336</v>
      </c>
      <c r="F30" s="2397"/>
      <c r="G30" s="2398" t="s">
        <v>1337</v>
      </c>
      <c r="H30" s="2397" t="s">
        <v>1338</v>
      </c>
      <c r="I30" s="2397" t="s">
        <v>1339</v>
      </c>
    </row>
    <row r="31" ht="38.4" spans="4:9">
      <c r="D31" s="1034">
        <v>1</v>
      </c>
      <c r="E31" s="1034" t="s">
        <v>1340</v>
      </c>
      <c r="F31" s="1034"/>
      <c r="G31" s="2399">
        <f ca="1">F64</f>
        <v>293086</v>
      </c>
      <c r="H31" s="1034" t="s">
        <v>1341</v>
      </c>
      <c r="I31" s="2448">
        <v>0.055</v>
      </c>
    </row>
    <row r="32" ht="25.2" spans="4:9">
      <c r="D32" s="1034">
        <v>2</v>
      </c>
      <c r="E32" s="1034" t="s">
        <v>1342</v>
      </c>
      <c r="F32" s="1034"/>
      <c r="G32" s="2400">
        <f ca="1">ROUND(F60*I32,0)</f>
        <v>3966</v>
      </c>
      <c r="H32" s="1034" t="s">
        <v>1343</v>
      </c>
      <c r="I32" s="2448">
        <v>0.0005</v>
      </c>
    </row>
    <row r="33" ht="25.2" spans="4:9">
      <c r="D33" s="1034">
        <v>3</v>
      </c>
      <c r="E33" s="1034" t="s">
        <v>1344</v>
      </c>
      <c r="F33" s="1034"/>
      <c r="G33" s="2400">
        <f ca="1">F55</f>
        <v>1171796</v>
      </c>
      <c r="H33" s="1034" t="s">
        <v>1345</v>
      </c>
      <c r="I33" s="2449" t="s">
        <v>124</v>
      </c>
    </row>
    <row r="34" spans="4:9">
      <c r="D34" s="1034" t="s">
        <v>1346</v>
      </c>
      <c r="E34" s="1034" t="s">
        <v>124</v>
      </c>
      <c r="F34" s="1034"/>
      <c r="G34" s="2401" t="s">
        <v>124</v>
      </c>
      <c r="H34" s="1015" t="s">
        <v>124</v>
      </c>
      <c r="I34" s="2450" t="s">
        <v>124</v>
      </c>
    </row>
    <row r="35" spans="4:9">
      <c r="D35" s="1034" t="s">
        <v>1346</v>
      </c>
      <c r="E35" s="2286" t="s">
        <v>1346</v>
      </c>
      <c r="F35" s="2402"/>
      <c r="G35" s="2400" t="s">
        <v>1346</v>
      </c>
      <c r="H35" s="2286" t="s">
        <v>1346</v>
      </c>
      <c r="I35" s="2136"/>
    </row>
    <row r="36" spans="4:11">
      <c r="D36" s="1034">
        <v>4</v>
      </c>
      <c r="E36" s="1034" t="s">
        <v>350</v>
      </c>
      <c r="F36" s="2403" t="s">
        <v>1347</v>
      </c>
      <c r="G36" s="2404"/>
      <c r="H36" s="2405">
        <f ca="1">G31+G32+G33</f>
        <v>1468848</v>
      </c>
      <c r="I36" s="2451"/>
      <c r="K36" s="2452">
        <f ca="1">H36</f>
        <v>1468848</v>
      </c>
    </row>
    <row r="37" spans="4:9">
      <c r="D37" s="1034"/>
      <c r="E37" s="1034"/>
      <c r="F37" s="2403" t="s">
        <v>1348</v>
      </c>
      <c r="G37" s="2406"/>
      <c r="H37" s="2407">
        <f ca="1">H36</f>
        <v>1468848</v>
      </c>
      <c r="I37" s="2453"/>
    </row>
    <row r="38" spans="4:11">
      <c r="D38" s="1015">
        <v>5</v>
      </c>
      <c r="E38" s="1034" t="s">
        <v>336</v>
      </c>
      <c r="F38" s="1034" t="s">
        <v>1347</v>
      </c>
      <c r="G38" s="2408"/>
      <c r="H38" s="2409">
        <f ca="1">G28-H36</f>
        <v>12694420</v>
      </c>
      <c r="I38" s="2454"/>
      <c r="K38" s="2452">
        <f ca="1">H38</f>
        <v>12694420</v>
      </c>
    </row>
    <row r="39" spans="4:9">
      <c r="D39" s="1020"/>
      <c r="E39" s="1034"/>
      <c r="F39" s="2403" t="s">
        <v>1348</v>
      </c>
      <c r="G39" s="2406"/>
      <c r="H39" s="2407">
        <f ca="1">H36</f>
        <v>1468848</v>
      </c>
      <c r="I39" s="2453"/>
    </row>
    <row r="40" spans="4:9">
      <c r="D40" s="1034">
        <v>6</v>
      </c>
      <c r="E40" s="1034" t="s">
        <v>1349</v>
      </c>
      <c r="F40" s="1034"/>
      <c r="G40" s="2410"/>
      <c r="H40" s="2411">
        <f ca="1">ROUND(H38/系统读取表!B1,0)</f>
        <v>28528</v>
      </c>
      <c r="I40" s="2455"/>
    </row>
    <row r="44" ht="15.15" spans="6:6">
      <c r="F44" s="2412">
        <v>0.56</v>
      </c>
    </row>
    <row r="45" spans="4:11">
      <c r="D45" s="2413" t="s">
        <v>892</v>
      </c>
      <c r="E45" s="985"/>
      <c r="F45" s="985"/>
      <c r="G45" s="985" t="s">
        <v>893</v>
      </c>
      <c r="H45" s="2414" t="s">
        <v>843</v>
      </c>
      <c r="I45" s="2456"/>
      <c r="J45" s="2456"/>
      <c r="K45" s="2457"/>
    </row>
    <row r="46" spans="4:11">
      <c r="D46" s="2415" t="s">
        <v>894</v>
      </c>
      <c r="E46" s="2416" t="s">
        <v>918</v>
      </c>
      <c r="F46" s="2417">
        <f ca="1">ROUND(G27*F44/(1+'数据-取费表'!C42),0)</f>
        <v>7553743</v>
      </c>
      <c r="G46" s="968" t="s">
        <v>124</v>
      </c>
      <c r="H46" s="2163"/>
      <c r="I46" s="2164"/>
      <c r="J46" s="2164"/>
      <c r="K46" s="2458"/>
    </row>
    <row r="47" ht="24" spans="4:11">
      <c r="D47" s="2415" t="s">
        <v>905</v>
      </c>
      <c r="E47" s="2418" t="s">
        <v>919</v>
      </c>
      <c r="F47" s="2417">
        <f ca="1">F48+F52</f>
        <v>4110448</v>
      </c>
      <c r="G47" s="968" t="s">
        <v>124</v>
      </c>
      <c r="H47" s="2163"/>
      <c r="I47" s="2164"/>
      <c r="J47" s="2164"/>
      <c r="K47" s="2458"/>
    </row>
    <row r="48" ht="36" spans="4:11">
      <c r="D48" s="2419" t="s">
        <v>898</v>
      </c>
      <c r="E48" s="968" t="s">
        <v>920</v>
      </c>
      <c r="F48" s="968">
        <f>ROUND(IF(J51="2016年5月1日后购买",F49/(1+'数据-取费表'!C42)+F50+F51,F49+F50+F51),0)</f>
        <v>4072679</v>
      </c>
      <c r="G48" s="968" t="s">
        <v>124</v>
      </c>
      <c r="H48" s="2163"/>
      <c r="I48" s="2164"/>
      <c r="J48" s="2164"/>
      <c r="K48" s="2458"/>
    </row>
    <row r="49" spans="4:11">
      <c r="D49" s="2419" t="s">
        <v>921</v>
      </c>
      <c r="E49" s="968" t="s">
        <v>922</v>
      </c>
      <c r="F49" s="2420">
        <v>2224900</v>
      </c>
      <c r="G49" s="968" t="s">
        <v>124</v>
      </c>
      <c r="H49" s="2421" t="s">
        <v>923</v>
      </c>
      <c r="I49" s="2459" t="s">
        <v>924</v>
      </c>
      <c r="J49" s="2421" t="s">
        <v>925</v>
      </c>
      <c r="K49" s="2460">
        <f>2023-2007</f>
        <v>16</v>
      </c>
    </row>
    <row r="50" ht="24" spans="4:11">
      <c r="D50" s="2419" t="s">
        <v>926</v>
      </c>
      <c r="E50" s="2422" t="s">
        <v>927</v>
      </c>
      <c r="F50" s="968">
        <f>IF(I49="购房发票",ROUND(F49*K49*G50,0),0)</f>
        <v>1779920</v>
      </c>
      <c r="G50" s="2423">
        <v>0.05</v>
      </c>
      <c r="H50" s="2163" t="s">
        <v>928</v>
      </c>
      <c r="I50" s="2164"/>
      <c r="J50" s="2164"/>
      <c r="K50" s="2461"/>
    </row>
    <row r="51" ht="38.4" spans="4:11">
      <c r="D51" s="2419" t="s">
        <v>929</v>
      </c>
      <c r="E51" s="968" t="s">
        <v>930</v>
      </c>
      <c r="F51" s="968">
        <f>ROUND(IF(J51="个人住宅",0,IF(J51="2016年5月1日前购买",F49*G51,F49*G51/(1+'数据-取费表'!C42))),0)</f>
        <v>67859</v>
      </c>
      <c r="G51" s="2424">
        <f>'数据-取费表'!B48+'数据-取费表'!B49</f>
        <v>0.0305</v>
      </c>
      <c r="H51" s="2286" t="s">
        <v>931</v>
      </c>
      <c r="I51" s="2462"/>
      <c r="J51" s="2463" t="s">
        <v>932</v>
      </c>
      <c r="K51" s="2461" t="str">
        <f>IF(J51="个人买卖住房","免征印花税"," ")</f>
        <v/>
      </c>
    </row>
    <row r="52" ht="24" spans="4:11">
      <c r="D52" s="2419" t="s">
        <v>902</v>
      </c>
      <c r="E52" s="968" t="s">
        <v>933</v>
      </c>
      <c r="F52" s="2425">
        <f ca="1">ROUND(G28*F44*G52/(1+'数据-取费表'!C42),0)</f>
        <v>37769</v>
      </c>
      <c r="G52" s="2426">
        <f>'数据-取费表'!B43</f>
        <v>0.005</v>
      </c>
      <c r="H52" s="2427" t="s">
        <v>934</v>
      </c>
      <c r="I52" s="2464"/>
      <c r="J52" s="2464"/>
      <c r="K52" s="2465"/>
    </row>
    <row r="53" spans="4:11">
      <c r="D53" s="2415" t="s">
        <v>910</v>
      </c>
      <c r="E53" s="2416" t="s">
        <v>935</v>
      </c>
      <c r="F53" s="2417">
        <f ca="1">F46-F47</f>
        <v>3443295</v>
      </c>
      <c r="G53" s="968" t="s">
        <v>124</v>
      </c>
      <c r="H53" s="2163"/>
      <c r="I53" s="2164"/>
      <c r="J53" s="2164"/>
      <c r="K53" s="2458"/>
    </row>
    <row r="54" ht="36" spans="4:11">
      <c r="D54" s="2415" t="s">
        <v>913</v>
      </c>
      <c r="E54" s="2416" t="s">
        <v>936</v>
      </c>
      <c r="F54" s="2428">
        <f ca="1">IF(F53&lt;=0,0,F53/F47)</f>
        <v>0.837693360918323</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8"/>
    </row>
    <row r="55" ht="24.75" spans="4:11">
      <c r="D55" s="2429" t="s">
        <v>937</v>
      </c>
      <c r="E55" s="2430" t="s">
        <v>938</v>
      </c>
      <c r="F55" s="2431">
        <f ca="1">ROUND(IF(F53&lt;=0,0,IF(F54&gt;=200%,F53*60%-F47*35%,IF(F54&gt;=100%,F53*50%-F47*15%,IF(F54&gt;=50%,F53*40%-F47*5%,IF(F54&lt;50%,F53*30%,0))))),0)</f>
        <v>1171796</v>
      </c>
      <c r="G55" s="2432" t="s">
        <v>124</v>
      </c>
      <c r="H55" s="2433"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6"/>
      <c r="J55" s="2466"/>
      <c r="K55" s="2467"/>
    </row>
    <row r="57" ht="15.15"/>
    <row r="58" spans="4:8">
      <c r="D58" s="2413" t="s">
        <v>892</v>
      </c>
      <c r="E58" s="985"/>
      <c r="F58" s="985"/>
      <c r="G58" s="985" t="s">
        <v>893</v>
      </c>
      <c r="H58" s="2434" t="s">
        <v>843</v>
      </c>
    </row>
    <row r="59" spans="4:8">
      <c r="D59" s="2415" t="s">
        <v>894</v>
      </c>
      <c r="E59" s="1045" t="s">
        <v>895</v>
      </c>
      <c r="F59" s="2435">
        <f ca="1">ROUND((F60+F61)/(1+'数据-取费表'!C42),0)</f>
        <v>7553743</v>
      </c>
      <c r="G59" s="1045"/>
      <c r="H59" s="2436"/>
    </row>
    <row r="60" spans="4:8">
      <c r="D60" s="2419" t="s">
        <v>898</v>
      </c>
      <c r="E60" s="968" t="s">
        <v>899</v>
      </c>
      <c r="F60" s="2437">
        <f ca="1">ROUND(G28*F44,0)</f>
        <v>7931430</v>
      </c>
      <c r="G60" s="968" t="s">
        <v>124</v>
      </c>
      <c r="H60" s="2438"/>
    </row>
    <row r="61" spans="4:8">
      <c r="D61" s="2419" t="s">
        <v>902</v>
      </c>
      <c r="E61" s="968" t="s">
        <v>903</v>
      </c>
      <c r="F61" s="2439"/>
      <c r="G61" s="968"/>
      <c r="H61" s="2438"/>
    </row>
    <row r="62" ht="25.2" spans="4:8">
      <c r="D62" s="2415" t="s">
        <v>905</v>
      </c>
      <c r="E62" s="2416" t="s">
        <v>906</v>
      </c>
      <c r="F62" s="2440">
        <v>2224900</v>
      </c>
      <c r="G62" s="2416" t="s">
        <v>124</v>
      </c>
      <c r="H62" s="2441" t="s">
        <v>907</v>
      </c>
    </row>
    <row r="63" spans="4:8">
      <c r="D63" s="2415" t="s">
        <v>910</v>
      </c>
      <c r="E63" s="2416" t="s">
        <v>911</v>
      </c>
      <c r="F63" s="2417">
        <f ca="1">F59-F62</f>
        <v>5328843</v>
      </c>
      <c r="G63" s="968" t="s">
        <v>124</v>
      </c>
      <c r="H63" s="2438"/>
    </row>
    <row r="64" ht="15.15" spans="4:8">
      <c r="D64" s="2429" t="s">
        <v>913</v>
      </c>
      <c r="E64" s="2430" t="s">
        <v>914</v>
      </c>
      <c r="F64" s="2442">
        <f ca="1">IF(F63&lt;=0,0,ROUND(F63*G64,0))</f>
        <v>293086</v>
      </c>
      <c r="G64" s="1239">
        <f>'数据-取费表'!B41</f>
        <v>0.055</v>
      </c>
      <c r="H64" s="2443"/>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3" workbookViewId="0">
      <selection activeCell="I17" sqref="I17"/>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1928.7658</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43345</v>
      </c>
      <c r="C3" s="38" t="s">
        <v>1356</v>
      </c>
      <c r="D3" s="39">
        <f>IF(D1="",'数据-汇总表'!E3,SUMIF('数据-汇总表'!$C19:$C33,D1,'数据-汇总表'!$E19:$E33))</f>
        <v>444.98</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103</v>
      </c>
      <c r="G8" s="67" t="s">
        <v>1371</v>
      </c>
      <c r="H8" s="64">
        <f>SUMIF(61:61,G8,62:62)-SUMIF(61:61,C8,62:62)+100</f>
        <v>103</v>
      </c>
      <c r="I8" s="67" t="s">
        <v>1371</v>
      </c>
      <c r="J8" s="64">
        <f>SUMIF(61:61,I8,62:62)-SUMIF(61:61,C8,62:62)+100</f>
        <v>103</v>
      </c>
      <c r="K8" s="213"/>
      <c r="L8" s="214"/>
      <c r="M8" s="215"/>
      <c r="N8" s="215"/>
      <c r="O8" s="215"/>
      <c r="P8" s="216" t="s">
        <v>1372</v>
      </c>
      <c r="Q8" s="281"/>
      <c r="R8" s="278" t="s">
        <v>1369</v>
      </c>
      <c r="S8" s="279">
        <f t="shared" si="0"/>
        <v>103</v>
      </c>
      <c r="T8" s="278" t="s">
        <v>1369</v>
      </c>
      <c r="U8" s="279">
        <f t="shared" si="1"/>
        <v>103</v>
      </c>
      <c r="V8" s="278" t="s">
        <v>1369</v>
      </c>
      <c r="W8" s="279">
        <f t="shared" si="2"/>
        <v>103</v>
      </c>
      <c r="X8" s="280"/>
      <c r="Y8" s="216" t="s">
        <v>1372</v>
      </c>
      <c r="Z8" s="281"/>
      <c r="AA8" s="299">
        <f t="shared" ref="AA8:AA46" si="3">D8/F8</f>
        <v>0.970873786407767</v>
      </c>
      <c r="AB8" s="299">
        <f t="shared" ref="AB8:AB46" si="4">D8/H8</f>
        <v>0.970873786407767</v>
      </c>
      <c r="AC8" s="299">
        <f t="shared" ref="AC8:AC46" si="5">D8/J8</f>
        <v>0.970873786407767</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105</v>
      </c>
      <c r="G15" s="101"/>
      <c r="H15" s="98">
        <f>SUMIF(76:76,G16,77:77)-SUMIF(76:76,C16,77:77)+100</f>
        <v>105</v>
      </c>
      <c r="I15" s="99"/>
      <c r="J15" s="98">
        <f>SUMIF(76:76,I16,77:77)-SUMIF(76:76,C16,77:77)+100</f>
        <v>105</v>
      </c>
      <c r="K15" s="2385">
        <v>5</v>
      </c>
      <c r="L15" s="223"/>
      <c r="M15" s="209"/>
      <c r="N15" s="209"/>
      <c r="O15" s="209"/>
      <c r="P15" s="225" t="s">
        <v>1383</v>
      </c>
      <c r="Q15" s="235" t="str">
        <f t="shared" si="6"/>
        <v>商业繁华度</v>
      </c>
      <c r="R15" s="283" t="s">
        <v>1369</v>
      </c>
      <c r="S15" s="284">
        <f t="shared" si="0"/>
        <v>105</v>
      </c>
      <c r="T15" s="283" t="s">
        <v>1369</v>
      </c>
      <c r="U15" s="284">
        <f t="shared" si="1"/>
        <v>105</v>
      </c>
      <c r="V15" s="283" t="s">
        <v>1369</v>
      </c>
      <c r="W15" s="284">
        <f t="shared" si="2"/>
        <v>105</v>
      </c>
      <c r="X15" s="270"/>
      <c r="Y15" s="301" t="s">
        <v>1383</v>
      </c>
      <c r="Z15" s="269" t="str">
        <f t="shared" si="7"/>
        <v>商业繁华度</v>
      </c>
      <c r="AA15" s="289">
        <f t="shared" si="3"/>
        <v>0.952380952380952</v>
      </c>
      <c r="AB15" s="289">
        <f t="shared" si="4"/>
        <v>0.952380952380952</v>
      </c>
      <c r="AC15" s="289">
        <f t="shared" si="5"/>
        <v>0.952380952380952</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v>444.98</v>
      </c>
      <c r="D33" s="77">
        <v>100</v>
      </c>
      <c r="E33" s="83">
        <v>190.35</v>
      </c>
      <c r="F33" s="79">
        <f>LOOKUP(E33,103:103,104:104)-LOOKUP(C33,103:103,104:104)+100</f>
        <v>106</v>
      </c>
      <c r="G33" s="82">
        <v>104.96</v>
      </c>
      <c r="H33" s="77">
        <f>LOOKUP(G33,103:103,104:104)-LOOKUP(C33,103:103,104:104)+100</f>
        <v>106</v>
      </c>
      <c r="I33" s="82">
        <v>198.99</v>
      </c>
      <c r="J33" s="77">
        <f>LOOKUP(I33,103:103,104:104)-LOOKUP(C33,103:103,104:104)+100</f>
        <v>106</v>
      </c>
      <c r="K33" s="222"/>
      <c r="L33" s="221"/>
      <c r="M33" s="230"/>
      <c r="N33" s="230"/>
      <c r="O33" s="230"/>
      <c r="P33" s="231"/>
      <c r="Q33" s="285" t="str">
        <f t="shared" si="11"/>
        <v>项目建筑规模</v>
      </c>
      <c r="R33" s="286" t="s">
        <v>1369</v>
      </c>
      <c r="S33" s="287">
        <f t="shared" si="12"/>
        <v>106</v>
      </c>
      <c r="T33" s="286" t="s">
        <v>1369</v>
      </c>
      <c r="U33" s="287">
        <f t="shared" si="13"/>
        <v>106</v>
      </c>
      <c r="V33" s="286" t="s">
        <v>1369</v>
      </c>
      <c r="W33" s="287">
        <f t="shared" si="14"/>
        <v>106</v>
      </c>
      <c r="X33" s="288"/>
      <c r="Y33" s="303"/>
      <c r="Z33" s="304" t="str">
        <f t="shared" si="15"/>
        <v>项目建筑规模</v>
      </c>
      <c r="AA33" s="289">
        <f t="shared" si="3"/>
        <v>0.943396226415094</v>
      </c>
      <c r="AB33" s="289">
        <f t="shared" si="4"/>
        <v>0.943396226415094</v>
      </c>
      <c r="AC33" s="289">
        <f t="shared" si="5"/>
        <v>0.943396226415094</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43345</v>
      </c>
      <c r="D48" s="157" t="s">
        <v>1417</v>
      </c>
      <c r="E48" s="158">
        <f>R48</f>
        <v>43664</v>
      </c>
      <c r="F48" s="159"/>
      <c r="G48" s="156">
        <f>T48</f>
        <v>43751</v>
      </c>
      <c r="H48" s="159"/>
      <c r="I48" s="158">
        <f>V48</f>
        <v>42621</v>
      </c>
      <c r="J48" s="159"/>
      <c r="K48" s="236">
        <f>F48+H48+J48</f>
        <v>0</v>
      </c>
      <c r="L48" s="234"/>
      <c r="M48" s="163"/>
      <c r="N48" s="209"/>
      <c r="O48" s="163"/>
      <c r="P48" s="235" t="str">
        <f>A48</f>
        <v>比较价值（元/平方米）</v>
      </c>
      <c r="Q48" s="235"/>
      <c r="R48" s="289">
        <f>IF(F1="售价",ROUND(PRODUCT(R47,AA7:AA46),0),ROUND(PRODUCT(R47,AA7:AA46),1))</f>
        <v>43664</v>
      </c>
      <c r="S48" s="289"/>
      <c r="T48" s="289">
        <f>IF(F1="售价",ROUND(PRODUCT(T47,AB7:AB46),0),ROUND(PRODUCT(T47,AB7:AB46),1))</f>
        <v>43751</v>
      </c>
      <c r="U48" s="289"/>
      <c r="V48" s="289">
        <f>IF(F1="售价",ROUND(PRODUCT(V47,AC7:AC46),0),ROUND(PRODUCT(V47,AC7:AC46),1))</f>
        <v>42621</v>
      </c>
      <c r="W48" s="289"/>
      <c r="X48" s="174"/>
      <c r="Y48" s="174"/>
      <c r="Z48" s="174"/>
      <c r="AA48" s="174"/>
      <c r="AB48" s="174"/>
      <c r="AC48" s="174"/>
    </row>
    <row r="49" ht="15.15" spans="1:29">
      <c r="A49" s="160" t="s">
        <v>1418</v>
      </c>
      <c r="B49" s="161"/>
      <c r="C49" s="162">
        <f>R49</f>
        <v>43345</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43345</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0.371610480029315</v>
      </c>
      <c r="F52" s="168" t="str">
        <f>IF(OR(E52&gt;=0.3,E52&lt;=-0.3),"超过30%","")</f>
        <v>超过30%</v>
      </c>
      <c r="G52" s="167">
        <f>IF(G47&lt;G48,G48/G47-1,G47/G48-1)</f>
        <v>0.344700692555599</v>
      </c>
      <c r="H52" s="168" t="str">
        <f>IF(OR(G52&gt;=0.3,G52&lt;=-0.3),"超过30%","")</f>
        <v>超过30%</v>
      </c>
      <c r="I52" s="167">
        <f>IF(I47&lt;I48,I48/I47-1,I47/I48-1)</f>
        <v>0.51218882710401</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0.00199248809087571</v>
      </c>
      <c r="F53" s="168" t="str">
        <f>IF(OR(E53&gt;=0.2,E53&lt;=-0.2),"超过20%","")</f>
        <v/>
      </c>
      <c r="G53" s="167">
        <f>IF(G48&lt;I48,I48/G48-1,G48/I48-1)</f>
        <v>0.0265127519297998</v>
      </c>
      <c r="H53" s="168" t="str">
        <f>IF(OR(G53&gt;=0.2,G53&lt;=-0.2),"超过20%","")</f>
        <v/>
      </c>
      <c r="I53" s="167">
        <f>IF(I48&lt;E48,E48/I48-1,I48/E48-1)</f>
        <v>0.0244715046573285</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2384">
        <v>103</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95</v>
      </c>
      <c r="E77" s="315">
        <f>D77-$K15</f>
        <v>90</v>
      </c>
      <c r="F77" s="315">
        <f>E77-$K15</f>
        <v>85</v>
      </c>
      <c r="G77" s="315">
        <f>F77-$K15</f>
        <v>80</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1438</v>
      </c>
      <c r="D86" s="333" t="s">
        <v>1439</v>
      </c>
      <c r="E86" s="333" t="s">
        <v>1440</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2386">
        <f>C104-2</f>
        <v>98</v>
      </c>
      <c r="E104" s="199">
        <f t="shared" ref="E104:I104" si="24">D104-2</f>
        <v>96</v>
      </c>
      <c r="F104" s="199">
        <f t="shared" si="24"/>
        <v>94</v>
      </c>
      <c r="G104" s="199">
        <f t="shared" si="24"/>
        <v>92</v>
      </c>
      <c r="H104" s="199">
        <f t="shared" si="24"/>
        <v>90</v>
      </c>
      <c r="I104" s="199">
        <f t="shared" si="24"/>
        <v>88</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5">C106-$K34</f>
        <v>98</v>
      </c>
      <c r="E106" s="315">
        <f t="shared" si="25"/>
        <v>96</v>
      </c>
      <c r="F106" s="315">
        <f t="shared" si="25"/>
        <v>94</v>
      </c>
      <c r="G106" s="315">
        <f t="shared" si="25"/>
        <v>92</v>
      </c>
      <c r="H106" s="315">
        <f t="shared" si="25"/>
        <v>90</v>
      </c>
      <c r="I106" s="315">
        <f t="shared" si="25"/>
        <v>88</v>
      </c>
      <c r="J106" s="315">
        <f t="shared" si="25"/>
        <v>86</v>
      </c>
      <c r="K106" s="315">
        <f t="shared" si="25"/>
        <v>84</v>
      </c>
      <c r="L106" s="315">
        <f t="shared" si="25"/>
        <v>82</v>
      </c>
      <c r="M106" s="350">
        <f t="shared" si="25"/>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6">C108-$K35</f>
        <v>100</v>
      </c>
      <c r="E108" s="315">
        <f t="shared" si="26"/>
        <v>100</v>
      </c>
      <c r="F108" s="315">
        <f t="shared" si="26"/>
        <v>100</v>
      </c>
      <c r="G108" s="315">
        <f t="shared" si="26"/>
        <v>100</v>
      </c>
      <c r="H108" s="315">
        <f t="shared" si="26"/>
        <v>100</v>
      </c>
      <c r="I108" s="315">
        <f t="shared" si="26"/>
        <v>100</v>
      </c>
      <c r="J108" s="315">
        <f t="shared" si="26"/>
        <v>100</v>
      </c>
      <c r="K108" s="315">
        <f t="shared" si="26"/>
        <v>100</v>
      </c>
      <c r="L108" s="315">
        <f t="shared" si="26"/>
        <v>100</v>
      </c>
      <c r="M108" s="350">
        <f t="shared" si="26"/>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7">D111+$K36</f>
        <v>104</v>
      </c>
      <c r="F111" s="315">
        <f t="shared" si="27"/>
        <v>106</v>
      </c>
      <c r="G111" s="315">
        <f t="shared" si="27"/>
        <v>108</v>
      </c>
      <c r="H111" s="315">
        <f t="shared" si="27"/>
        <v>110</v>
      </c>
      <c r="I111" s="315">
        <f t="shared" si="27"/>
        <v>112</v>
      </c>
      <c r="J111" s="315">
        <f t="shared" si="27"/>
        <v>114</v>
      </c>
      <c r="K111" s="315">
        <f t="shared" si="27"/>
        <v>116</v>
      </c>
      <c r="L111" s="315">
        <f t="shared" si="27"/>
        <v>118</v>
      </c>
      <c r="M111" s="315">
        <f t="shared" si="27"/>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50">
        <f t="shared" si="29"/>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50">
        <f t="shared" si="30"/>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1">C123-$K42</f>
        <v>95</v>
      </c>
      <c r="E123" s="315">
        <f t="shared" si="31"/>
        <v>90</v>
      </c>
      <c r="F123" s="315">
        <f t="shared" si="31"/>
        <v>85</v>
      </c>
      <c r="G123" s="315">
        <f t="shared" si="31"/>
        <v>80</v>
      </c>
      <c r="H123" s="315">
        <f t="shared" si="31"/>
        <v>75</v>
      </c>
      <c r="I123" s="315">
        <f t="shared" si="31"/>
        <v>70</v>
      </c>
      <c r="J123" s="315">
        <f t="shared" si="31"/>
        <v>65</v>
      </c>
      <c r="K123" s="315">
        <f t="shared" si="31"/>
        <v>60</v>
      </c>
      <c r="L123" s="315">
        <f t="shared" si="31"/>
        <v>55</v>
      </c>
      <c r="M123" s="350">
        <f t="shared" si="31"/>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0.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647.7047</v>
      </c>
      <c r="C2" s="2107" t="s">
        <v>1148</v>
      </c>
      <c r="D2" s="2108">
        <f ca="1">C40+J29+L46</f>
        <v>6477047</v>
      </c>
      <c r="E2" s="2109" t="s">
        <v>1445</v>
      </c>
      <c r="F2" s="2110"/>
      <c r="G2" s="2111"/>
      <c r="H2" s="2112"/>
      <c r="I2" s="2112"/>
      <c r="J2" s="2112"/>
      <c r="K2" s="2274"/>
      <c r="L2" s="2112"/>
      <c r="M2" s="2112"/>
    </row>
    <row r="3" ht="18" customHeight="1" spans="1:13">
      <c r="A3" s="2113" t="s">
        <v>1149</v>
      </c>
      <c r="B3" s="2114">
        <f ca="1">IF(ISERROR(D2/F43),0,ROUND(D2/F43,0))</f>
        <v>14556</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644782</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643174</v>
      </c>
      <c r="D6" s="2129" t="s">
        <v>1446</v>
      </c>
      <c r="E6" s="2130" t="s">
        <v>1161</v>
      </c>
      <c r="F6" s="2131">
        <f ca="1">INDIRECT("'数据-取费表'!u"&amp;$G$1)</f>
        <v>4.4</v>
      </c>
      <c r="G6" s="1179"/>
      <c r="H6" s="2126" t="s">
        <v>898</v>
      </c>
      <c r="I6" s="2127" t="s">
        <v>1159</v>
      </c>
      <c r="J6" s="2204">
        <f ca="1">ROUND(M6*M8*M7*(1-M9),0)</f>
        <v>0</v>
      </c>
      <c r="K6" s="2277" t="s">
        <v>1447</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444.98</v>
      </c>
      <c r="G7" s="1179"/>
      <c r="H7" s="2137"/>
      <c r="I7" s="2133"/>
      <c r="J7" s="2138"/>
      <c r="K7" s="2135"/>
      <c r="L7" s="2130" t="s">
        <v>1163</v>
      </c>
      <c r="M7" s="2131">
        <f ca="1">F7</f>
        <v>444.98</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1608</v>
      </c>
      <c r="D10" s="2142" t="s">
        <v>1167</v>
      </c>
      <c r="E10" s="2143" t="s">
        <v>1168</v>
      </c>
      <c r="F10" s="2144" t="s">
        <v>1448</v>
      </c>
      <c r="G10" s="1179"/>
      <c r="H10" s="2126" t="s">
        <v>902</v>
      </c>
      <c r="I10" s="2141" t="s">
        <v>1166</v>
      </c>
      <c r="J10" s="2204">
        <f ca="1">ROUND(IF(M10="押一",J6/12*M11,IF(M10="押二",J6/12*2*M11,IF(M10="押三",J6/12*3*M11,J11*M11))),0)</f>
        <v>0</v>
      </c>
      <c r="K10" s="2278" t="s">
        <v>1449</v>
      </c>
      <c r="L10" s="2143" t="s">
        <v>1168</v>
      </c>
      <c r="M10" s="2144"/>
    </row>
    <row r="11" ht="18" customHeight="1" spans="1:13">
      <c r="A11" s="2145"/>
      <c r="B11" s="2146" t="s">
        <v>1450</v>
      </c>
      <c r="C11" s="2147"/>
      <c r="D11" s="2135"/>
      <c r="E11" s="2143" t="s">
        <v>1170</v>
      </c>
      <c r="F11" s="2148">
        <f ca="1">'数据-取费表'!B39</f>
        <v>0.015</v>
      </c>
      <c r="G11" s="1179"/>
      <c r="H11" s="2149"/>
      <c r="I11" s="2146" t="s">
        <v>1451</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1425521</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1334940</v>
      </c>
      <c r="D14" s="2163" t="s">
        <v>1176</v>
      </c>
      <c r="E14" s="2164"/>
      <c r="F14" s="2165"/>
      <c r="G14" s="1179"/>
      <c r="H14" s="2161" t="s">
        <v>898</v>
      </c>
      <c r="I14" s="2130" t="s">
        <v>1177</v>
      </c>
      <c r="J14" s="1427">
        <f ca="1">C29</f>
        <v>2036459</v>
      </c>
      <c r="K14" s="2286"/>
      <c r="L14" s="2287"/>
      <c r="M14" s="2288"/>
    </row>
    <row r="15" s="2097" customFormat="1" ht="18" customHeight="1" spans="1:37">
      <c r="A15" s="2161" t="s">
        <v>926</v>
      </c>
      <c r="B15" s="2130" t="s">
        <v>1106</v>
      </c>
      <c r="C15" s="1427">
        <f ca="1">ROUND(C14*F15,0)</f>
        <v>40048</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10182</v>
      </c>
      <c r="K16" s="2182" t="s">
        <v>1182</v>
      </c>
      <c r="L16" s="2183"/>
      <c r="M16" s="2125"/>
    </row>
    <row r="17" s="2097" customFormat="1" ht="18" customHeight="1" spans="1:37">
      <c r="A17" s="2161" t="s">
        <v>1183</v>
      </c>
      <c r="B17" s="2130" t="s">
        <v>1184</v>
      </c>
      <c r="C17" s="1427">
        <f ca="1">ROUND(F17*(F43+INDIRECT("'数据-取费表'!S"&amp;$G$1)),0)</f>
        <v>88996</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20024</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1484008</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29680</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10182</v>
      </c>
      <c r="K22" s="2186" t="s">
        <v>1208</v>
      </c>
      <c r="L22" s="2130" t="s">
        <v>1179</v>
      </c>
      <c r="M22" s="2198">
        <f ca="1">INDIRECT("'数据-取费表'!Ak"&amp;$G$1)</f>
        <v>0.005</v>
      </c>
    </row>
    <row r="23" s="2097" customFormat="1" ht="18" customHeight="1" spans="1:37">
      <c r="A23" s="2161" t="s">
        <v>921</v>
      </c>
      <c r="B23" s="2130" t="s">
        <v>1209</v>
      </c>
      <c r="C23" s="1427">
        <f ca="1">IF('数据-取费表'!B22&lt;=1,ROUND(C19*F24*F23/2,0)+ROUND(C20*F24*F23/2,0),ROUND(C19*(POWER((1+F24),F23/2)-1),0)+ROUND(C20*(POWER((1+F24),F23/2)-1),0))</f>
        <v>62818</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-10182</v>
      </c>
      <c r="K25" s="2201" t="s">
        <v>1220</v>
      </c>
      <c r="L25" s="2202"/>
      <c r="M25" s="2203"/>
    </row>
    <row r="26" ht="18" customHeight="1" spans="1:13">
      <c r="A26" s="2161" t="s">
        <v>921</v>
      </c>
      <c r="B26" s="2130" t="s">
        <v>1221</v>
      </c>
      <c r="C26" s="1427">
        <f ca="1">ROUND((C19+C20)*F26,0)</f>
        <v>302738</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0.055</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2036459</v>
      </c>
      <c r="D29" s="2179"/>
      <c r="E29" s="2154"/>
      <c r="F29" s="2180"/>
      <c r="G29" s="2168"/>
      <c r="H29" s="2181" t="s">
        <v>1236</v>
      </c>
      <c r="I29" s="2211" t="s">
        <v>1237</v>
      </c>
      <c r="J29" s="2212">
        <f ca="1">ROUND(J26/(1+F40)^F41,0)</f>
        <v>0</v>
      </c>
      <c r="K29" s="2213" t="s">
        <v>1238</v>
      </c>
      <c r="L29" s="2214"/>
      <c r="M29" s="2215">
        <f ca="1">INDIRECT("'数据-取费表'!k"&amp;$G$1)</f>
        <v>444.98</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122028</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107196</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33690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73506</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10182</v>
      </c>
      <c r="D36" s="2186" t="s">
        <v>1240</v>
      </c>
      <c r="E36" s="2130" t="s">
        <v>1179</v>
      </c>
      <c r="F36" s="2198">
        <f ca="1">INDIRECT("'数据-取费表'!Ak"&amp;$G$1)</f>
        <v>0.005</v>
      </c>
      <c r="G36" s="1179"/>
      <c r="H36" s="2190"/>
      <c r="I36" s="2293"/>
      <c r="J36" s="2294"/>
      <c r="K36" s="2301"/>
      <c r="L36" s="2190"/>
      <c r="M36" s="2190"/>
    </row>
    <row r="37" ht="18" customHeight="1" spans="1:13">
      <c r="A37" s="2161" t="s">
        <v>949</v>
      </c>
      <c r="B37" s="2130" t="s">
        <v>1211</v>
      </c>
      <c r="C37" s="1427">
        <f ca="1">ROUND(C13*F37,0)</f>
        <v>1426</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3224</v>
      </c>
      <c r="D38" s="2179" t="s">
        <v>1215</v>
      </c>
      <c r="E38" s="2154" t="s">
        <v>1179</v>
      </c>
      <c r="F38" s="2155">
        <f ca="1">INDIRECT("'数据-取费表'!Am"&amp;$G$1)</f>
        <v>0.005</v>
      </c>
      <c r="G38" s="1179"/>
      <c r="H38" s="2190"/>
      <c r="I38" s="2293"/>
      <c r="J38" s="2294"/>
      <c r="K38" s="2302"/>
      <c r="L38" s="2190"/>
      <c r="M38" s="2190"/>
    </row>
    <row r="39" ht="24.6" customHeight="1" spans="1:13">
      <c r="A39" s="2156" t="s">
        <v>1218</v>
      </c>
      <c r="B39" s="2200" t="s">
        <v>1219</v>
      </c>
      <c r="C39" s="2158">
        <f ca="1">C5-C30</f>
        <v>522754</v>
      </c>
      <c r="D39" s="2201" t="s">
        <v>1220</v>
      </c>
      <c r="E39" s="2202"/>
      <c r="F39" s="2203"/>
      <c r="G39" s="1179"/>
      <c r="H39" s="2190">
        <f ca="1">C39/C5</f>
        <v>0.81074533718373</v>
      </c>
      <c r="I39" s="2293"/>
      <c r="J39" s="2294"/>
      <c r="K39" s="2302"/>
      <c r="L39" s="2190"/>
      <c r="M39" s="2190"/>
    </row>
    <row r="40" ht="18" customHeight="1" spans="1:13">
      <c r="A40" s="2120" t="s">
        <v>1224</v>
      </c>
      <c r="B40" s="2121" t="s">
        <v>1241</v>
      </c>
      <c r="C40" s="2204">
        <f ca="1">ROUND(C39*(1-((1+F42)/(1+F40))^F41)/(F40-F42),0)</f>
        <v>6173500</v>
      </c>
      <c r="D40" s="2192" t="s">
        <v>1226</v>
      </c>
      <c r="E40" s="2130" t="s">
        <v>1227</v>
      </c>
      <c r="F40" s="2140">
        <f ca="1">INDIRECT("'数据-取费表'!I"&amp;$G$1)</f>
        <v>0.055</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13874</v>
      </c>
      <c r="D43" s="2213" t="s">
        <v>1243</v>
      </c>
      <c r="E43" s="2214" t="s">
        <v>1244</v>
      </c>
      <c r="F43" s="2215">
        <f ca="1">INDIRECT("'数据-取费表'!k"&amp;$G$1)</f>
        <v>444.98</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1452</v>
      </c>
      <c r="B45" s="2216"/>
      <c r="C45" s="2219">
        <f ca="1">ROUND((C68-C40)/10000,4)</f>
        <v>-628.7918</v>
      </c>
      <c r="D45" s="2220" t="s">
        <v>1453</v>
      </c>
      <c r="E45" s="2216"/>
      <c r="F45" s="2216"/>
      <c r="O45" s="2304" t="s">
        <v>1245</v>
      </c>
      <c r="P45" s="2205"/>
      <c r="Q45" s="2205"/>
      <c r="R45" s="2205"/>
    </row>
    <row r="46" s="1179" customFormat="1" ht="13.95" spans="1:18">
      <c r="A46" s="2221" t="s">
        <v>1246</v>
      </c>
      <c r="C46" s="2222">
        <f ca="1">ROUND(C45,0)</f>
        <v>-629</v>
      </c>
      <c r="D46" s="2223" t="str">
        <f>C2</f>
        <v>万元</v>
      </c>
      <c r="I46" s="2305" t="s">
        <v>1247</v>
      </c>
      <c r="J46" s="2306"/>
      <c r="K46" s="2307"/>
      <c r="L46" s="2308">
        <f ca="1">IF(M47="住宅",0,IF(L48&gt;J51,L60,J60))</f>
        <v>303547</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1454</v>
      </c>
      <c r="K47" s="2313" t="s">
        <v>1253</v>
      </c>
      <c r="L47" s="2314">
        <f ca="1">INDIRECT("'数据-取费表'!d"&amp;$G$1)</f>
        <v>40</v>
      </c>
      <c r="M47" s="2315" t="str">
        <f>IF(ISNUMBER(FIND("住宅",C1)),"住宅","非住宅")</f>
        <v>非住宅</v>
      </c>
      <c r="O47" s="2316" t="s">
        <v>1005</v>
      </c>
      <c r="P47" s="2317" t="s">
        <v>1254</v>
      </c>
      <c r="Q47" s="2358">
        <f ca="1">C40+J29</f>
        <v>6173500</v>
      </c>
      <c r="R47" s="2358" t="s">
        <v>1255</v>
      </c>
    </row>
    <row r="48" s="1179" customFormat="1" ht="41.55" spans="1:18">
      <c r="A48" s="2228" t="s">
        <v>1256</v>
      </c>
      <c r="B48" s="2121" t="s">
        <v>1157</v>
      </c>
      <c r="C48" s="1428">
        <f ca="1">C49+C53+C55</f>
        <v>0</v>
      </c>
      <c r="D48" s="2229"/>
      <c r="E48" s="2230"/>
      <c r="F48" s="2231"/>
      <c r="G48" s="2227"/>
      <c r="H48" s="2232"/>
      <c r="I48" s="2318" t="s">
        <v>1257</v>
      </c>
      <c r="J48" s="2319" t="s">
        <v>1455</v>
      </c>
      <c r="K48" s="2320" t="s">
        <v>1258</v>
      </c>
      <c r="L48" s="2321">
        <f ca="1">INDIRECT("'数据-取费表'!f"&amp;$G$1)</f>
        <v>14.59</v>
      </c>
      <c r="O48" s="2316" t="s">
        <v>1008</v>
      </c>
      <c r="P48" s="2317" t="s">
        <v>1259</v>
      </c>
      <c r="Q48" s="2358">
        <f ca="1">J60</f>
        <v>303547</v>
      </c>
      <c r="R48" s="2358" t="s">
        <v>1260</v>
      </c>
    </row>
    <row r="49" s="1179" customFormat="1" ht="13.95" spans="1:18">
      <c r="A49" s="2233" t="s">
        <v>1261</v>
      </c>
      <c r="B49" s="2234" t="s">
        <v>1262</v>
      </c>
      <c r="C49" s="2235">
        <f ca="1">ROUND(F49*F51*F50*(1-F52),0)</f>
        <v>0</v>
      </c>
      <c r="D49" s="2236" t="s">
        <v>1456</v>
      </c>
      <c r="E49" s="2237" t="s">
        <v>1263</v>
      </c>
      <c r="F49" s="2238"/>
      <c r="G49" s="2239"/>
      <c r="H49" s="2232"/>
      <c r="I49" s="2318" t="s">
        <v>1264</v>
      </c>
      <c r="J49" s="2322">
        <v>1998</v>
      </c>
      <c r="K49" s="2320" t="s">
        <v>1265</v>
      </c>
      <c r="L49" s="2323"/>
      <c r="O49" s="2324" t="s">
        <v>1266</v>
      </c>
      <c r="P49" s="2317" t="s">
        <v>1267</v>
      </c>
      <c r="Q49" s="2358">
        <f ca="1">C29</f>
        <v>2036459</v>
      </c>
      <c r="R49" s="2358" t="s">
        <v>1255</v>
      </c>
    </row>
    <row r="50" s="1179" customFormat="1" ht="13.95" spans="1:18">
      <c r="A50" s="2240"/>
      <c r="B50" s="2241"/>
      <c r="C50" s="2242"/>
      <c r="D50" s="2243"/>
      <c r="E50" s="2244" t="s">
        <v>1163</v>
      </c>
      <c r="F50" s="2245">
        <f ca="1">F7</f>
        <v>444.98</v>
      </c>
      <c r="H50" s="2232"/>
      <c r="I50" s="2318" t="s">
        <v>1268</v>
      </c>
      <c r="J50" s="2325">
        <f>SUMPRODUCT((I63:I65=J47)*(J62:L62=J48)*(J63:L65))</f>
        <v>50</v>
      </c>
      <c r="K50" s="2320" t="s">
        <v>1269</v>
      </c>
      <c r="L50" s="2323"/>
      <c r="M50" s="2326"/>
      <c r="O50" s="2324" t="s">
        <v>1270</v>
      </c>
      <c r="P50" s="2317" t="s">
        <v>1271</v>
      </c>
      <c r="Q50" s="2359">
        <f ca="1">J58</f>
        <v>0.4</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5860825</v>
      </c>
      <c r="M51" s="2331"/>
      <c r="O51" s="2324" t="s">
        <v>1274</v>
      </c>
      <c r="P51" s="2317" t="s">
        <v>1275</v>
      </c>
      <c r="Q51" s="2359">
        <f>J52</f>
        <v>0.07</v>
      </c>
      <c r="R51" s="2358"/>
    </row>
    <row r="52" s="1179" customFormat="1" ht="13.95" spans="1:18">
      <c r="A52" s="2246"/>
      <c r="B52" s="2241"/>
      <c r="C52" s="2242"/>
      <c r="D52" s="2243"/>
      <c r="E52" s="2247" t="s">
        <v>1165</v>
      </c>
      <c r="F52" s="2248"/>
      <c r="I52" s="2332" t="s">
        <v>1276</v>
      </c>
      <c r="J52" s="2333">
        <v>0.07</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1457</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6477047</v>
      </c>
      <c r="R53" s="2358" t="s">
        <v>1285</v>
      </c>
    </row>
    <row r="54" s="1179" customFormat="1" ht="13.95" spans="1:18">
      <c r="A54" s="2233"/>
      <c r="B54" s="2250" t="s">
        <v>1451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f ca="1">ROUND(IF(J47="钢混",J57/J50,1-(1-2%)*(J50-J57)/J50),3)</f>
        <v>0.224</v>
      </c>
      <c r="K55" s="2343" t="s">
        <v>1288</v>
      </c>
      <c r="L55" s="2344"/>
      <c r="O55" s="2309" t="s">
        <v>1248</v>
      </c>
      <c r="P55" s="2310" t="s">
        <v>1249</v>
      </c>
      <c r="Q55" s="2357" t="s">
        <v>1250</v>
      </c>
      <c r="R55" s="2357" t="s">
        <v>1251</v>
      </c>
    </row>
    <row r="56" s="1179" customFormat="1" ht="36" customHeight="1" spans="1:18">
      <c r="A56" s="2253">
        <v>2</v>
      </c>
      <c r="B56" s="2254" t="s">
        <v>1172</v>
      </c>
      <c r="C56" s="814">
        <f ca="1">C13</f>
        <v>1425521</v>
      </c>
      <c r="D56" s="2255"/>
      <c r="E56" s="2256"/>
      <c r="F56" s="2252"/>
      <c r="I56" s="2345" t="s">
        <v>1289</v>
      </c>
      <c r="J56" s="2346" t="s">
        <v>1458</v>
      </c>
      <c r="K56" s="2318" t="s">
        <v>1290</v>
      </c>
      <c r="L56" s="2321" t="str">
        <f ca="1">IF(L48&lt;J51,"——",L48-J51)</f>
        <v>——</v>
      </c>
      <c r="O56" s="2316" t="s">
        <v>1005</v>
      </c>
      <c r="P56" s="2317" t="s">
        <v>1254</v>
      </c>
      <c r="Q56" s="2358">
        <f ca="1">C40+J29</f>
        <v>6173500</v>
      </c>
      <c r="R56" s="2358" t="s">
        <v>1255</v>
      </c>
    </row>
    <row r="57" s="1179" customFormat="1" ht="24.75" spans="1:18">
      <c r="A57" s="2257"/>
      <c r="B57" s="2258" t="s">
        <v>1235</v>
      </c>
      <c r="C57" s="824">
        <f ca="1">C29</f>
        <v>2036459</v>
      </c>
      <c r="D57" s="2259"/>
      <c r="E57" s="2260"/>
      <c r="F57" s="2261"/>
      <c r="I57" s="2347" t="s">
        <v>1291</v>
      </c>
      <c r="J57" s="2348">
        <f ca="1">IF(OR(M47="住宅",J51&lt;L48,J56="是"),"——",J51-L48)</f>
        <v>10.41</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11608</v>
      </c>
      <c r="D58" s="2263" t="s">
        <v>1182</v>
      </c>
      <c r="E58" s="2264"/>
      <c r="F58" s="2231"/>
      <c r="I58" s="2347" t="s">
        <v>1295</v>
      </c>
      <c r="J58" s="2349">
        <f ca="1">IF(J55&lt;0.4,0.4,J55)</f>
        <v>0.4</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f ca="1">IF(OR(M47="住宅",J51&lt;L48,J56="是"),"——",ROUND(C29*J58,0))</f>
        <v>814584</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f ca="1">IF(OR(M47="住宅",J51&lt;L48,J56="是"),"0",ROUND(J59/(1+J52)^J53,0))</f>
        <v>303547</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6173500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10182</v>
      </c>
      <c r="D64" s="2266" t="s">
        <v>1240</v>
      </c>
      <c r="E64" s="2258" t="s">
        <v>1179</v>
      </c>
      <c r="F64" s="2198">
        <f ca="1" t="shared" si="0"/>
        <v>0.005</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1426</v>
      </c>
      <c r="D65" s="2266" t="s">
        <v>1212</v>
      </c>
      <c r="E65" s="2258" t="s">
        <v>1179</v>
      </c>
      <c r="F65" s="2199">
        <f ca="1" t="shared" si="0"/>
        <v>0.001</v>
      </c>
      <c r="I65" s="2353" t="s">
        <v>1313</v>
      </c>
      <c r="J65" s="2354">
        <v>40</v>
      </c>
      <c r="K65" s="2354">
        <v>30</v>
      </c>
      <c r="L65" s="2354">
        <v>50</v>
      </c>
      <c r="M65" s="2356">
        <v>0.02</v>
      </c>
      <c r="O65" s="2316" t="s">
        <v>1005</v>
      </c>
      <c r="P65" s="2317" t="s">
        <v>1254</v>
      </c>
      <c r="Q65" s="2358">
        <f ca="1">C40+J29</f>
        <v>6173500</v>
      </c>
      <c r="R65" s="2358" t="s">
        <v>1255</v>
      </c>
    </row>
    <row r="66" s="1179" customFormat="1" ht="17.55" spans="1:18">
      <c r="A66" s="2161" t="s">
        <v>952</v>
      </c>
      <c r="B66" s="2258" t="s">
        <v>1197</v>
      </c>
      <c r="C66" s="1427">
        <f ca="1">ROUND(C48*F66,0)</f>
        <v>0</v>
      </c>
      <c r="D66" s="2266" t="s">
        <v>1215</v>
      </c>
      <c r="E66" s="2258" t="s">
        <v>1179</v>
      </c>
      <c r="F66" s="2140">
        <f ca="1" t="shared" si="0"/>
        <v>0.005</v>
      </c>
      <c r="O66" s="2316" t="s">
        <v>1008</v>
      </c>
      <c r="P66" s="2317" t="s">
        <v>1293</v>
      </c>
      <c r="Q66" s="2358">
        <f ca="1">L60</f>
        <v>0</v>
      </c>
      <c r="R66" s="2358" t="s">
        <v>1294</v>
      </c>
    </row>
    <row r="67" s="1179" customFormat="1" ht="24.75" spans="1:18">
      <c r="A67" s="2253" t="s">
        <v>1218</v>
      </c>
      <c r="B67" s="2360" t="s">
        <v>1219</v>
      </c>
      <c r="C67" s="1426">
        <f ca="1">C48-C58</f>
        <v>-11608</v>
      </c>
      <c r="D67" s="2265" t="s">
        <v>1220</v>
      </c>
      <c r="E67" s="2361"/>
      <c r="F67" s="2362"/>
      <c r="O67" s="2324" t="s">
        <v>1266</v>
      </c>
      <c r="P67" s="2317" t="s">
        <v>1297</v>
      </c>
      <c r="Q67" s="2382">
        <f ca="1">L51</f>
        <v>5860825</v>
      </c>
      <c r="R67" s="2358" t="s">
        <v>1314</v>
      </c>
    </row>
    <row r="68" s="1179" customFormat="1" ht="17.55" spans="1:18">
      <c r="A68" s="2363" t="s">
        <v>1224</v>
      </c>
      <c r="B68" s="2364" t="s">
        <v>1241</v>
      </c>
      <c r="C68" s="2204">
        <f ca="1">ROUND(C67*(1-((1+F70)/(1+F68))^F69)/(F68-F70),0)</f>
        <v>-114418</v>
      </c>
      <c r="D68" s="2268" t="s">
        <v>1226</v>
      </c>
      <c r="E68" s="2258" t="s">
        <v>1227</v>
      </c>
      <c r="F68" s="2140">
        <f ca="1">F40</f>
        <v>0.055</v>
      </c>
      <c r="O68" s="2324" t="s">
        <v>1270</v>
      </c>
      <c r="P68" s="2381" t="s">
        <v>1315</v>
      </c>
      <c r="Q68" s="2358">
        <f ca="1">ROUND(Q69-Q70*Q71,0)</f>
        <v>415840</v>
      </c>
      <c r="R68" s="2358" t="s">
        <v>1316</v>
      </c>
    </row>
    <row r="69" s="1179" customFormat="1" ht="13.95" spans="1:18">
      <c r="A69" s="2365"/>
      <c r="B69" s="2366"/>
      <c r="C69" s="2138"/>
      <c r="D69" s="2367" t="s">
        <v>1230</v>
      </c>
      <c r="E69" s="2258" t="s">
        <v>1231</v>
      </c>
      <c r="F69" s="2208">
        <f ca="1">F41</f>
        <v>14.59</v>
      </c>
      <c r="O69" s="2324" t="s">
        <v>1317</v>
      </c>
      <c r="P69" s="2381" t="s">
        <v>1318</v>
      </c>
      <c r="Q69" s="2358">
        <f ca="1">C39</f>
        <v>522754</v>
      </c>
      <c r="R69" s="2358" t="s">
        <v>1255</v>
      </c>
    </row>
    <row r="70" s="1179" customFormat="1" ht="13.95" spans="1:18">
      <c r="A70" s="2368"/>
      <c r="B70" s="2369"/>
      <c r="C70" s="2158"/>
      <c r="D70" s="2270"/>
      <c r="E70" s="2258" t="s">
        <v>1234</v>
      </c>
      <c r="F70" s="2248"/>
      <c r="O70" s="2324" t="s">
        <v>1319</v>
      </c>
      <c r="P70" s="2381" t="s">
        <v>1320</v>
      </c>
      <c r="Q70" s="2358">
        <f ca="1">C13</f>
        <v>1425521</v>
      </c>
      <c r="R70" s="2358" t="s">
        <v>1255</v>
      </c>
    </row>
    <row r="71" s="1179" customFormat="1" ht="13.95" spans="1:18">
      <c r="A71" s="2370" t="s">
        <v>1236</v>
      </c>
      <c r="B71" s="2371" t="s">
        <v>1242</v>
      </c>
      <c r="C71" s="2212">
        <f ca="1">ROUND(C68/F71,0)</f>
        <v>-257</v>
      </c>
      <c r="D71" s="2372" t="s">
        <v>1243</v>
      </c>
      <c r="E71" s="2373" t="s">
        <v>1244</v>
      </c>
      <c r="F71" s="2215">
        <f ca="1">F43</f>
        <v>444.98</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106914</v>
      </c>
      <c r="D75" s="1179"/>
      <c r="E75" s="1179"/>
      <c r="F75" s="1179"/>
      <c r="K75" s="2303"/>
      <c r="L75" s="1179"/>
      <c r="O75" s="2316" t="s">
        <v>1108</v>
      </c>
      <c r="P75" s="2317" t="s">
        <v>1284</v>
      </c>
      <c r="Q75" s="2358">
        <f ca="1">Q65+Q66</f>
        <v>6173500</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0.795</v>
      </c>
    </row>
    <row r="80" spans="2:3">
      <c r="B80" s="2375" t="s">
        <v>1330</v>
      </c>
      <c r="C80" s="860">
        <f ca="1">ROUND(C75/C39,3)</f>
        <v>0.205</v>
      </c>
    </row>
    <row r="81" spans="2:3">
      <c r="B81" s="857" t="s">
        <v>1331</v>
      </c>
      <c r="C81" s="824"/>
    </row>
    <row r="82" spans="2:3">
      <c r="B82" s="859" t="s">
        <v>1084</v>
      </c>
      <c r="C82" s="861">
        <f ca="1">1-C83</f>
        <v>0.769</v>
      </c>
    </row>
    <row r="83" spans="2:3">
      <c r="B83" s="859" t="s">
        <v>1085</v>
      </c>
      <c r="C83" s="860">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907" customWidth="1"/>
    <col min="2" max="2" width="8.88888888888889" style="1907"/>
    <col min="3" max="5" width="12.8888888888889" style="1907" customWidth="1"/>
    <col min="6" max="6" width="47.4444444444444" style="1907" customWidth="1"/>
    <col min="7" max="7" width="13" style="1908" customWidth="1"/>
    <col min="8" max="8" width="8.88888888888889" style="1909"/>
    <col min="9" max="9" width="8.88888888888889" style="1910"/>
    <col min="10" max="10" width="5.77777777777778" style="1911" customWidth="1"/>
    <col min="11" max="11" width="11.7777777777778" style="1911" customWidth="1"/>
    <col min="12" max="13" width="10.7777777777778" style="1911" customWidth="1"/>
    <col min="14" max="14" width="10" style="1911" customWidth="1"/>
    <col min="15" max="16" width="10.4444444444444" style="1911" customWidth="1"/>
    <col min="17" max="17" width="10" style="1911" customWidth="1"/>
    <col min="18" max="18" width="10.1111111111111" style="1911" customWidth="1"/>
    <col min="19" max="19" width="10" style="1911" customWidth="1"/>
    <col min="20" max="20" width="26.1111111111111" style="1911" customWidth="1"/>
    <col min="21" max="21" width="8.88888888888889" style="1911"/>
    <col min="22" max="22" width="8.88888888888889" style="1910"/>
    <col min="23" max="256" width="8.88888888888889" style="1907"/>
    <col min="257" max="257" width="9.44444444444444" style="1907" customWidth="1"/>
    <col min="258" max="258" width="8.88888888888889" style="1907"/>
    <col min="259" max="261" width="12.8888888888889" style="1907" customWidth="1"/>
    <col min="262" max="262" width="47.4444444444444" style="1907" customWidth="1"/>
    <col min="263" max="263" width="13" style="1907" customWidth="1"/>
    <col min="264" max="265" width="8.88888888888889" style="1907"/>
    <col min="266" max="266" width="5.77777777777778" style="1907" customWidth="1"/>
    <col min="267" max="267" width="11.7777777777778" style="1907" customWidth="1"/>
    <col min="268" max="269" width="10.7777777777778" style="1907" customWidth="1"/>
    <col min="270" max="270" width="10" style="1907" customWidth="1"/>
    <col min="271" max="272" width="10.4444444444444" style="1907" customWidth="1"/>
    <col min="273" max="273" width="10" style="1907" customWidth="1"/>
    <col min="274" max="274" width="10.1111111111111" style="1907" customWidth="1"/>
    <col min="275" max="275" width="10" style="1907" customWidth="1"/>
    <col min="276" max="276" width="26.1111111111111" style="1907" customWidth="1"/>
    <col min="277" max="512" width="8.88888888888889" style="1907"/>
    <col min="513" max="513" width="9.44444444444444" style="1907" customWidth="1"/>
    <col min="514" max="514" width="8.88888888888889" style="1907"/>
    <col min="515" max="517" width="12.8888888888889" style="1907" customWidth="1"/>
    <col min="518" max="518" width="47.4444444444444" style="1907" customWidth="1"/>
    <col min="519" max="519" width="13" style="1907" customWidth="1"/>
    <col min="520" max="521" width="8.88888888888889" style="1907"/>
    <col min="522" max="522" width="5.77777777777778" style="1907" customWidth="1"/>
    <col min="523" max="523" width="11.7777777777778" style="1907" customWidth="1"/>
    <col min="524" max="525" width="10.7777777777778" style="1907" customWidth="1"/>
    <col min="526" max="526" width="10" style="1907" customWidth="1"/>
    <col min="527" max="528" width="10.4444444444444" style="1907" customWidth="1"/>
    <col min="529" max="529" width="10" style="1907" customWidth="1"/>
    <col min="530" max="530" width="10.1111111111111" style="1907" customWidth="1"/>
    <col min="531" max="531" width="10" style="1907" customWidth="1"/>
    <col min="532" max="532" width="26.1111111111111" style="1907" customWidth="1"/>
    <col min="533" max="768" width="8.88888888888889" style="1907"/>
    <col min="769" max="769" width="9.44444444444444" style="1907" customWidth="1"/>
    <col min="770" max="770" width="8.88888888888889" style="1907"/>
    <col min="771" max="773" width="12.8888888888889" style="1907" customWidth="1"/>
    <col min="774" max="774" width="47.4444444444444" style="1907" customWidth="1"/>
    <col min="775" max="775" width="13" style="1907" customWidth="1"/>
    <col min="776" max="777" width="8.88888888888889" style="1907"/>
    <col min="778" max="778" width="5.77777777777778" style="1907" customWidth="1"/>
    <col min="779" max="779" width="11.7777777777778" style="1907" customWidth="1"/>
    <col min="780" max="781" width="10.7777777777778" style="1907" customWidth="1"/>
    <col min="782" max="782" width="10" style="1907" customWidth="1"/>
    <col min="783" max="784" width="10.4444444444444" style="1907" customWidth="1"/>
    <col min="785" max="785" width="10" style="1907" customWidth="1"/>
    <col min="786" max="786" width="10.1111111111111" style="1907" customWidth="1"/>
    <col min="787" max="787" width="10" style="1907" customWidth="1"/>
    <col min="788" max="788" width="26.1111111111111" style="1907" customWidth="1"/>
    <col min="789" max="1024" width="8.88888888888889" style="1907"/>
    <col min="1025" max="1025" width="9.44444444444444" style="1907" customWidth="1"/>
    <col min="1026" max="1026" width="8.88888888888889" style="1907"/>
    <col min="1027" max="1029" width="12.8888888888889" style="1907" customWidth="1"/>
    <col min="1030" max="1030" width="47.4444444444444" style="1907" customWidth="1"/>
    <col min="1031" max="1031" width="13" style="1907" customWidth="1"/>
    <col min="1032" max="1033" width="8.88888888888889" style="1907"/>
    <col min="1034" max="1034" width="5.77777777777778" style="1907" customWidth="1"/>
    <col min="1035" max="1035" width="11.7777777777778" style="1907" customWidth="1"/>
    <col min="1036" max="1037" width="10.7777777777778" style="1907" customWidth="1"/>
    <col min="1038" max="1038" width="10" style="1907" customWidth="1"/>
    <col min="1039" max="1040" width="10.4444444444444" style="1907" customWidth="1"/>
    <col min="1041" max="1041" width="10" style="1907" customWidth="1"/>
    <col min="1042" max="1042" width="10.1111111111111" style="1907" customWidth="1"/>
    <col min="1043" max="1043" width="10" style="1907" customWidth="1"/>
    <col min="1044" max="1044" width="26.1111111111111" style="1907" customWidth="1"/>
    <col min="1045" max="1280" width="8.88888888888889" style="1907"/>
    <col min="1281" max="1281" width="9.44444444444444" style="1907" customWidth="1"/>
    <col min="1282" max="1282" width="8.88888888888889" style="1907"/>
    <col min="1283" max="1285" width="12.8888888888889" style="1907" customWidth="1"/>
    <col min="1286" max="1286" width="47.4444444444444" style="1907" customWidth="1"/>
    <col min="1287" max="1287" width="13" style="1907" customWidth="1"/>
    <col min="1288" max="1289" width="8.88888888888889" style="1907"/>
    <col min="1290" max="1290" width="5.77777777777778" style="1907" customWidth="1"/>
    <col min="1291" max="1291" width="11.7777777777778" style="1907" customWidth="1"/>
    <col min="1292" max="1293" width="10.7777777777778" style="1907" customWidth="1"/>
    <col min="1294" max="1294" width="10" style="1907" customWidth="1"/>
    <col min="1295" max="1296" width="10.4444444444444" style="1907" customWidth="1"/>
    <col min="1297" max="1297" width="10" style="1907" customWidth="1"/>
    <col min="1298" max="1298" width="10.1111111111111" style="1907" customWidth="1"/>
    <col min="1299" max="1299" width="10" style="1907" customWidth="1"/>
    <col min="1300" max="1300" width="26.1111111111111" style="1907" customWidth="1"/>
    <col min="1301" max="1536" width="8.88888888888889" style="1907"/>
    <col min="1537" max="1537" width="9.44444444444444" style="1907" customWidth="1"/>
    <col min="1538" max="1538" width="8.88888888888889" style="1907"/>
    <col min="1539" max="1541" width="12.8888888888889" style="1907" customWidth="1"/>
    <col min="1542" max="1542" width="47.4444444444444" style="1907" customWidth="1"/>
    <col min="1543" max="1543" width="13" style="1907" customWidth="1"/>
    <col min="1544" max="1545" width="8.88888888888889" style="1907"/>
    <col min="1546" max="1546" width="5.77777777777778" style="1907" customWidth="1"/>
    <col min="1547" max="1547" width="11.7777777777778" style="1907" customWidth="1"/>
    <col min="1548" max="1549" width="10.7777777777778" style="1907" customWidth="1"/>
    <col min="1550" max="1550" width="10" style="1907" customWidth="1"/>
    <col min="1551" max="1552" width="10.4444444444444" style="1907" customWidth="1"/>
    <col min="1553" max="1553" width="10" style="1907" customWidth="1"/>
    <col min="1554" max="1554" width="10.1111111111111" style="1907" customWidth="1"/>
    <col min="1555" max="1555" width="10" style="1907" customWidth="1"/>
    <col min="1556" max="1556" width="26.1111111111111" style="1907" customWidth="1"/>
    <col min="1557" max="1792" width="8.88888888888889" style="1907"/>
    <col min="1793" max="1793" width="9.44444444444444" style="1907" customWidth="1"/>
    <col min="1794" max="1794" width="8.88888888888889" style="1907"/>
    <col min="1795" max="1797" width="12.8888888888889" style="1907" customWidth="1"/>
    <col min="1798" max="1798" width="47.4444444444444" style="1907" customWidth="1"/>
    <col min="1799" max="1799" width="13" style="1907" customWidth="1"/>
    <col min="1800" max="1801" width="8.88888888888889" style="1907"/>
    <col min="1802" max="1802" width="5.77777777777778" style="1907" customWidth="1"/>
    <col min="1803" max="1803" width="11.7777777777778" style="1907" customWidth="1"/>
    <col min="1804" max="1805" width="10.7777777777778" style="1907" customWidth="1"/>
    <col min="1806" max="1806" width="10" style="1907" customWidth="1"/>
    <col min="1807" max="1808" width="10.4444444444444" style="1907" customWidth="1"/>
    <col min="1809" max="1809" width="10" style="1907" customWidth="1"/>
    <col min="1810" max="1810" width="10.1111111111111" style="1907" customWidth="1"/>
    <col min="1811" max="1811" width="10" style="1907" customWidth="1"/>
    <col min="1812" max="1812" width="26.1111111111111" style="1907" customWidth="1"/>
    <col min="1813" max="2048" width="8.88888888888889" style="1907"/>
    <col min="2049" max="2049" width="9.44444444444444" style="1907" customWidth="1"/>
    <col min="2050" max="2050" width="8.88888888888889" style="1907"/>
    <col min="2051" max="2053" width="12.8888888888889" style="1907" customWidth="1"/>
    <col min="2054" max="2054" width="47.4444444444444" style="1907" customWidth="1"/>
    <col min="2055" max="2055" width="13" style="1907" customWidth="1"/>
    <col min="2056" max="2057" width="8.88888888888889" style="1907"/>
    <col min="2058" max="2058" width="5.77777777777778" style="1907" customWidth="1"/>
    <col min="2059" max="2059" width="11.7777777777778" style="1907" customWidth="1"/>
    <col min="2060" max="2061" width="10.7777777777778" style="1907" customWidth="1"/>
    <col min="2062" max="2062" width="10" style="1907" customWidth="1"/>
    <col min="2063" max="2064" width="10.4444444444444" style="1907" customWidth="1"/>
    <col min="2065" max="2065" width="10" style="1907" customWidth="1"/>
    <col min="2066" max="2066" width="10.1111111111111" style="1907" customWidth="1"/>
    <col min="2067" max="2067" width="10" style="1907" customWidth="1"/>
    <col min="2068" max="2068" width="26.1111111111111" style="1907" customWidth="1"/>
    <col min="2069" max="2304" width="8.88888888888889" style="1907"/>
    <col min="2305" max="2305" width="9.44444444444444" style="1907" customWidth="1"/>
    <col min="2306" max="2306" width="8.88888888888889" style="1907"/>
    <col min="2307" max="2309" width="12.8888888888889" style="1907" customWidth="1"/>
    <col min="2310" max="2310" width="47.4444444444444" style="1907" customWidth="1"/>
    <col min="2311" max="2311" width="13" style="1907" customWidth="1"/>
    <col min="2312" max="2313" width="8.88888888888889" style="1907"/>
    <col min="2314" max="2314" width="5.77777777777778" style="1907" customWidth="1"/>
    <col min="2315" max="2315" width="11.7777777777778" style="1907" customWidth="1"/>
    <col min="2316" max="2317" width="10.7777777777778" style="1907" customWidth="1"/>
    <col min="2318" max="2318" width="10" style="1907" customWidth="1"/>
    <col min="2319" max="2320" width="10.4444444444444" style="1907" customWidth="1"/>
    <col min="2321" max="2321" width="10" style="1907" customWidth="1"/>
    <col min="2322" max="2322" width="10.1111111111111" style="1907" customWidth="1"/>
    <col min="2323" max="2323" width="10" style="1907" customWidth="1"/>
    <col min="2324" max="2324" width="26.1111111111111" style="1907" customWidth="1"/>
    <col min="2325" max="2560" width="8.88888888888889" style="1907"/>
    <col min="2561" max="2561" width="9.44444444444444" style="1907" customWidth="1"/>
    <col min="2562" max="2562" width="8.88888888888889" style="1907"/>
    <col min="2563" max="2565" width="12.8888888888889" style="1907" customWidth="1"/>
    <col min="2566" max="2566" width="47.4444444444444" style="1907" customWidth="1"/>
    <col min="2567" max="2567" width="13" style="1907" customWidth="1"/>
    <col min="2568" max="2569" width="8.88888888888889" style="1907"/>
    <col min="2570" max="2570" width="5.77777777777778" style="1907" customWidth="1"/>
    <col min="2571" max="2571" width="11.7777777777778" style="1907" customWidth="1"/>
    <col min="2572" max="2573" width="10.7777777777778" style="1907" customWidth="1"/>
    <col min="2574" max="2574" width="10" style="1907" customWidth="1"/>
    <col min="2575" max="2576" width="10.4444444444444" style="1907" customWidth="1"/>
    <col min="2577" max="2577" width="10" style="1907" customWidth="1"/>
    <col min="2578" max="2578" width="10.1111111111111" style="1907" customWidth="1"/>
    <col min="2579" max="2579" width="10" style="1907" customWidth="1"/>
    <col min="2580" max="2580" width="26.1111111111111" style="1907" customWidth="1"/>
    <col min="2581" max="2816" width="8.88888888888889" style="1907"/>
    <col min="2817" max="2817" width="9.44444444444444" style="1907" customWidth="1"/>
    <col min="2818" max="2818" width="8.88888888888889" style="1907"/>
    <col min="2819" max="2821" width="12.8888888888889" style="1907" customWidth="1"/>
    <col min="2822" max="2822" width="47.4444444444444" style="1907" customWidth="1"/>
    <col min="2823" max="2823" width="13" style="1907" customWidth="1"/>
    <col min="2824" max="2825" width="8.88888888888889" style="1907"/>
    <col min="2826" max="2826" width="5.77777777777778" style="1907" customWidth="1"/>
    <col min="2827" max="2827" width="11.7777777777778" style="1907" customWidth="1"/>
    <col min="2828" max="2829" width="10.7777777777778" style="1907" customWidth="1"/>
    <col min="2830" max="2830" width="10" style="1907" customWidth="1"/>
    <col min="2831" max="2832" width="10.4444444444444" style="1907" customWidth="1"/>
    <col min="2833" max="2833" width="10" style="1907" customWidth="1"/>
    <col min="2834" max="2834" width="10.1111111111111" style="1907" customWidth="1"/>
    <col min="2835" max="2835" width="10" style="1907" customWidth="1"/>
    <col min="2836" max="2836" width="26.1111111111111" style="1907" customWidth="1"/>
    <col min="2837" max="3072" width="8.88888888888889" style="1907"/>
    <col min="3073" max="3073" width="9.44444444444444" style="1907" customWidth="1"/>
    <col min="3074" max="3074" width="8.88888888888889" style="1907"/>
    <col min="3075" max="3077" width="12.8888888888889" style="1907" customWidth="1"/>
    <col min="3078" max="3078" width="47.4444444444444" style="1907" customWidth="1"/>
    <col min="3079" max="3079" width="13" style="1907" customWidth="1"/>
    <col min="3080" max="3081" width="8.88888888888889" style="1907"/>
    <col min="3082" max="3082" width="5.77777777777778" style="1907" customWidth="1"/>
    <col min="3083" max="3083" width="11.7777777777778" style="1907" customWidth="1"/>
    <col min="3084" max="3085" width="10.7777777777778" style="1907" customWidth="1"/>
    <col min="3086" max="3086" width="10" style="1907" customWidth="1"/>
    <col min="3087" max="3088" width="10.4444444444444" style="1907" customWidth="1"/>
    <col min="3089" max="3089" width="10" style="1907" customWidth="1"/>
    <col min="3090" max="3090" width="10.1111111111111" style="1907" customWidth="1"/>
    <col min="3091" max="3091" width="10" style="1907" customWidth="1"/>
    <col min="3092" max="3092" width="26.1111111111111" style="1907" customWidth="1"/>
    <col min="3093" max="3328" width="8.88888888888889" style="1907"/>
    <col min="3329" max="3329" width="9.44444444444444" style="1907" customWidth="1"/>
    <col min="3330" max="3330" width="8.88888888888889" style="1907"/>
    <col min="3331" max="3333" width="12.8888888888889" style="1907" customWidth="1"/>
    <col min="3334" max="3334" width="47.4444444444444" style="1907" customWidth="1"/>
    <col min="3335" max="3335" width="13" style="1907" customWidth="1"/>
    <col min="3336" max="3337" width="8.88888888888889" style="1907"/>
    <col min="3338" max="3338" width="5.77777777777778" style="1907" customWidth="1"/>
    <col min="3339" max="3339" width="11.7777777777778" style="1907" customWidth="1"/>
    <col min="3340" max="3341" width="10.7777777777778" style="1907" customWidth="1"/>
    <col min="3342" max="3342" width="10" style="1907" customWidth="1"/>
    <col min="3343" max="3344" width="10.4444444444444" style="1907" customWidth="1"/>
    <col min="3345" max="3345" width="10" style="1907" customWidth="1"/>
    <col min="3346" max="3346" width="10.1111111111111" style="1907" customWidth="1"/>
    <col min="3347" max="3347" width="10" style="1907" customWidth="1"/>
    <col min="3348" max="3348" width="26.1111111111111" style="1907" customWidth="1"/>
    <col min="3349" max="3584" width="8.88888888888889" style="1907"/>
    <col min="3585" max="3585" width="9.44444444444444" style="1907" customWidth="1"/>
    <col min="3586" max="3586" width="8.88888888888889" style="1907"/>
    <col min="3587" max="3589" width="12.8888888888889" style="1907" customWidth="1"/>
    <col min="3590" max="3590" width="47.4444444444444" style="1907" customWidth="1"/>
    <col min="3591" max="3591" width="13" style="1907" customWidth="1"/>
    <col min="3592" max="3593" width="8.88888888888889" style="1907"/>
    <col min="3594" max="3594" width="5.77777777777778" style="1907" customWidth="1"/>
    <col min="3595" max="3595" width="11.7777777777778" style="1907" customWidth="1"/>
    <col min="3596" max="3597" width="10.7777777777778" style="1907" customWidth="1"/>
    <col min="3598" max="3598" width="10" style="1907" customWidth="1"/>
    <col min="3599" max="3600" width="10.4444444444444" style="1907" customWidth="1"/>
    <col min="3601" max="3601" width="10" style="1907" customWidth="1"/>
    <col min="3602" max="3602" width="10.1111111111111" style="1907" customWidth="1"/>
    <col min="3603" max="3603" width="10" style="1907" customWidth="1"/>
    <col min="3604" max="3604" width="26.1111111111111" style="1907" customWidth="1"/>
    <col min="3605" max="3840" width="8.88888888888889" style="1907"/>
    <col min="3841" max="3841" width="9.44444444444444" style="1907" customWidth="1"/>
    <col min="3842" max="3842" width="8.88888888888889" style="1907"/>
    <col min="3843" max="3845" width="12.8888888888889" style="1907" customWidth="1"/>
    <col min="3846" max="3846" width="47.4444444444444" style="1907" customWidth="1"/>
    <col min="3847" max="3847" width="13" style="1907" customWidth="1"/>
    <col min="3848" max="3849" width="8.88888888888889" style="1907"/>
    <col min="3850" max="3850" width="5.77777777777778" style="1907" customWidth="1"/>
    <col min="3851" max="3851" width="11.7777777777778" style="1907" customWidth="1"/>
    <col min="3852" max="3853" width="10.7777777777778" style="1907" customWidth="1"/>
    <col min="3854" max="3854" width="10" style="1907" customWidth="1"/>
    <col min="3855" max="3856" width="10.4444444444444" style="1907" customWidth="1"/>
    <col min="3857" max="3857" width="10" style="1907" customWidth="1"/>
    <col min="3858" max="3858" width="10.1111111111111" style="1907" customWidth="1"/>
    <col min="3859" max="3859" width="10" style="1907" customWidth="1"/>
    <col min="3860" max="3860" width="26.1111111111111" style="1907" customWidth="1"/>
    <col min="3861" max="4096" width="8.88888888888889" style="1907"/>
    <col min="4097" max="4097" width="9.44444444444444" style="1907" customWidth="1"/>
    <col min="4098" max="4098" width="8.88888888888889" style="1907"/>
    <col min="4099" max="4101" width="12.8888888888889" style="1907" customWidth="1"/>
    <col min="4102" max="4102" width="47.4444444444444" style="1907" customWidth="1"/>
    <col min="4103" max="4103" width="13" style="1907" customWidth="1"/>
    <col min="4104" max="4105" width="8.88888888888889" style="1907"/>
    <col min="4106" max="4106" width="5.77777777777778" style="1907" customWidth="1"/>
    <col min="4107" max="4107" width="11.7777777777778" style="1907" customWidth="1"/>
    <col min="4108" max="4109" width="10.7777777777778" style="1907" customWidth="1"/>
    <col min="4110" max="4110" width="10" style="1907" customWidth="1"/>
    <col min="4111" max="4112" width="10.4444444444444" style="1907" customWidth="1"/>
    <col min="4113" max="4113" width="10" style="1907" customWidth="1"/>
    <col min="4114" max="4114" width="10.1111111111111" style="1907" customWidth="1"/>
    <col min="4115" max="4115" width="10" style="1907" customWidth="1"/>
    <col min="4116" max="4116" width="26.1111111111111" style="1907" customWidth="1"/>
    <col min="4117" max="4352" width="8.88888888888889" style="1907"/>
    <col min="4353" max="4353" width="9.44444444444444" style="1907" customWidth="1"/>
    <col min="4354" max="4354" width="8.88888888888889" style="1907"/>
    <col min="4355" max="4357" width="12.8888888888889" style="1907" customWidth="1"/>
    <col min="4358" max="4358" width="47.4444444444444" style="1907" customWidth="1"/>
    <col min="4359" max="4359" width="13" style="1907" customWidth="1"/>
    <col min="4360" max="4361" width="8.88888888888889" style="1907"/>
    <col min="4362" max="4362" width="5.77777777777778" style="1907" customWidth="1"/>
    <col min="4363" max="4363" width="11.7777777777778" style="1907" customWidth="1"/>
    <col min="4364" max="4365" width="10.7777777777778" style="1907" customWidth="1"/>
    <col min="4366" max="4366" width="10" style="1907" customWidth="1"/>
    <col min="4367" max="4368" width="10.4444444444444" style="1907" customWidth="1"/>
    <col min="4369" max="4369" width="10" style="1907" customWidth="1"/>
    <col min="4370" max="4370" width="10.1111111111111" style="1907" customWidth="1"/>
    <col min="4371" max="4371" width="10" style="1907" customWidth="1"/>
    <col min="4372" max="4372" width="26.1111111111111" style="1907" customWidth="1"/>
    <col min="4373" max="4608" width="8.88888888888889" style="1907"/>
    <col min="4609" max="4609" width="9.44444444444444" style="1907" customWidth="1"/>
    <col min="4610" max="4610" width="8.88888888888889" style="1907"/>
    <col min="4611" max="4613" width="12.8888888888889" style="1907" customWidth="1"/>
    <col min="4614" max="4614" width="47.4444444444444" style="1907" customWidth="1"/>
    <col min="4615" max="4615" width="13" style="1907" customWidth="1"/>
    <col min="4616" max="4617" width="8.88888888888889" style="1907"/>
    <col min="4618" max="4618" width="5.77777777777778" style="1907" customWidth="1"/>
    <col min="4619" max="4619" width="11.7777777777778" style="1907" customWidth="1"/>
    <col min="4620" max="4621" width="10.7777777777778" style="1907" customWidth="1"/>
    <col min="4622" max="4622" width="10" style="1907" customWidth="1"/>
    <col min="4623" max="4624" width="10.4444444444444" style="1907" customWidth="1"/>
    <col min="4625" max="4625" width="10" style="1907" customWidth="1"/>
    <col min="4626" max="4626" width="10.1111111111111" style="1907" customWidth="1"/>
    <col min="4627" max="4627" width="10" style="1907" customWidth="1"/>
    <col min="4628" max="4628" width="26.1111111111111" style="1907" customWidth="1"/>
    <col min="4629" max="4864" width="8.88888888888889" style="1907"/>
    <col min="4865" max="4865" width="9.44444444444444" style="1907" customWidth="1"/>
    <col min="4866" max="4866" width="8.88888888888889" style="1907"/>
    <col min="4867" max="4869" width="12.8888888888889" style="1907" customWidth="1"/>
    <col min="4870" max="4870" width="47.4444444444444" style="1907" customWidth="1"/>
    <col min="4871" max="4871" width="13" style="1907" customWidth="1"/>
    <col min="4872" max="4873" width="8.88888888888889" style="1907"/>
    <col min="4874" max="4874" width="5.77777777777778" style="1907" customWidth="1"/>
    <col min="4875" max="4875" width="11.7777777777778" style="1907" customWidth="1"/>
    <col min="4876" max="4877" width="10.7777777777778" style="1907" customWidth="1"/>
    <col min="4878" max="4878" width="10" style="1907" customWidth="1"/>
    <col min="4879" max="4880" width="10.4444444444444" style="1907" customWidth="1"/>
    <col min="4881" max="4881" width="10" style="1907" customWidth="1"/>
    <col min="4882" max="4882" width="10.1111111111111" style="1907" customWidth="1"/>
    <col min="4883" max="4883" width="10" style="1907" customWidth="1"/>
    <col min="4884" max="4884" width="26.1111111111111" style="1907" customWidth="1"/>
    <col min="4885" max="5120" width="8.88888888888889" style="1907"/>
    <col min="5121" max="5121" width="9.44444444444444" style="1907" customWidth="1"/>
    <col min="5122" max="5122" width="8.88888888888889" style="1907"/>
    <col min="5123" max="5125" width="12.8888888888889" style="1907" customWidth="1"/>
    <col min="5126" max="5126" width="47.4444444444444" style="1907" customWidth="1"/>
    <col min="5127" max="5127" width="13" style="1907" customWidth="1"/>
    <col min="5128" max="5129" width="8.88888888888889" style="1907"/>
    <col min="5130" max="5130" width="5.77777777777778" style="1907" customWidth="1"/>
    <col min="5131" max="5131" width="11.7777777777778" style="1907" customWidth="1"/>
    <col min="5132" max="5133" width="10.7777777777778" style="1907" customWidth="1"/>
    <col min="5134" max="5134" width="10" style="1907" customWidth="1"/>
    <col min="5135" max="5136" width="10.4444444444444" style="1907" customWidth="1"/>
    <col min="5137" max="5137" width="10" style="1907" customWidth="1"/>
    <col min="5138" max="5138" width="10.1111111111111" style="1907" customWidth="1"/>
    <col min="5139" max="5139" width="10" style="1907" customWidth="1"/>
    <col min="5140" max="5140" width="26.1111111111111" style="1907" customWidth="1"/>
    <col min="5141" max="5376" width="8.88888888888889" style="1907"/>
    <col min="5377" max="5377" width="9.44444444444444" style="1907" customWidth="1"/>
    <col min="5378" max="5378" width="8.88888888888889" style="1907"/>
    <col min="5379" max="5381" width="12.8888888888889" style="1907" customWidth="1"/>
    <col min="5382" max="5382" width="47.4444444444444" style="1907" customWidth="1"/>
    <col min="5383" max="5383" width="13" style="1907" customWidth="1"/>
    <col min="5384" max="5385" width="8.88888888888889" style="1907"/>
    <col min="5386" max="5386" width="5.77777777777778" style="1907" customWidth="1"/>
    <col min="5387" max="5387" width="11.7777777777778" style="1907" customWidth="1"/>
    <col min="5388" max="5389" width="10.7777777777778" style="1907" customWidth="1"/>
    <col min="5390" max="5390" width="10" style="1907" customWidth="1"/>
    <col min="5391" max="5392" width="10.4444444444444" style="1907" customWidth="1"/>
    <col min="5393" max="5393" width="10" style="1907" customWidth="1"/>
    <col min="5394" max="5394" width="10.1111111111111" style="1907" customWidth="1"/>
    <col min="5395" max="5395" width="10" style="1907" customWidth="1"/>
    <col min="5396" max="5396" width="26.1111111111111" style="1907" customWidth="1"/>
    <col min="5397" max="5632" width="8.88888888888889" style="1907"/>
    <col min="5633" max="5633" width="9.44444444444444" style="1907" customWidth="1"/>
    <col min="5634" max="5634" width="8.88888888888889" style="1907"/>
    <col min="5635" max="5637" width="12.8888888888889" style="1907" customWidth="1"/>
    <col min="5638" max="5638" width="47.4444444444444" style="1907" customWidth="1"/>
    <col min="5639" max="5639" width="13" style="1907" customWidth="1"/>
    <col min="5640" max="5641" width="8.88888888888889" style="1907"/>
    <col min="5642" max="5642" width="5.77777777777778" style="1907" customWidth="1"/>
    <col min="5643" max="5643" width="11.7777777777778" style="1907" customWidth="1"/>
    <col min="5644" max="5645" width="10.7777777777778" style="1907" customWidth="1"/>
    <col min="5646" max="5646" width="10" style="1907" customWidth="1"/>
    <col min="5647" max="5648" width="10.4444444444444" style="1907" customWidth="1"/>
    <col min="5649" max="5649" width="10" style="1907" customWidth="1"/>
    <col min="5650" max="5650" width="10.1111111111111" style="1907" customWidth="1"/>
    <col min="5651" max="5651" width="10" style="1907" customWidth="1"/>
    <col min="5652" max="5652" width="26.1111111111111" style="1907" customWidth="1"/>
    <col min="5653" max="5888" width="8.88888888888889" style="1907"/>
    <col min="5889" max="5889" width="9.44444444444444" style="1907" customWidth="1"/>
    <col min="5890" max="5890" width="8.88888888888889" style="1907"/>
    <col min="5891" max="5893" width="12.8888888888889" style="1907" customWidth="1"/>
    <col min="5894" max="5894" width="47.4444444444444" style="1907" customWidth="1"/>
    <col min="5895" max="5895" width="13" style="1907" customWidth="1"/>
    <col min="5896" max="5897" width="8.88888888888889" style="1907"/>
    <col min="5898" max="5898" width="5.77777777777778" style="1907" customWidth="1"/>
    <col min="5899" max="5899" width="11.7777777777778" style="1907" customWidth="1"/>
    <col min="5900" max="5901" width="10.7777777777778" style="1907" customWidth="1"/>
    <col min="5902" max="5902" width="10" style="1907" customWidth="1"/>
    <col min="5903" max="5904" width="10.4444444444444" style="1907" customWidth="1"/>
    <col min="5905" max="5905" width="10" style="1907" customWidth="1"/>
    <col min="5906" max="5906" width="10.1111111111111" style="1907" customWidth="1"/>
    <col min="5907" max="5907" width="10" style="1907" customWidth="1"/>
    <col min="5908" max="5908" width="26.1111111111111" style="1907" customWidth="1"/>
    <col min="5909" max="6144" width="8.88888888888889" style="1907"/>
    <col min="6145" max="6145" width="9.44444444444444" style="1907" customWidth="1"/>
    <col min="6146" max="6146" width="8.88888888888889" style="1907"/>
    <col min="6147" max="6149" width="12.8888888888889" style="1907" customWidth="1"/>
    <col min="6150" max="6150" width="47.4444444444444" style="1907" customWidth="1"/>
    <col min="6151" max="6151" width="13" style="1907" customWidth="1"/>
    <col min="6152" max="6153" width="8.88888888888889" style="1907"/>
    <col min="6154" max="6154" width="5.77777777777778" style="1907" customWidth="1"/>
    <col min="6155" max="6155" width="11.7777777777778" style="1907" customWidth="1"/>
    <col min="6156" max="6157" width="10.7777777777778" style="1907" customWidth="1"/>
    <col min="6158" max="6158" width="10" style="1907" customWidth="1"/>
    <col min="6159" max="6160" width="10.4444444444444" style="1907" customWidth="1"/>
    <col min="6161" max="6161" width="10" style="1907" customWidth="1"/>
    <col min="6162" max="6162" width="10.1111111111111" style="1907" customWidth="1"/>
    <col min="6163" max="6163" width="10" style="1907" customWidth="1"/>
    <col min="6164" max="6164" width="26.1111111111111" style="1907" customWidth="1"/>
    <col min="6165" max="6400" width="8.88888888888889" style="1907"/>
    <col min="6401" max="6401" width="9.44444444444444" style="1907" customWidth="1"/>
    <col min="6402" max="6402" width="8.88888888888889" style="1907"/>
    <col min="6403" max="6405" width="12.8888888888889" style="1907" customWidth="1"/>
    <col min="6406" max="6406" width="47.4444444444444" style="1907" customWidth="1"/>
    <col min="6407" max="6407" width="13" style="1907" customWidth="1"/>
    <col min="6408" max="6409" width="8.88888888888889" style="1907"/>
    <col min="6410" max="6410" width="5.77777777777778" style="1907" customWidth="1"/>
    <col min="6411" max="6411" width="11.7777777777778" style="1907" customWidth="1"/>
    <col min="6412" max="6413" width="10.7777777777778" style="1907" customWidth="1"/>
    <col min="6414" max="6414" width="10" style="1907" customWidth="1"/>
    <col min="6415" max="6416" width="10.4444444444444" style="1907" customWidth="1"/>
    <col min="6417" max="6417" width="10" style="1907" customWidth="1"/>
    <col min="6418" max="6418" width="10.1111111111111" style="1907" customWidth="1"/>
    <col min="6419" max="6419" width="10" style="1907" customWidth="1"/>
    <col min="6420" max="6420" width="26.1111111111111" style="1907" customWidth="1"/>
    <col min="6421" max="6656" width="8.88888888888889" style="1907"/>
    <col min="6657" max="6657" width="9.44444444444444" style="1907" customWidth="1"/>
    <col min="6658" max="6658" width="8.88888888888889" style="1907"/>
    <col min="6659" max="6661" width="12.8888888888889" style="1907" customWidth="1"/>
    <col min="6662" max="6662" width="47.4444444444444" style="1907" customWidth="1"/>
    <col min="6663" max="6663" width="13" style="1907" customWidth="1"/>
    <col min="6664" max="6665" width="8.88888888888889" style="1907"/>
    <col min="6666" max="6666" width="5.77777777777778" style="1907" customWidth="1"/>
    <col min="6667" max="6667" width="11.7777777777778" style="1907" customWidth="1"/>
    <col min="6668" max="6669" width="10.7777777777778" style="1907" customWidth="1"/>
    <col min="6670" max="6670" width="10" style="1907" customWidth="1"/>
    <col min="6671" max="6672" width="10.4444444444444" style="1907" customWidth="1"/>
    <col min="6673" max="6673" width="10" style="1907" customWidth="1"/>
    <col min="6674" max="6674" width="10.1111111111111" style="1907" customWidth="1"/>
    <col min="6675" max="6675" width="10" style="1907" customWidth="1"/>
    <col min="6676" max="6676" width="26.1111111111111" style="1907" customWidth="1"/>
    <col min="6677" max="6912" width="8.88888888888889" style="1907"/>
    <col min="6913" max="6913" width="9.44444444444444" style="1907" customWidth="1"/>
    <col min="6914" max="6914" width="8.88888888888889" style="1907"/>
    <col min="6915" max="6917" width="12.8888888888889" style="1907" customWidth="1"/>
    <col min="6918" max="6918" width="47.4444444444444" style="1907" customWidth="1"/>
    <col min="6919" max="6919" width="13" style="1907" customWidth="1"/>
    <col min="6920" max="6921" width="8.88888888888889" style="1907"/>
    <col min="6922" max="6922" width="5.77777777777778" style="1907" customWidth="1"/>
    <col min="6923" max="6923" width="11.7777777777778" style="1907" customWidth="1"/>
    <col min="6924" max="6925" width="10.7777777777778" style="1907" customWidth="1"/>
    <col min="6926" max="6926" width="10" style="1907" customWidth="1"/>
    <col min="6927" max="6928" width="10.4444444444444" style="1907" customWidth="1"/>
    <col min="6929" max="6929" width="10" style="1907" customWidth="1"/>
    <col min="6930" max="6930" width="10.1111111111111" style="1907" customWidth="1"/>
    <col min="6931" max="6931" width="10" style="1907" customWidth="1"/>
    <col min="6932" max="6932" width="26.1111111111111" style="1907" customWidth="1"/>
    <col min="6933" max="7168" width="8.88888888888889" style="1907"/>
    <col min="7169" max="7169" width="9.44444444444444" style="1907" customWidth="1"/>
    <col min="7170" max="7170" width="8.88888888888889" style="1907"/>
    <col min="7171" max="7173" width="12.8888888888889" style="1907" customWidth="1"/>
    <col min="7174" max="7174" width="47.4444444444444" style="1907" customWidth="1"/>
    <col min="7175" max="7175" width="13" style="1907" customWidth="1"/>
    <col min="7176" max="7177" width="8.88888888888889" style="1907"/>
    <col min="7178" max="7178" width="5.77777777777778" style="1907" customWidth="1"/>
    <col min="7179" max="7179" width="11.7777777777778" style="1907" customWidth="1"/>
    <col min="7180" max="7181" width="10.7777777777778" style="1907" customWidth="1"/>
    <col min="7182" max="7182" width="10" style="1907" customWidth="1"/>
    <col min="7183" max="7184" width="10.4444444444444" style="1907" customWidth="1"/>
    <col min="7185" max="7185" width="10" style="1907" customWidth="1"/>
    <col min="7186" max="7186" width="10.1111111111111" style="1907" customWidth="1"/>
    <col min="7187" max="7187" width="10" style="1907" customWidth="1"/>
    <col min="7188" max="7188" width="26.1111111111111" style="1907" customWidth="1"/>
    <col min="7189" max="7424" width="8.88888888888889" style="1907"/>
    <col min="7425" max="7425" width="9.44444444444444" style="1907" customWidth="1"/>
    <col min="7426" max="7426" width="8.88888888888889" style="1907"/>
    <col min="7427" max="7429" width="12.8888888888889" style="1907" customWidth="1"/>
    <col min="7430" max="7430" width="47.4444444444444" style="1907" customWidth="1"/>
    <col min="7431" max="7431" width="13" style="1907" customWidth="1"/>
    <col min="7432" max="7433" width="8.88888888888889" style="1907"/>
    <col min="7434" max="7434" width="5.77777777777778" style="1907" customWidth="1"/>
    <col min="7435" max="7435" width="11.7777777777778" style="1907" customWidth="1"/>
    <col min="7436" max="7437" width="10.7777777777778" style="1907" customWidth="1"/>
    <col min="7438" max="7438" width="10" style="1907" customWidth="1"/>
    <col min="7439" max="7440" width="10.4444444444444" style="1907" customWidth="1"/>
    <col min="7441" max="7441" width="10" style="1907" customWidth="1"/>
    <col min="7442" max="7442" width="10.1111111111111" style="1907" customWidth="1"/>
    <col min="7443" max="7443" width="10" style="1907" customWidth="1"/>
    <col min="7444" max="7444" width="26.1111111111111" style="1907" customWidth="1"/>
    <col min="7445" max="7680" width="8.88888888888889" style="1907"/>
    <col min="7681" max="7681" width="9.44444444444444" style="1907" customWidth="1"/>
    <col min="7682" max="7682" width="8.88888888888889" style="1907"/>
    <col min="7683" max="7685" width="12.8888888888889" style="1907" customWidth="1"/>
    <col min="7686" max="7686" width="47.4444444444444" style="1907" customWidth="1"/>
    <col min="7687" max="7687" width="13" style="1907" customWidth="1"/>
    <col min="7688" max="7689" width="8.88888888888889" style="1907"/>
    <col min="7690" max="7690" width="5.77777777777778" style="1907" customWidth="1"/>
    <col min="7691" max="7691" width="11.7777777777778" style="1907" customWidth="1"/>
    <col min="7692" max="7693" width="10.7777777777778" style="1907" customWidth="1"/>
    <col min="7694" max="7694" width="10" style="1907" customWidth="1"/>
    <col min="7695" max="7696" width="10.4444444444444" style="1907" customWidth="1"/>
    <col min="7697" max="7697" width="10" style="1907" customWidth="1"/>
    <col min="7698" max="7698" width="10.1111111111111" style="1907" customWidth="1"/>
    <col min="7699" max="7699" width="10" style="1907" customWidth="1"/>
    <col min="7700" max="7700" width="26.1111111111111" style="1907" customWidth="1"/>
    <col min="7701" max="7936" width="8.88888888888889" style="1907"/>
    <col min="7937" max="7937" width="9.44444444444444" style="1907" customWidth="1"/>
    <col min="7938" max="7938" width="8.88888888888889" style="1907"/>
    <col min="7939" max="7941" width="12.8888888888889" style="1907" customWidth="1"/>
    <col min="7942" max="7942" width="47.4444444444444" style="1907" customWidth="1"/>
    <col min="7943" max="7943" width="13" style="1907" customWidth="1"/>
    <col min="7944" max="7945" width="8.88888888888889" style="1907"/>
    <col min="7946" max="7946" width="5.77777777777778" style="1907" customWidth="1"/>
    <col min="7947" max="7947" width="11.7777777777778" style="1907" customWidth="1"/>
    <col min="7948" max="7949" width="10.7777777777778" style="1907" customWidth="1"/>
    <col min="7950" max="7950" width="10" style="1907" customWidth="1"/>
    <col min="7951" max="7952" width="10.4444444444444" style="1907" customWidth="1"/>
    <col min="7953" max="7953" width="10" style="1907" customWidth="1"/>
    <col min="7954" max="7954" width="10.1111111111111" style="1907" customWidth="1"/>
    <col min="7955" max="7955" width="10" style="1907" customWidth="1"/>
    <col min="7956" max="7956" width="26.1111111111111" style="1907" customWidth="1"/>
    <col min="7957" max="8192" width="8.88888888888889" style="1907"/>
    <col min="8193" max="8193" width="9.44444444444444" style="1907" customWidth="1"/>
    <col min="8194" max="8194" width="8.88888888888889" style="1907"/>
    <col min="8195" max="8197" width="12.8888888888889" style="1907" customWidth="1"/>
    <col min="8198" max="8198" width="47.4444444444444" style="1907" customWidth="1"/>
    <col min="8199" max="8199" width="13" style="1907" customWidth="1"/>
    <col min="8200" max="8201" width="8.88888888888889" style="1907"/>
    <col min="8202" max="8202" width="5.77777777777778" style="1907" customWidth="1"/>
    <col min="8203" max="8203" width="11.7777777777778" style="1907" customWidth="1"/>
    <col min="8204" max="8205" width="10.7777777777778" style="1907" customWidth="1"/>
    <col min="8206" max="8206" width="10" style="1907" customWidth="1"/>
    <col min="8207" max="8208" width="10.4444444444444" style="1907" customWidth="1"/>
    <col min="8209" max="8209" width="10" style="1907" customWidth="1"/>
    <col min="8210" max="8210" width="10.1111111111111" style="1907" customWidth="1"/>
    <col min="8211" max="8211" width="10" style="1907" customWidth="1"/>
    <col min="8212" max="8212" width="26.1111111111111" style="1907" customWidth="1"/>
    <col min="8213" max="8448" width="8.88888888888889" style="1907"/>
    <col min="8449" max="8449" width="9.44444444444444" style="1907" customWidth="1"/>
    <col min="8450" max="8450" width="8.88888888888889" style="1907"/>
    <col min="8451" max="8453" width="12.8888888888889" style="1907" customWidth="1"/>
    <col min="8454" max="8454" width="47.4444444444444" style="1907" customWidth="1"/>
    <col min="8455" max="8455" width="13" style="1907" customWidth="1"/>
    <col min="8456" max="8457" width="8.88888888888889" style="1907"/>
    <col min="8458" max="8458" width="5.77777777777778" style="1907" customWidth="1"/>
    <col min="8459" max="8459" width="11.7777777777778" style="1907" customWidth="1"/>
    <col min="8460" max="8461" width="10.7777777777778" style="1907" customWidth="1"/>
    <col min="8462" max="8462" width="10" style="1907" customWidth="1"/>
    <col min="8463" max="8464" width="10.4444444444444" style="1907" customWidth="1"/>
    <col min="8465" max="8465" width="10" style="1907" customWidth="1"/>
    <col min="8466" max="8466" width="10.1111111111111" style="1907" customWidth="1"/>
    <col min="8467" max="8467" width="10" style="1907" customWidth="1"/>
    <col min="8468" max="8468" width="26.1111111111111" style="1907" customWidth="1"/>
    <col min="8469" max="8704" width="8.88888888888889" style="1907"/>
    <col min="8705" max="8705" width="9.44444444444444" style="1907" customWidth="1"/>
    <col min="8706" max="8706" width="8.88888888888889" style="1907"/>
    <col min="8707" max="8709" width="12.8888888888889" style="1907" customWidth="1"/>
    <col min="8710" max="8710" width="47.4444444444444" style="1907" customWidth="1"/>
    <col min="8711" max="8711" width="13" style="1907" customWidth="1"/>
    <col min="8712" max="8713" width="8.88888888888889" style="1907"/>
    <col min="8714" max="8714" width="5.77777777777778" style="1907" customWidth="1"/>
    <col min="8715" max="8715" width="11.7777777777778" style="1907" customWidth="1"/>
    <col min="8716" max="8717" width="10.7777777777778" style="1907" customWidth="1"/>
    <col min="8718" max="8718" width="10" style="1907" customWidth="1"/>
    <col min="8719" max="8720" width="10.4444444444444" style="1907" customWidth="1"/>
    <col min="8721" max="8721" width="10" style="1907" customWidth="1"/>
    <col min="8722" max="8722" width="10.1111111111111" style="1907" customWidth="1"/>
    <col min="8723" max="8723" width="10" style="1907" customWidth="1"/>
    <col min="8724" max="8724" width="26.1111111111111" style="1907" customWidth="1"/>
    <col min="8725" max="8960" width="8.88888888888889" style="1907"/>
    <col min="8961" max="8961" width="9.44444444444444" style="1907" customWidth="1"/>
    <col min="8962" max="8962" width="8.88888888888889" style="1907"/>
    <col min="8963" max="8965" width="12.8888888888889" style="1907" customWidth="1"/>
    <col min="8966" max="8966" width="47.4444444444444" style="1907" customWidth="1"/>
    <col min="8967" max="8967" width="13" style="1907" customWidth="1"/>
    <col min="8968" max="8969" width="8.88888888888889" style="1907"/>
    <col min="8970" max="8970" width="5.77777777777778" style="1907" customWidth="1"/>
    <col min="8971" max="8971" width="11.7777777777778" style="1907" customWidth="1"/>
    <col min="8972" max="8973" width="10.7777777777778" style="1907" customWidth="1"/>
    <col min="8974" max="8974" width="10" style="1907" customWidth="1"/>
    <col min="8975" max="8976" width="10.4444444444444" style="1907" customWidth="1"/>
    <col min="8977" max="8977" width="10" style="1907" customWidth="1"/>
    <col min="8978" max="8978" width="10.1111111111111" style="1907" customWidth="1"/>
    <col min="8979" max="8979" width="10" style="1907" customWidth="1"/>
    <col min="8980" max="8980" width="26.1111111111111" style="1907" customWidth="1"/>
    <col min="8981" max="9216" width="8.88888888888889" style="1907"/>
    <col min="9217" max="9217" width="9.44444444444444" style="1907" customWidth="1"/>
    <col min="9218" max="9218" width="8.88888888888889" style="1907"/>
    <col min="9219" max="9221" width="12.8888888888889" style="1907" customWidth="1"/>
    <col min="9222" max="9222" width="47.4444444444444" style="1907" customWidth="1"/>
    <col min="9223" max="9223" width="13" style="1907" customWidth="1"/>
    <col min="9224" max="9225" width="8.88888888888889" style="1907"/>
    <col min="9226" max="9226" width="5.77777777777778" style="1907" customWidth="1"/>
    <col min="9227" max="9227" width="11.7777777777778" style="1907" customWidth="1"/>
    <col min="9228" max="9229" width="10.7777777777778" style="1907" customWidth="1"/>
    <col min="9230" max="9230" width="10" style="1907" customWidth="1"/>
    <col min="9231" max="9232" width="10.4444444444444" style="1907" customWidth="1"/>
    <col min="9233" max="9233" width="10" style="1907" customWidth="1"/>
    <col min="9234" max="9234" width="10.1111111111111" style="1907" customWidth="1"/>
    <col min="9235" max="9235" width="10" style="1907" customWidth="1"/>
    <col min="9236" max="9236" width="26.1111111111111" style="1907" customWidth="1"/>
    <col min="9237" max="9472" width="8.88888888888889" style="1907"/>
    <col min="9473" max="9473" width="9.44444444444444" style="1907" customWidth="1"/>
    <col min="9474" max="9474" width="8.88888888888889" style="1907"/>
    <col min="9475" max="9477" width="12.8888888888889" style="1907" customWidth="1"/>
    <col min="9478" max="9478" width="47.4444444444444" style="1907" customWidth="1"/>
    <col min="9479" max="9479" width="13" style="1907" customWidth="1"/>
    <col min="9480" max="9481" width="8.88888888888889" style="1907"/>
    <col min="9482" max="9482" width="5.77777777777778" style="1907" customWidth="1"/>
    <col min="9483" max="9483" width="11.7777777777778" style="1907" customWidth="1"/>
    <col min="9484" max="9485" width="10.7777777777778" style="1907" customWidth="1"/>
    <col min="9486" max="9486" width="10" style="1907" customWidth="1"/>
    <col min="9487" max="9488" width="10.4444444444444" style="1907" customWidth="1"/>
    <col min="9489" max="9489" width="10" style="1907" customWidth="1"/>
    <col min="9490" max="9490" width="10.1111111111111" style="1907" customWidth="1"/>
    <col min="9491" max="9491" width="10" style="1907" customWidth="1"/>
    <col min="9492" max="9492" width="26.1111111111111" style="1907" customWidth="1"/>
    <col min="9493" max="9728" width="8.88888888888889" style="1907"/>
    <col min="9729" max="9729" width="9.44444444444444" style="1907" customWidth="1"/>
    <col min="9730" max="9730" width="8.88888888888889" style="1907"/>
    <col min="9731" max="9733" width="12.8888888888889" style="1907" customWidth="1"/>
    <col min="9734" max="9734" width="47.4444444444444" style="1907" customWidth="1"/>
    <col min="9735" max="9735" width="13" style="1907" customWidth="1"/>
    <col min="9736" max="9737" width="8.88888888888889" style="1907"/>
    <col min="9738" max="9738" width="5.77777777777778" style="1907" customWidth="1"/>
    <col min="9739" max="9739" width="11.7777777777778" style="1907" customWidth="1"/>
    <col min="9740" max="9741" width="10.7777777777778" style="1907" customWidth="1"/>
    <col min="9742" max="9742" width="10" style="1907" customWidth="1"/>
    <col min="9743" max="9744" width="10.4444444444444" style="1907" customWidth="1"/>
    <col min="9745" max="9745" width="10" style="1907" customWidth="1"/>
    <col min="9746" max="9746" width="10.1111111111111" style="1907" customWidth="1"/>
    <col min="9747" max="9747" width="10" style="1907" customWidth="1"/>
    <col min="9748" max="9748" width="26.1111111111111" style="1907" customWidth="1"/>
    <col min="9749" max="9984" width="8.88888888888889" style="1907"/>
    <col min="9985" max="9985" width="9.44444444444444" style="1907" customWidth="1"/>
    <col min="9986" max="9986" width="8.88888888888889" style="1907"/>
    <col min="9987" max="9989" width="12.8888888888889" style="1907" customWidth="1"/>
    <col min="9990" max="9990" width="47.4444444444444" style="1907" customWidth="1"/>
    <col min="9991" max="9991" width="13" style="1907" customWidth="1"/>
    <col min="9992" max="9993" width="8.88888888888889" style="1907"/>
    <col min="9994" max="9994" width="5.77777777777778" style="1907" customWidth="1"/>
    <col min="9995" max="9995" width="11.7777777777778" style="1907" customWidth="1"/>
    <col min="9996" max="9997" width="10.7777777777778" style="1907" customWidth="1"/>
    <col min="9998" max="9998" width="10" style="1907" customWidth="1"/>
    <col min="9999" max="10000" width="10.4444444444444" style="1907" customWidth="1"/>
    <col min="10001" max="10001" width="10" style="1907" customWidth="1"/>
    <col min="10002" max="10002" width="10.1111111111111" style="1907" customWidth="1"/>
    <col min="10003" max="10003" width="10" style="1907" customWidth="1"/>
    <col min="10004" max="10004" width="26.1111111111111" style="1907" customWidth="1"/>
    <col min="10005" max="10240" width="8.88888888888889" style="1907"/>
    <col min="10241" max="10241" width="9.44444444444444" style="1907" customWidth="1"/>
    <col min="10242" max="10242" width="8.88888888888889" style="1907"/>
    <col min="10243" max="10245" width="12.8888888888889" style="1907" customWidth="1"/>
    <col min="10246" max="10246" width="47.4444444444444" style="1907" customWidth="1"/>
    <col min="10247" max="10247" width="13" style="1907" customWidth="1"/>
    <col min="10248" max="10249" width="8.88888888888889" style="1907"/>
    <col min="10250" max="10250" width="5.77777777777778" style="1907" customWidth="1"/>
    <col min="10251" max="10251" width="11.7777777777778" style="1907" customWidth="1"/>
    <col min="10252" max="10253" width="10.7777777777778" style="1907" customWidth="1"/>
    <col min="10254" max="10254" width="10" style="1907" customWidth="1"/>
    <col min="10255" max="10256" width="10.4444444444444" style="1907" customWidth="1"/>
    <col min="10257" max="10257" width="10" style="1907" customWidth="1"/>
    <col min="10258" max="10258" width="10.1111111111111" style="1907" customWidth="1"/>
    <col min="10259" max="10259" width="10" style="1907" customWidth="1"/>
    <col min="10260" max="10260" width="26.1111111111111" style="1907" customWidth="1"/>
    <col min="10261" max="10496" width="8.88888888888889" style="1907"/>
    <col min="10497" max="10497" width="9.44444444444444" style="1907" customWidth="1"/>
    <col min="10498" max="10498" width="8.88888888888889" style="1907"/>
    <col min="10499" max="10501" width="12.8888888888889" style="1907" customWidth="1"/>
    <col min="10502" max="10502" width="47.4444444444444" style="1907" customWidth="1"/>
    <col min="10503" max="10503" width="13" style="1907" customWidth="1"/>
    <col min="10504" max="10505" width="8.88888888888889" style="1907"/>
    <col min="10506" max="10506" width="5.77777777777778" style="1907" customWidth="1"/>
    <col min="10507" max="10507" width="11.7777777777778" style="1907" customWidth="1"/>
    <col min="10508" max="10509" width="10.7777777777778" style="1907" customWidth="1"/>
    <col min="10510" max="10510" width="10" style="1907" customWidth="1"/>
    <col min="10511" max="10512" width="10.4444444444444" style="1907" customWidth="1"/>
    <col min="10513" max="10513" width="10" style="1907" customWidth="1"/>
    <col min="10514" max="10514" width="10.1111111111111" style="1907" customWidth="1"/>
    <col min="10515" max="10515" width="10" style="1907" customWidth="1"/>
    <col min="10516" max="10516" width="26.1111111111111" style="1907" customWidth="1"/>
    <col min="10517" max="10752" width="8.88888888888889" style="1907"/>
    <col min="10753" max="10753" width="9.44444444444444" style="1907" customWidth="1"/>
    <col min="10754" max="10754" width="8.88888888888889" style="1907"/>
    <col min="10755" max="10757" width="12.8888888888889" style="1907" customWidth="1"/>
    <col min="10758" max="10758" width="47.4444444444444" style="1907" customWidth="1"/>
    <col min="10759" max="10759" width="13" style="1907" customWidth="1"/>
    <col min="10760" max="10761" width="8.88888888888889" style="1907"/>
    <col min="10762" max="10762" width="5.77777777777778" style="1907" customWidth="1"/>
    <col min="10763" max="10763" width="11.7777777777778" style="1907" customWidth="1"/>
    <col min="10764" max="10765" width="10.7777777777778" style="1907" customWidth="1"/>
    <col min="10766" max="10766" width="10" style="1907" customWidth="1"/>
    <col min="10767" max="10768" width="10.4444444444444" style="1907" customWidth="1"/>
    <col min="10769" max="10769" width="10" style="1907" customWidth="1"/>
    <col min="10770" max="10770" width="10.1111111111111" style="1907" customWidth="1"/>
    <col min="10771" max="10771" width="10" style="1907" customWidth="1"/>
    <col min="10772" max="10772" width="26.1111111111111" style="1907" customWidth="1"/>
    <col min="10773" max="11008" width="8.88888888888889" style="1907"/>
    <col min="11009" max="11009" width="9.44444444444444" style="1907" customWidth="1"/>
    <col min="11010" max="11010" width="8.88888888888889" style="1907"/>
    <col min="11011" max="11013" width="12.8888888888889" style="1907" customWidth="1"/>
    <col min="11014" max="11014" width="47.4444444444444" style="1907" customWidth="1"/>
    <col min="11015" max="11015" width="13" style="1907" customWidth="1"/>
    <col min="11016" max="11017" width="8.88888888888889" style="1907"/>
    <col min="11018" max="11018" width="5.77777777777778" style="1907" customWidth="1"/>
    <col min="11019" max="11019" width="11.7777777777778" style="1907" customWidth="1"/>
    <col min="11020" max="11021" width="10.7777777777778" style="1907" customWidth="1"/>
    <col min="11022" max="11022" width="10" style="1907" customWidth="1"/>
    <col min="11023" max="11024" width="10.4444444444444" style="1907" customWidth="1"/>
    <col min="11025" max="11025" width="10" style="1907" customWidth="1"/>
    <col min="11026" max="11026" width="10.1111111111111" style="1907" customWidth="1"/>
    <col min="11027" max="11027" width="10" style="1907" customWidth="1"/>
    <col min="11028" max="11028" width="26.1111111111111" style="1907" customWidth="1"/>
    <col min="11029" max="11264" width="8.88888888888889" style="1907"/>
    <col min="11265" max="11265" width="9.44444444444444" style="1907" customWidth="1"/>
    <col min="11266" max="11266" width="8.88888888888889" style="1907"/>
    <col min="11267" max="11269" width="12.8888888888889" style="1907" customWidth="1"/>
    <col min="11270" max="11270" width="47.4444444444444" style="1907" customWidth="1"/>
    <col min="11271" max="11271" width="13" style="1907" customWidth="1"/>
    <col min="11272" max="11273" width="8.88888888888889" style="1907"/>
    <col min="11274" max="11274" width="5.77777777777778" style="1907" customWidth="1"/>
    <col min="11275" max="11275" width="11.7777777777778" style="1907" customWidth="1"/>
    <col min="11276" max="11277" width="10.7777777777778" style="1907" customWidth="1"/>
    <col min="11278" max="11278" width="10" style="1907" customWidth="1"/>
    <col min="11279" max="11280" width="10.4444444444444" style="1907" customWidth="1"/>
    <col min="11281" max="11281" width="10" style="1907" customWidth="1"/>
    <col min="11282" max="11282" width="10.1111111111111" style="1907" customWidth="1"/>
    <col min="11283" max="11283" width="10" style="1907" customWidth="1"/>
    <col min="11284" max="11284" width="26.1111111111111" style="1907" customWidth="1"/>
    <col min="11285" max="11520" width="8.88888888888889" style="1907"/>
    <col min="11521" max="11521" width="9.44444444444444" style="1907" customWidth="1"/>
    <col min="11522" max="11522" width="8.88888888888889" style="1907"/>
    <col min="11523" max="11525" width="12.8888888888889" style="1907" customWidth="1"/>
    <col min="11526" max="11526" width="47.4444444444444" style="1907" customWidth="1"/>
    <col min="11527" max="11527" width="13" style="1907" customWidth="1"/>
    <col min="11528" max="11529" width="8.88888888888889" style="1907"/>
    <col min="11530" max="11530" width="5.77777777777778" style="1907" customWidth="1"/>
    <col min="11531" max="11531" width="11.7777777777778" style="1907" customWidth="1"/>
    <col min="11532" max="11533" width="10.7777777777778" style="1907" customWidth="1"/>
    <col min="11534" max="11534" width="10" style="1907" customWidth="1"/>
    <col min="11535" max="11536" width="10.4444444444444" style="1907" customWidth="1"/>
    <col min="11537" max="11537" width="10" style="1907" customWidth="1"/>
    <col min="11538" max="11538" width="10.1111111111111" style="1907" customWidth="1"/>
    <col min="11539" max="11539" width="10" style="1907" customWidth="1"/>
    <col min="11540" max="11540" width="26.1111111111111" style="1907" customWidth="1"/>
    <col min="11541" max="11776" width="8.88888888888889" style="1907"/>
    <col min="11777" max="11777" width="9.44444444444444" style="1907" customWidth="1"/>
    <col min="11778" max="11778" width="8.88888888888889" style="1907"/>
    <col min="11779" max="11781" width="12.8888888888889" style="1907" customWidth="1"/>
    <col min="11782" max="11782" width="47.4444444444444" style="1907" customWidth="1"/>
    <col min="11783" max="11783" width="13" style="1907" customWidth="1"/>
    <col min="11784" max="11785" width="8.88888888888889" style="1907"/>
    <col min="11786" max="11786" width="5.77777777777778" style="1907" customWidth="1"/>
    <col min="11787" max="11787" width="11.7777777777778" style="1907" customWidth="1"/>
    <col min="11788" max="11789" width="10.7777777777778" style="1907" customWidth="1"/>
    <col min="11790" max="11790" width="10" style="1907" customWidth="1"/>
    <col min="11791" max="11792" width="10.4444444444444" style="1907" customWidth="1"/>
    <col min="11793" max="11793" width="10" style="1907" customWidth="1"/>
    <col min="11794" max="11794" width="10.1111111111111" style="1907" customWidth="1"/>
    <col min="11795" max="11795" width="10" style="1907" customWidth="1"/>
    <col min="11796" max="11796" width="26.1111111111111" style="1907" customWidth="1"/>
    <col min="11797" max="12032" width="8.88888888888889" style="1907"/>
    <col min="12033" max="12033" width="9.44444444444444" style="1907" customWidth="1"/>
    <col min="12034" max="12034" width="8.88888888888889" style="1907"/>
    <col min="12035" max="12037" width="12.8888888888889" style="1907" customWidth="1"/>
    <col min="12038" max="12038" width="47.4444444444444" style="1907" customWidth="1"/>
    <col min="12039" max="12039" width="13" style="1907" customWidth="1"/>
    <col min="12040" max="12041" width="8.88888888888889" style="1907"/>
    <col min="12042" max="12042" width="5.77777777777778" style="1907" customWidth="1"/>
    <col min="12043" max="12043" width="11.7777777777778" style="1907" customWidth="1"/>
    <col min="12044" max="12045" width="10.7777777777778" style="1907" customWidth="1"/>
    <col min="12046" max="12046" width="10" style="1907" customWidth="1"/>
    <col min="12047" max="12048" width="10.4444444444444" style="1907" customWidth="1"/>
    <col min="12049" max="12049" width="10" style="1907" customWidth="1"/>
    <col min="12050" max="12050" width="10.1111111111111" style="1907" customWidth="1"/>
    <col min="12051" max="12051" width="10" style="1907" customWidth="1"/>
    <col min="12052" max="12052" width="26.1111111111111" style="1907" customWidth="1"/>
    <col min="12053" max="12288" width="8.88888888888889" style="1907"/>
    <col min="12289" max="12289" width="9.44444444444444" style="1907" customWidth="1"/>
    <col min="12290" max="12290" width="8.88888888888889" style="1907"/>
    <col min="12291" max="12293" width="12.8888888888889" style="1907" customWidth="1"/>
    <col min="12294" max="12294" width="47.4444444444444" style="1907" customWidth="1"/>
    <col min="12295" max="12295" width="13" style="1907" customWidth="1"/>
    <col min="12296" max="12297" width="8.88888888888889" style="1907"/>
    <col min="12298" max="12298" width="5.77777777777778" style="1907" customWidth="1"/>
    <col min="12299" max="12299" width="11.7777777777778" style="1907" customWidth="1"/>
    <col min="12300" max="12301" width="10.7777777777778" style="1907" customWidth="1"/>
    <col min="12302" max="12302" width="10" style="1907" customWidth="1"/>
    <col min="12303" max="12304" width="10.4444444444444" style="1907" customWidth="1"/>
    <col min="12305" max="12305" width="10" style="1907" customWidth="1"/>
    <col min="12306" max="12306" width="10.1111111111111" style="1907" customWidth="1"/>
    <col min="12307" max="12307" width="10" style="1907" customWidth="1"/>
    <col min="12308" max="12308" width="26.1111111111111" style="1907" customWidth="1"/>
    <col min="12309" max="12544" width="8.88888888888889" style="1907"/>
    <col min="12545" max="12545" width="9.44444444444444" style="1907" customWidth="1"/>
    <col min="12546" max="12546" width="8.88888888888889" style="1907"/>
    <col min="12547" max="12549" width="12.8888888888889" style="1907" customWidth="1"/>
    <col min="12550" max="12550" width="47.4444444444444" style="1907" customWidth="1"/>
    <col min="12551" max="12551" width="13" style="1907" customWidth="1"/>
    <col min="12552" max="12553" width="8.88888888888889" style="1907"/>
    <col min="12554" max="12554" width="5.77777777777778" style="1907" customWidth="1"/>
    <col min="12555" max="12555" width="11.7777777777778" style="1907" customWidth="1"/>
    <col min="12556" max="12557" width="10.7777777777778" style="1907" customWidth="1"/>
    <col min="12558" max="12558" width="10" style="1907" customWidth="1"/>
    <col min="12559" max="12560" width="10.4444444444444" style="1907" customWidth="1"/>
    <col min="12561" max="12561" width="10" style="1907" customWidth="1"/>
    <col min="12562" max="12562" width="10.1111111111111" style="1907" customWidth="1"/>
    <col min="12563" max="12563" width="10" style="1907" customWidth="1"/>
    <col min="12564" max="12564" width="26.1111111111111" style="1907" customWidth="1"/>
    <col min="12565" max="12800" width="8.88888888888889" style="1907"/>
    <col min="12801" max="12801" width="9.44444444444444" style="1907" customWidth="1"/>
    <col min="12802" max="12802" width="8.88888888888889" style="1907"/>
    <col min="12803" max="12805" width="12.8888888888889" style="1907" customWidth="1"/>
    <col min="12806" max="12806" width="47.4444444444444" style="1907" customWidth="1"/>
    <col min="12807" max="12807" width="13" style="1907" customWidth="1"/>
    <col min="12808" max="12809" width="8.88888888888889" style="1907"/>
    <col min="12810" max="12810" width="5.77777777777778" style="1907" customWidth="1"/>
    <col min="12811" max="12811" width="11.7777777777778" style="1907" customWidth="1"/>
    <col min="12812" max="12813" width="10.7777777777778" style="1907" customWidth="1"/>
    <col min="12814" max="12814" width="10" style="1907" customWidth="1"/>
    <col min="12815" max="12816" width="10.4444444444444" style="1907" customWidth="1"/>
    <col min="12817" max="12817" width="10" style="1907" customWidth="1"/>
    <col min="12818" max="12818" width="10.1111111111111" style="1907" customWidth="1"/>
    <col min="12819" max="12819" width="10" style="1907" customWidth="1"/>
    <col min="12820" max="12820" width="26.1111111111111" style="1907" customWidth="1"/>
    <col min="12821" max="13056" width="8.88888888888889" style="1907"/>
    <col min="13057" max="13057" width="9.44444444444444" style="1907" customWidth="1"/>
    <col min="13058" max="13058" width="8.88888888888889" style="1907"/>
    <col min="13059" max="13061" width="12.8888888888889" style="1907" customWidth="1"/>
    <col min="13062" max="13062" width="47.4444444444444" style="1907" customWidth="1"/>
    <col min="13063" max="13063" width="13" style="1907" customWidth="1"/>
    <col min="13064" max="13065" width="8.88888888888889" style="1907"/>
    <col min="13066" max="13066" width="5.77777777777778" style="1907" customWidth="1"/>
    <col min="13067" max="13067" width="11.7777777777778" style="1907" customWidth="1"/>
    <col min="13068" max="13069" width="10.7777777777778" style="1907" customWidth="1"/>
    <col min="13070" max="13070" width="10" style="1907" customWidth="1"/>
    <col min="13071" max="13072" width="10.4444444444444" style="1907" customWidth="1"/>
    <col min="13073" max="13073" width="10" style="1907" customWidth="1"/>
    <col min="13074" max="13074" width="10.1111111111111" style="1907" customWidth="1"/>
    <col min="13075" max="13075" width="10" style="1907" customWidth="1"/>
    <col min="13076" max="13076" width="26.1111111111111" style="1907" customWidth="1"/>
    <col min="13077" max="13312" width="8.88888888888889" style="1907"/>
    <col min="13313" max="13313" width="9.44444444444444" style="1907" customWidth="1"/>
    <col min="13314" max="13314" width="8.88888888888889" style="1907"/>
    <col min="13315" max="13317" width="12.8888888888889" style="1907" customWidth="1"/>
    <col min="13318" max="13318" width="47.4444444444444" style="1907" customWidth="1"/>
    <col min="13319" max="13319" width="13" style="1907" customWidth="1"/>
    <col min="13320" max="13321" width="8.88888888888889" style="1907"/>
    <col min="13322" max="13322" width="5.77777777777778" style="1907" customWidth="1"/>
    <col min="13323" max="13323" width="11.7777777777778" style="1907" customWidth="1"/>
    <col min="13324" max="13325" width="10.7777777777778" style="1907" customWidth="1"/>
    <col min="13326" max="13326" width="10" style="1907" customWidth="1"/>
    <col min="13327" max="13328" width="10.4444444444444" style="1907" customWidth="1"/>
    <col min="13329" max="13329" width="10" style="1907" customWidth="1"/>
    <col min="13330" max="13330" width="10.1111111111111" style="1907" customWidth="1"/>
    <col min="13331" max="13331" width="10" style="1907" customWidth="1"/>
    <col min="13332" max="13332" width="26.1111111111111" style="1907" customWidth="1"/>
    <col min="13333" max="13568" width="8.88888888888889" style="1907"/>
    <col min="13569" max="13569" width="9.44444444444444" style="1907" customWidth="1"/>
    <col min="13570" max="13570" width="8.88888888888889" style="1907"/>
    <col min="13571" max="13573" width="12.8888888888889" style="1907" customWidth="1"/>
    <col min="13574" max="13574" width="47.4444444444444" style="1907" customWidth="1"/>
    <col min="13575" max="13575" width="13" style="1907" customWidth="1"/>
    <col min="13576" max="13577" width="8.88888888888889" style="1907"/>
    <col min="13578" max="13578" width="5.77777777777778" style="1907" customWidth="1"/>
    <col min="13579" max="13579" width="11.7777777777778" style="1907" customWidth="1"/>
    <col min="13580" max="13581" width="10.7777777777778" style="1907" customWidth="1"/>
    <col min="13582" max="13582" width="10" style="1907" customWidth="1"/>
    <col min="13583" max="13584" width="10.4444444444444" style="1907" customWidth="1"/>
    <col min="13585" max="13585" width="10" style="1907" customWidth="1"/>
    <col min="13586" max="13586" width="10.1111111111111" style="1907" customWidth="1"/>
    <col min="13587" max="13587" width="10" style="1907" customWidth="1"/>
    <col min="13588" max="13588" width="26.1111111111111" style="1907" customWidth="1"/>
    <col min="13589" max="13824" width="8.88888888888889" style="1907"/>
    <col min="13825" max="13825" width="9.44444444444444" style="1907" customWidth="1"/>
    <col min="13826" max="13826" width="8.88888888888889" style="1907"/>
    <col min="13827" max="13829" width="12.8888888888889" style="1907" customWidth="1"/>
    <col min="13830" max="13830" width="47.4444444444444" style="1907" customWidth="1"/>
    <col min="13831" max="13831" width="13" style="1907" customWidth="1"/>
    <col min="13832" max="13833" width="8.88888888888889" style="1907"/>
    <col min="13834" max="13834" width="5.77777777777778" style="1907" customWidth="1"/>
    <col min="13835" max="13835" width="11.7777777777778" style="1907" customWidth="1"/>
    <col min="13836" max="13837" width="10.7777777777778" style="1907" customWidth="1"/>
    <col min="13838" max="13838" width="10" style="1907" customWidth="1"/>
    <col min="13839" max="13840" width="10.4444444444444" style="1907" customWidth="1"/>
    <col min="13841" max="13841" width="10" style="1907" customWidth="1"/>
    <col min="13842" max="13842" width="10.1111111111111" style="1907" customWidth="1"/>
    <col min="13843" max="13843" width="10" style="1907" customWidth="1"/>
    <col min="13844" max="13844" width="26.1111111111111" style="1907" customWidth="1"/>
    <col min="13845" max="14080" width="8.88888888888889" style="1907"/>
    <col min="14081" max="14081" width="9.44444444444444" style="1907" customWidth="1"/>
    <col min="14082" max="14082" width="8.88888888888889" style="1907"/>
    <col min="14083" max="14085" width="12.8888888888889" style="1907" customWidth="1"/>
    <col min="14086" max="14086" width="47.4444444444444" style="1907" customWidth="1"/>
    <col min="14087" max="14087" width="13" style="1907" customWidth="1"/>
    <col min="14088" max="14089" width="8.88888888888889" style="1907"/>
    <col min="14090" max="14090" width="5.77777777777778" style="1907" customWidth="1"/>
    <col min="14091" max="14091" width="11.7777777777778" style="1907" customWidth="1"/>
    <col min="14092" max="14093" width="10.7777777777778" style="1907" customWidth="1"/>
    <col min="14094" max="14094" width="10" style="1907" customWidth="1"/>
    <col min="14095" max="14096" width="10.4444444444444" style="1907" customWidth="1"/>
    <col min="14097" max="14097" width="10" style="1907" customWidth="1"/>
    <col min="14098" max="14098" width="10.1111111111111" style="1907" customWidth="1"/>
    <col min="14099" max="14099" width="10" style="1907" customWidth="1"/>
    <col min="14100" max="14100" width="26.1111111111111" style="1907" customWidth="1"/>
    <col min="14101" max="14336" width="8.88888888888889" style="1907"/>
    <col min="14337" max="14337" width="9.44444444444444" style="1907" customWidth="1"/>
    <col min="14338" max="14338" width="8.88888888888889" style="1907"/>
    <col min="14339" max="14341" width="12.8888888888889" style="1907" customWidth="1"/>
    <col min="14342" max="14342" width="47.4444444444444" style="1907" customWidth="1"/>
    <col min="14343" max="14343" width="13" style="1907" customWidth="1"/>
    <col min="14344" max="14345" width="8.88888888888889" style="1907"/>
    <col min="14346" max="14346" width="5.77777777777778" style="1907" customWidth="1"/>
    <col min="14347" max="14347" width="11.7777777777778" style="1907" customWidth="1"/>
    <col min="14348" max="14349" width="10.7777777777778" style="1907" customWidth="1"/>
    <col min="14350" max="14350" width="10" style="1907" customWidth="1"/>
    <col min="14351" max="14352" width="10.4444444444444" style="1907" customWidth="1"/>
    <col min="14353" max="14353" width="10" style="1907" customWidth="1"/>
    <col min="14354" max="14354" width="10.1111111111111" style="1907" customWidth="1"/>
    <col min="14355" max="14355" width="10" style="1907" customWidth="1"/>
    <col min="14356" max="14356" width="26.1111111111111" style="1907" customWidth="1"/>
    <col min="14357" max="14592" width="8.88888888888889" style="1907"/>
    <col min="14593" max="14593" width="9.44444444444444" style="1907" customWidth="1"/>
    <col min="14594" max="14594" width="8.88888888888889" style="1907"/>
    <col min="14595" max="14597" width="12.8888888888889" style="1907" customWidth="1"/>
    <col min="14598" max="14598" width="47.4444444444444" style="1907" customWidth="1"/>
    <col min="14599" max="14599" width="13" style="1907" customWidth="1"/>
    <col min="14600" max="14601" width="8.88888888888889" style="1907"/>
    <col min="14602" max="14602" width="5.77777777777778" style="1907" customWidth="1"/>
    <col min="14603" max="14603" width="11.7777777777778" style="1907" customWidth="1"/>
    <col min="14604" max="14605" width="10.7777777777778" style="1907" customWidth="1"/>
    <col min="14606" max="14606" width="10" style="1907" customWidth="1"/>
    <col min="14607" max="14608" width="10.4444444444444" style="1907" customWidth="1"/>
    <col min="14609" max="14609" width="10" style="1907" customWidth="1"/>
    <col min="14610" max="14610" width="10.1111111111111" style="1907" customWidth="1"/>
    <col min="14611" max="14611" width="10" style="1907" customWidth="1"/>
    <col min="14612" max="14612" width="26.1111111111111" style="1907" customWidth="1"/>
    <col min="14613" max="14848" width="8.88888888888889" style="1907"/>
    <col min="14849" max="14849" width="9.44444444444444" style="1907" customWidth="1"/>
    <col min="14850" max="14850" width="8.88888888888889" style="1907"/>
    <col min="14851" max="14853" width="12.8888888888889" style="1907" customWidth="1"/>
    <col min="14854" max="14854" width="47.4444444444444" style="1907" customWidth="1"/>
    <col min="14855" max="14855" width="13" style="1907" customWidth="1"/>
    <col min="14856" max="14857" width="8.88888888888889" style="1907"/>
    <col min="14858" max="14858" width="5.77777777777778" style="1907" customWidth="1"/>
    <col min="14859" max="14859" width="11.7777777777778" style="1907" customWidth="1"/>
    <col min="14860" max="14861" width="10.7777777777778" style="1907" customWidth="1"/>
    <col min="14862" max="14862" width="10" style="1907" customWidth="1"/>
    <col min="14863" max="14864" width="10.4444444444444" style="1907" customWidth="1"/>
    <col min="14865" max="14865" width="10" style="1907" customWidth="1"/>
    <col min="14866" max="14866" width="10.1111111111111" style="1907" customWidth="1"/>
    <col min="14867" max="14867" width="10" style="1907" customWidth="1"/>
    <col min="14868" max="14868" width="26.1111111111111" style="1907" customWidth="1"/>
    <col min="14869" max="15104" width="8.88888888888889" style="1907"/>
    <col min="15105" max="15105" width="9.44444444444444" style="1907" customWidth="1"/>
    <col min="15106" max="15106" width="8.88888888888889" style="1907"/>
    <col min="15107" max="15109" width="12.8888888888889" style="1907" customWidth="1"/>
    <col min="15110" max="15110" width="47.4444444444444" style="1907" customWidth="1"/>
    <col min="15111" max="15111" width="13" style="1907" customWidth="1"/>
    <col min="15112" max="15113" width="8.88888888888889" style="1907"/>
    <col min="15114" max="15114" width="5.77777777777778" style="1907" customWidth="1"/>
    <col min="15115" max="15115" width="11.7777777777778" style="1907" customWidth="1"/>
    <col min="15116" max="15117" width="10.7777777777778" style="1907" customWidth="1"/>
    <col min="15118" max="15118" width="10" style="1907" customWidth="1"/>
    <col min="15119" max="15120" width="10.4444444444444" style="1907" customWidth="1"/>
    <col min="15121" max="15121" width="10" style="1907" customWidth="1"/>
    <col min="15122" max="15122" width="10.1111111111111" style="1907" customWidth="1"/>
    <col min="15123" max="15123" width="10" style="1907" customWidth="1"/>
    <col min="15124" max="15124" width="26.1111111111111" style="1907" customWidth="1"/>
    <col min="15125" max="15360" width="8.88888888888889" style="1907"/>
    <col min="15361" max="15361" width="9.44444444444444" style="1907" customWidth="1"/>
    <col min="15362" max="15362" width="8.88888888888889" style="1907"/>
    <col min="15363" max="15365" width="12.8888888888889" style="1907" customWidth="1"/>
    <col min="15366" max="15366" width="47.4444444444444" style="1907" customWidth="1"/>
    <col min="15367" max="15367" width="13" style="1907" customWidth="1"/>
    <col min="15368" max="15369" width="8.88888888888889" style="1907"/>
    <col min="15370" max="15370" width="5.77777777777778" style="1907" customWidth="1"/>
    <col min="15371" max="15371" width="11.7777777777778" style="1907" customWidth="1"/>
    <col min="15372" max="15373" width="10.7777777777778" style="1907" customWidth="1"/>
    <col min="15374" max="15374" width="10" style="1907" customWidth="1"/>
    <col min="15375" max="15376" width="10.4444444444444" style="1907" customWidth="1"/>
    <col min="15377" max="15377" width="10" style="1907" customWidth="1"/>
    <col min="15378" max="15378" width="10.1111111111111" style="1907" customWidth="1"/>
    <col min="15379" max="15379" width="10" style="1907" customWidth="1"/>
    <col min="15380" max="15380" width="26.1111111111111" style="1907" customWidth="1"/>
    <col min="15381" max="15616" width="8.88888888888889" style="1907"/>
    <col min="15617" max="15617" width="9.44444444444444" style="1907" customWidth="1"/>
    <col min="15618" max="15618" width="8.88888888888889" style="1907"/>
    <col min="15619" max="15621" width="12.8888888888889" style="1907" customWidth="1"/>
    <col min="15622" max="15622" width="47.4444444444444" style="1907" customWidth="1"/>
    <col min="15623" max="15623" width="13" style="1907" customWidth="1"/>
    <col min="15624" max="15625" width="8.88888888888889" style="1907"/>
    <col min="15626" max="15626" width="5.77777777777778" style="1907" customWidth="1"/>
    <col min="15627" max="15627" width="11.7777777777778" style="1907" customWidth="1"/>
    <col min="15628" max="15629" width="10.7777777777778" style="1907" customWidth="1"/>
    <col min="15630" max="15630" width="10" style="1907" customWidth="1"/>
    <col min="15631" max="15632" width="10.4444444444444" style="1907" customWidth="1"/>
    <col min="15633" max="15633" width="10" style="1907" customWidth="1"/>
    <col min="15634" max="15634" width="10.1111111111111" style="1907" customWidth="1"/>
    <col min="15635" max="15635" width="10" style="1907" customWidth="1"/>
    <col min="15636" max="15636" width="26.1111111111111" style="1907" customWidth="1"/>
    <col min="15637" max="15872" width="8.88888888888889" style="1907"/>
    <col min="15873" max="15873" width="9.44444444444444" style="1907" customWidth="1"/>
    <col min="15874" max="15874" width="8.88888888888889" style="1907"/>
    <col min="15875" max="15877" width="12.8888888888889" style="1907" customWidth="1"/>
    <col min="15878" max="15878" width="47.4444444444444" style="1907" customWidth="1"/>
    <col min="15879" max="15879" width="13" style="1907" customWidth="1"/>
    <col min="15880" max="15881" width="8.88888888888889" style="1907"/>
    <col min="15882" max="15882" width="5.77777777777778" style="1907" customWidth="1"/>
    <col min="15883" max="15883" width="11.7777777777778" style="1907" customWidth="1"/>
    <col min="15884" max="15885" width="10.7777777777778" style="1907" customWidth="1"/>
    <col min="15886" max="15886" width="10" style="1907" customWidth="1"/>
    <col min="15887" max="15888" width="10.4444444444444" style="1907" customWidth="1"/>
    <col min="15889" max="15889" width="10" style="1907" customWidth="1"/>
    <col min="15890" max="15890" width="10.1111111111111" style="1907" customWidth="1"/>
    <col min="15891" max="15891" width="10" style="1907" customWidth="1"/>
    <col min="15892" max="15892" width="26.1111111111111" style="1907" customWidth="1"/>
    <col min="15893" max="16128" width="8.88888888888889" style="1907"/>
    <col min="16129" max="16129" width="9.44444444444444" style="1907" customWidth="1"/>
    <col min="16130" max="16130" width="8.88888888888889" style="1907"/>
    <col min="16131" max="16133" width="12.8888888888889" style="1907" customWidth="1"/>
    <col min="16134" max="16134" width="47.4444444444444" style="1907" customWidth="1"/>
    <col min="16135" max="16135" width="13" style="1907" customWidth="1"/>
    <col min="16136" max="16137" width="8.88888888888889" style="1907"/>
    <col min="16138" max="16138" width="5.77777777777778" style="1907" customWidth="1"/>
    <col min="16139" max="16139" width="11.7777777777778" style="1907" customWidth="1"/>
    <col min="16140" max="16141" width="10.7777777777778" style="1907" customWidth="1"/>
    <col min="16142" max="16142" width="10" style="1907" customWidth="1"/>
    <col min="16143" max="16144" width="10.4444444444444" style="1907" customWidth="1"/>
    <col min="16145" max="16145" width="10" style="1907" customWidth="1"/>
    <col min="16146" max="16146" width="10.1111111111111" style="1907" customWidth="1"/>
    <col min="16147" max="16147" width="10" style="1907" customWidth="1"/>
    <col min="16148" max="16148" width="26.1111111111111" style="1907" customWidth="1"/>
    <col min="16149" max="16384" width="8.88888888888889"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351" customWidth="1"/>
    <col min="2" max="2" width="12" style="1351" customWidth="1"/>
    <col min="3" max="3" width="9" style="1351"/>
    <col min="4" max="4" width="14.1111111111111" style="1351" customWidth="1"/>
    <col min="5" max="5" width="9" style="1351"/>
    <col min="6" max="6" width="12.8888888888889"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647.7047</v>
      </c>
      <c r="C2" s="1886" t="s">
        <v>1575</v>
      </c>
      <c r="D2" s="1887" t="s">
        <v>1576</v>
      </c>
      <c r="E2" s="1888">
        <f>SUM(E6:E13)</f>
        <v>444.98</v>
      </c>
      <c r="F2" s="1882"/>
      <c r="G2" s="1883"/>
      <c r="H2" s="1883"/>
      <c r="I2" s="1883"/>
      <c r="J2" s="1883"/>
      <c r="K2" s="1883"/>
      <c r="L2" s="1883"/>
      <c r="M2" s="1883"/>
      <c r="N2" s="1883"/>
      <c r="O2" s="1883"/>
      <c r="P2" s="1883"/>
      <c r="Q2" s="1883"/>
      <c r="R2" s="1883"/>
      <c r="S2" s="1883"/>
    </row>
    <row r="3" ht="15.6" spans="1:19">
      <c r="A3" s="1884" t="s">
        <v>992</v>
      </c>
      <c r="B3" s="1889">
        <f ca="1">ROUND(B2*10000/E2,0)</f>
        <v>14556</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647.7047</v>
      </c>
      <c r="C6" s="1886" t="s">
        <v>1575</v>
      </c>
      <c r="D6" s="1890"/>
      <c r="E6" s="1900">
        <f>IF(OR(A6=0,F6="否"),0,'数据-取费表'!K6+'数据-取费表'!S6)</f>
        <v>444.98</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7" customWidth="1"/>
    <col min="2" max="3" width="15.7777777777778" style="17" customWidth="1"/>
    <col min="4" max="4" width="12.2222222222222" style="17" customWidth="1"/>
    <col min="5" max="5" width="17.1111111111111" style="17" customWidth="1"/>
    <col min="6" max="6" width="12.2222222222222" style="17" customWidth="1"/>
    <col min="7" max="7" width="16.4444444444444" style="17" customWidth="1"/>
    <col min="8" max="8" width="12.2222222222222" style="17" customWidth="1"/>
    <col min="9" max="9" width="15.6666666666667"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444.98</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1427</v>
      </c>
      <c r="C76" s="326" t="s">
        <v>1428</v>
      </c>
      <c r="D76" s="326" t="s">
        <v>1429</v>
      </c>
      <c r="E76" s="326" t="s">
        <v>1430</v>
      </c>
      <c r="F76" s="326" t="s">
        <v>1431</v>
      </c>
      <c r="G76" s="326" t="s">
        <v>1432</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1428</v>
      </c>
      <c r="D78" s="327" t="s">
        <v>1429</v>
      </c>
      <c r="E78" s="327" t="s">
        <v>1430</v>
      </c>
      <c r="F78" s="327" t="s">
        <v>1431</v>
      </c>
      <c r="G78" s="327" t="s">
        <v>1432</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1428</v>
      </c>
      <c r="D80" s="327" t="s">
        <v>1429</v>
      </c>
      <c r="E80" s="327" t="s">
        <v>1430</v>
      </c>
      <c r="F80" s="327" t="s">
        <v>1431</v>
      </c>
      <c r="G80" s="327" t="s">
        <v>1432</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1433</v>
      </c>
      <c r="D82" s="328" t="s">
        <v>1434</v>
      </c>
      <c r="E82" s="328" t="s">
        <v>1435</v>
      </c>
      <c r="F82" s="328" t="s">
        <v>1436</v>
      </c>
      <c r="G82" s="328" t="s">
        <v>1437</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1428</v>
      </c>
      <c r="D84" s="327" t="s">
        <v>1429</v>
      </c>
      <c r="E84" s="327" t="s">
        <v>1430</v>
      </c>
      <c r="F84" s="327" t="s">
        <v>1431</v>
      </c>
      <c r="G84" s="327" t="s">
        <v>1432</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1428</v>
      </c>
      <c r="D124" s="327" t="s">
        <v>1429</v>
      </c>
      <c r="E124" s="327" t="s">
        <v>1430</v>
      </c>
      <c r="F124" s="327" t="s">
        <v>1431</v>
      </c>
      <c r="G124" s="327" t="s">
        <v>1432</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7" customWidth="1"/>
    <col min="2" max="2" width="15.7777777777778" style="17" customWidth="1"/>
    <col min="3" max="3" width="15.6666666666667"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444.98</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1428</v>
      </c>
      <c r="D77" s="326" t="s">
        <v>1429</v>
      </c>
      <c r="E77" s="326" t="s">
        <v>1430</v>
      </c>
      <c r="F77" s="326" t="s">
        <v>1431</v>
      </c>
      <c r="G77" s="326" t="s">
        <v>1432</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1428</v>
      </c>
      <c r="D79" s="327" t="s">
        <v>1429</v>
      </c>
      <c r="E79" s="327" t="s">
        <v>1430</v>
      </c>
      <c r="F79" s="327" t="s">
        <v>1431</v>
      </c>
      <c r="G79" s="327" t="s">
        <v>1432</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1428</v>
      </c>
      <c r="D81" s="327" t="s">
        <v>1429</v>
      </c>
      <c r="E81" s="327" t="s">
        <v>1430</v>
      </c>
      <c r="F81" s="327" t="s">
        <v>1431</v>
      </c>
      <c r="G81" s="327" t="s">
        <v>1432</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1433</v>
      </c>
      <c r="D83" s="329" t="s">
        <v>1434</v>
      </c>
      <c r="E83" s="329" t="s">
        <v>1435</v>
      </c>
      <c r="F83" s="329" t="s">
        <v>1436</v>
      </c>
      <c r="G83" s="329" t="s">
        <v>1437</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1428</v>
      </c>
      <c r="D85" s="327" t="s">
        <v>1429</v>
      </c>
      <c r="E85" s="327" t="s">
        <v>1430</v>
      </c>
      <c r="F85" s="327" t="s">
        <v>1431</v>
      </c>
      <c r="G85" s="327" t="s">
        <v>1432</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1428</v>
      </c>
      <c r="D125" s="327" t="s">
        <v>1429</v>
      </c>
      <c r="E125" s="327" t="s">
        <v>1430</v>
      </c>
      <c r="F125" s="327" t="s">
        <v>1431</v>
      </c>
      <c r="G125" s="327" t="s">
        <v>1432</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受贵公司委托，我公司对北京市房地产抵押价值进行了预评估。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估价对象为北京市房地产，为所有。根据《国有土地使用证》[]，估价对象（分摊）出让国有建设用地使用权面积为0平方米，建筑面积为444.98平方米。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估价对象为北京市房地产,属开发建设的，该项目尚在开发建设中。根据《国有土地使用证》[]，估价对象（分摊）出让国有建设用地使用权面积为0平方米，规划建筑面积为444.98平方米。</v>
      </c>
    </row>
    <row r="11" ht="69.6" spans="1:1">
      <c r="A11" s="3717" t="s">
        <v>87</v>
      </c>
    </row>
    <row r="12" ht="17.4"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9" t="s">
        <v>89</v>
      </c>
    </row>
    <row r="15" ht="17.4" spans="1:1">
      <c r="A15" s="3720" t="str">
        <f>TEXT(项目基本情况!D3,"yyyy年m月d日;;")&amp;IF(项目基本情况!D3=项目基本情况!B3,"（评估专业人员实地查勘之日）","")</f>
        <v>2023年4月26日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本次评估采用的主估价方法为比较法和收益法。</v>
      </c>
    </row>
    <row r="25" ht="17.4" spans="1:1">
      <c r="A25" s="3668"/>
    </row>
    <row r="26" ht="17.4" spans="1:1">
      <c r="A26" s="3721"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444.98</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1428</v>
      </c>
      <c r="D70" s="326" t="s">
        <v>1429</v>
      </c>
      <c r="E70" s="326" t="s">
        <v>1430</v>
      </c>
      <c r="F70" s="326" t="s">
        <v>1431</v>
      </c>
      <c r="G70" s="326" t="s">
        <v>1432</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1428</v>
      </c>
      <c r="D72" s="327" t="s">
        <v>1429</v>
      </c>
      <c r="E72" s="327" t="s">
        <v>1430</v>
      </c>
      <c r="F72" s="327" t="s">
        <v>1431</v>
      </c>
      <c r="G72" s="327" t="s">
        <v>1432</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1428</v>
      </c>
      <c r="D74" s="327" t="s">
        <v>1429</v>
      </c>
      <c r="E74" s="327" t="s">
        <v>1430</v>
      </c>
      <c r="F74" s="327" t="s">
        <v>1431</v>
      </c>
      <c r="G74" s="327" t="s">
        <v>1432</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1433</v>
      </c>
      <c r="D76" s="329" t="s">
        <v>1434</v>
      </c>
      <c r="E76" s="329" t="s">
        <v>1435</v>
      </c>
      <c r="F76" s="329" t="s">
        <v>1436</v>
      </c>
      <c r="G76" s="329" t="s">
        <v>1437</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1428</v>
      </c>
      <c r="D78" s="327" t="s">
        <v>1429</v>
      </c>
      <c r="E78" s="327" t="s">
        <v>1430</v>
      </c>
      <c r="F78" s="327" t="s">
        <v>1431</v>
      </c>
      <c r="G78" s="327" t="s">
        <v>1432</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1428</v>
      </c>
      <c r="D106" s="327" t="s">
        <v>1429</v>
      </c>
      <c r="E106" s="327" t="s">
        <v>1430</v>
      </c>
      <c r="F106" s="327" t="s">
        <v>1431</v>
      </c>
      <c r="G106" s="327" t="s">
        <v>1432</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5.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1428</v>
      </c>
      <c r="D63" s="326" t="s">
        <v>1429</v>
      </c>
      <c r="E63" s="326" t="s">
        <v>1430</v>
      </c>
      <c r="F63" s="326" t="s">
        <v>1431</v>
      </c>
      <c r="G63" s="326" t="s">
        <v>1432</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1428</v>
      </c>
      <c r="D65" s="327" t="s">
        <v>1429</v>
      </c>
      <c r="E65" s="327" t="s">
        <v>1430</v>
      </c>
      <c r="F65" s="327" t="s">
        <v>1431</v>
      </c>
      <c r="G65" s="327" t="s">
        <v>1432</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1433</v>
      </c>
      <c r="D67" s="329" t="s">
        <v>1434</v>
      </c>
      <c r="E67" s="329" t="s">
        <v>1435</v>
      </c>
      <c r="F67" s="329" t="s">
        <v>1436</v>
      </c>
      <c r="G67" s="329" t="s">
        <v>1437</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1428</v>
      </c>
      <c r="D69" s="327" t="s">
        <v>1429</v>
      </c>
      <c r="E69" s="327" t="s">
        <v>1430</v>
      </c>
      <c r="F69" s="327" t="s">
        <v>1431</v>
      </c>
      <c r="G69" s="327" t="s">
        <v>1432</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1428</v>
      </c>
      <c r="D61" s="326" t="s">
        <v>1429</v>
      </c>
      <c r="E61" s="326" t="s">
        <v>1430</v>
      </c>
      <c r="F61" s="326" t="s">
        <v>1431</v>
      </c>
      <c r="G61" s="326" t="s">
        <v>1432</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1428</v>
      </c>
      <c r="D63" s="327" t="s">
        <v>1429</v>
      </c>
      <c r="E63" s="327" t="s">
        <v>1430</v>
      </c>
      <c r="F63" s="327" t="s">
        <v>1431</v>
      </c>
      <c r="G63" s="327" t="s">
        <v>1432</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1433</v>
      </c>
      <c r="D65" s="329" t="s">
        <v>1434</v>
      </c>
      <c r="E65" s="329" t="s">
        <v>1435</v>
      </c>
      <c r="F65" s="329" t="s">
        <v>1436</v>
      </c>
      <c r="G65" s="329" t="s">
        <v>1437</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1428</v>
      </c>
      <c r="D67" s="327" t="s">
        <v>1429</v>
      </c>
      <c r="E67" s="327" t="s">
        <v>1430</v>
      </c>
      <c r="F67" s="327" t="s">
        <v>1431</v>
      </c>
      <c r="G67" s="327" t="s">
        <v>1432</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7" customWidth="1"/>
    <col min="2" max="2" width="15.7777777777778" style="17" customWidth="1"/>
    <col min="3" max="3" width="14.3333333333333" style="17" customWidth="1"/>
    <col min="4" max="4" width="14.1111111111111"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168</v>
      </c>
      <c r="G10" s="1635"/>
      <c r="H10" s="77">
        <f>ROUND(100/'数据-取费表'!G16,0)</f>
        <v>168</v>
      </c>
      <c r="I10" s="1635"/>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444.98</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444.98</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1427</v>
      </c>
      <c r="C87" s="326" t="s">
        <v>1428</v>
      </c>
      <c r="D87" s="326" t="s">
        <v>1429</v>
      </c>
      <c r="E87" s="326" t="s">
        <v>1430</v>
      </c>
      <c r="F87" s="326" t="s">
        <v>1431</v>
      </c>
      <c r="G87" s="326" t="s">
        <v>1432</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1428</v>
      </c>
      <c r="D89" s="327" t="s">
        <v>1429</v>
      </c>
      <c r="E89" s="327" t="s">
        <v>1430</v>
      </c>
      <c r="F89" s="327" t="s">
        <v>1431</v>
      </c>
      <c r="G89" s="327" t="s">
        <v>1432</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1428</v>
      </c>
      <c r="D91" s="327" t="s">
        <v>1429</v>
      </c>
      <c r="E91" s="327" t="s">
        <v>1430</v>
      </c>
      <c r="F91" s="327" t="s">
        <v>1431</v>
      </c>
      <c r="G91" s="327" t="s">
        <v>1432</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1428</v>
      </c>
      <c r="D93" s="327" t="s">
        <v>1429</v>
      </c>
      <c r="E93" s="327" t="s">
        <v>1430</v>
      </c>
      <c r="F93" s="327" t="s">
        <v>1431</v>
      </c>
      <c r="G93" s="327" t="s">
        <v>1432</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1428</v>
      </c>
      <c r="D95" s="327" t="s">
        <v>1429</v>
      </c>
      <c r="E95" s="327" t="s">
        <v>1430</v>
      </c>
      <c r="F95" s="327" t="s">
        <v>1431</v>
      </c>
      <c r="G95" s="327" t="s">
        <v>1432</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1428</v>
      </c>
      <c r="D97" s="326" t="s">
        <v>1429</v>
      </c>
      <c r="E97" s="326" t="s">
        <v>1430</v>
      </c>
      <c r="F97" s="326" t="s">
        <v>1431</v>
      </c>
      <c r="G97" s="326" t="s">
        <v>1432</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1428</v>
      </c>
      <c r="D99" s="326" t="s">
        <v>1429</v>
      </c>
      <c r="E99" s="326" t="s">
        <v>1430</v>
      </c>
      <c r="F99" s="326" t="s">
        <v>1431</v>
      </c>
      <c r="G99" s="326" t="s">
        <v>1432</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1433</v>
      </c>
      <c r="D101" s="329" t="s">
        <v>1434</v>
      </c>
      <c r="E101" s="329" t="s">
        <v>1435</v>
      </c>
      <c r="F101" s="329" t="s">
        <v>1436</v>
      </c>
      <c r="G101" s="329" t="s">
        <v>1437</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G61">
      <formula1>"商业,办公,住宅,工业"</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168</v>
      </c>
      <c r="G10" s="86"/>
      <c r="H10" s="77">
        <f>ROUND(100/'数据-取费表'!G16,0)</f>
        <v>168</v>
      </c>
      <c r="I10" s="86"/>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444.98</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1428</v>
      </c>
      <c r="D83" s="326" t="s">
        <v>1429</v>
      </c>
      <c r="E83" s="326" t="s">
        <v>1430</v>
      </c>
      <c r="F83" s="326" t="s">
        <v>1431</v>
      </c>
      <c r="G83" s="326" t="s">
        <v>1432</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1428</v>
      </c>
      <c r="D85" s="327" t="s">
        <v>1429</v>
      </c>
      <c r="E85" s="327" t="s">
        <v>1430</v>
      </c>
      <c r="F85" s="327" t="s">
        <v>1431</v>
      </c>
      <c r="G85" s="327" t="s">
        <v>1432</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1428</v>
      </c>
      <c r="D87" s="326" t="s">
        <v>1429</v>
      </c>
      <c r="E87" s="326" t="s">
        <v>1430</v>
      </c>
      <c r="F87" s="326" t="s">
        <v>1431</v>
      </c>
      <c r="G87" s="326" t="s">
        <v>1432</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1428</v>
      </c>
      <c r="D89" s="326" t="s">
        <v>1429</v>
      </c>
      <c r="E89" s="326" t="s">
        <v>1430</v>
      </c>
      <c r="F89" s="326" t="s">
        <v>1431</v>
      </c>
      <c r="G89" s="326" t="s">
        <v>1432</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1428</v>
      </c>
      <c r="D91" s="326" t="s">
        <v>1429</v>
      </c>
      <c r="E91" s="326" t="s">
        <v>1430</v>
      </c>
      <c r="F91" s="326" t="s">
        <v>1431</v>
      </c>
      <c r="G91" s="326" t="s">
        <v>1432</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1433</v>
      </c>
      <c r="D93" s="329" t="s">
        <v>1434</v>
      </c>
      <c r="E93" s="329" t="s">
        <v>1435</v>
      </c>
      <c r="F93" s="329" t="s">
        <v>1436</v>
      </c>
      <c r="G93" s="329" t="s">
        <v>1437</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69" customWidth="1"/>
    <col min="2" max="2" width="9.22222222222222"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51" customWidth="1"/>
    <col min="2" max="2" width="12.4444444444444" style="1351" customWidth="1"/>
    <col min="3" max="3" width="12.1111111111111" style="1351" customWidth="1"/>
    <col min="4" max="4" width="14.1111111111111" style="1351" customWidth="1"/>
    <col min="5" max="5" width="12.4444444444444"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54" customWidth="1"/>
    <col min="2" max="2" width="22.4444444444444" style="955" customWidth="1"/>
    <col min="3" max="3" width="12" style="956"/>
    <col min="4" max="4" width="14.8888888888889" style="956" customWidth="1"/>
    <col min="5" max="5" width="14.6666666666667" style="956" customWidth="1"/>
    <col min="6" max="8" width="12" style="956"/>
    <col min="9" max="9" width="12.2222222222222" style="956" customWidth="1"/>
    <col min="10" max="10" width="12" style="956"/>
    <col min="11" max="11" width="8.11111111111111" style="957" customWidth="1"/>
    <col min="12" max="12" width="19.4444444444444" style="956" customWidth="1"/>
    <col min="13" max="13" width="8.44444444444444" style="956" customWidth="1"/>
    <col min="14" max="14" width="9.77777777777778" style="956" customWidth="1"/>
    <col min="15" max="25" width="12" style="956"/>
    <col min="26" max="26" width="9.33333333333333" style="954" customWidth="1"/>
    <col min="27" max="32" width="9.33333333333333" style="958" customWidth="1"/>
    <col min="33" max="36" width="9.33333333333333" style="954" customWidth="1"/>
    <col min="37" max="38" width="9.3333333333333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1428</v>
      </c>
      <c r="K49" s="342" t="s">
        <v>1429</v>
      </c>
      <c r="L49" s="342" t="s">
        <v>1430</v>
      </c>
      <c r="M49" s="342" t="s">
        <v>1431</v>
      </c>
      <c r="N49" s="342" t="s">
        <v>1432</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1428</v>
      </c>
      <c r="K60" s="342" t="s">
        <v>1429</v>
      </c>
      <c r="L60" s="342" t="s">
        <v>1430</v>
      </c>
      <c r="M60" s="342" t="s">
        <v>1431</v>
      </c>
      <c r="N60" s="342" t="s">
        <v>1432</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1428</v>
      </c>
      <c r="K71" s="342" t="s">
        <v>1429</v>
      </c>
      <c r="L71" s="342" t="s">
        <v>1430</v>
      </c>
      <c r="M71" s="342" t="s">
        <v>1431</v>
      </c>
      <c r="N71" s="342" t="s">
        <v>1432</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1428</v>
      </c>
      <c r="K82" s="342" t="s">
        <v>1429</v>
      </c>
      <c r="L82" s="342" t="s">
        <v>1430</v>
      </c>
      <c r="M82" s="342" t="s">
        <v>1431</v>
      </c>
      <c r="N82" s="342" t="s">
        <v>1432</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1428</v>
      </c>
      <c r="K92" s="1343" t="s">
        <v>1429</v>
      </c>
      <c r="L92" s="1343" t="s">
        <v>1430</v>
      </c>
      <c r="M92" s="1343" t="s">
        <v>1431</v>
      </c>
      <c r="N92" s="1343" t="s">
        <v>1432</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82" customWidth="1"/>
    <col min="14" max="14" width="10" style="882" customWidth="1"/>
    <col min="15" max="16" width="8.22222222222222" style="882"/>
    <col min="17" max="17" width="34.1111111111111" style="882" customWidth="1"/>
    <col min="18" max="18" width="8.22222222222222" style="882" customWidth="1"/>
    <col min="19" max="19" width="8.22222222222222" style="882"/>
    <col min="20" max="20" width="11.6666666666667" style="882" customWidth="1"/>
    <col min="21" max="16384" width="8.22222222222222"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1" customWidth="1"/>
    <col min="2" max="2" width="37.2222222222222" style="3681" customWidth="1"/>
    <col min="3" max="3" width="11.3333333333333" style="3681" customWidth="1"/>
    <col min="4" max="4" width="31.7777777777778" style="3681" customWidth="1"/>
    <col min="5" max="5" width="0.444444444444444"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f ca="1">结果表!H101</f>
        <v>1416</v>
      </c>
      <c r="E5" s="3683"/>
    </row>
    <row r="6" ht="15.6" spans="1:5">
      <c r="A6" s="3683"/>
      <c r="B6" s="3687"/>
      <c r="C6" s="3688" t="s">
        <v>98</v>
      </c>
      <c r="D6" s="3689" t="str">
        <f ca="1">NUMBERSTRING(INT(D5*10000),2)&amp;"元整"</f>
        <v>壹仟肆佰壹拾陆万元整</v>
      </c>
      <c r="E6" s="3683"/>
    </row>
    <row r="7" ht="15.6" spans="1:5">
      <c r="A7" s="3683"/>
      <c r="B7" s="3690"/>
      <c r="C7" s="3691" t="s">
        <v>99</v>
      </c>
      <c r="D7" s="3692">
        <f ca="1">结果表!H102</f>
        <v>31829</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f ca="1">结果表!H107</f>
        <v>1416</v>
      </c>
      <c r="E13" s="3683"/>
    </row>
    <row r="14" ht="15.6" spans="1:5">
      <c r="A14" s="3683"/>
      <c r="B14" s="3687"/>
      <c r="C14" s="3688" t="s">
        <v>98</v>
      </c>
      <c r="D14" s="3689" t="str">
        <f ca="1">NUMBERSTRING(INT(D13*10000),2)&amp;"元整"</f>
        <v>壹仟肆佰壹拾陆万元整</v>
      </c>
      <c r="E14" s="3683"/>
    </row>
    <row r="15" ht="15.6" spans="1:5">
      <c r="A15" s="3683"/>
      <c r="B15" s="3690"/>
      <c r="C15" s="3691" t="s">
        <v>99</v>
      </c>
      <c r="D15" s="3702">
        <f ca="1">结果表!H108</f>
        <v>31829</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4.抵押净值</v>
      </c>
      <c r="C19" s="3700" t="s">
        <v>97</v>
      </c>
      <c r="D19" s="3692">
        <f ca="1">结果表!H111</f>
        <v>1247</v>
      </c>
      <c r="E19" s="3683"/>
    </row>
    <row r="20" ht="15.6" spans="1:5">
      <c r="A20" s="3683"/>
      <c r="B20" s="3687"/>
      <c r="C20" s="3688" t="s">
        <v>98</v>
      </c>
      <c r="D20" s="3689" t="str">
        <f ca="1">NUMBERSTRING(INT(D19*10000),2)&amp;"元整"</f>
        <v>壹仟贰佰肆拾柒万元整</v>
      </c>
      <c r="E20" s="3683"/>
    </row>
    <row r="21" ht="16.35" spans="1:5">
      <c r="A21" s="3683"/>
      <c r="B21" s="3705"/>
      <c r="C21" s="3706" t="s">
        <v>99</v>
      </c>
      <c r="D21" s="3707">
        <f ca="1">结果表!H112</f>
        <v>28024</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0.4" spans="1:7">
      <c r="A1" s="775" t="s">
        <v>2162</v>
      </c>
      <c r="B1" s="776"/>
      <c r="C1" s="777"/>
      <c r="D1" s="777"/>
      <c r="E1" s="777"/>
      <c r="F1" s="777"/>
      <c r="G1" s="778"/>
    </row>
    <row r="2" s="767" customFormat="1" ht="18" customHeight="1" spans="1:7">
      <c r="A2" s="779" t="s">
        <v>2163</v>
      </c>
      <c r="B2" s="780">
        <f ca="1">C52</f>
        <v>29401</v>
      </c>
      <c r="C2" s="781" t="s">
        <v>1453</v>
      </c>
      <c r="D2" s="778"/>
      <c r="E2" s="778"/>
      <c r="F2" s="778"/>
      <c r="G2" s="778"/>
    </row>
    <row r="3" s="767" customFormat="1" ht="18" customHeight="1" spans="1:7">
      <c r="A3" s="36" t="s">
        <v>2164</v>
      </c>
      <c r="B3" s="782">
        <f ca="1">ROUND(B2*10000/'数据-汇总表'!E3,0)</f>
        <v>660726</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9</v>
      </c>
      <c r="D10" s="804">
        <f>'数据-汇总表'!E6</f>
        <v>444.98</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9</v>
      </c>
      <c r="D19" s="812">
        <f>'数据-汇总表'!E3</f>
        <v>444.98</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1764</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1</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4206</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4206</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29259</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148</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133</v>
      </c>
      <c r="D34" s="794"/>
      <c r="E34" s="797"/>
      <c r="F34" s="843">
        <f>IF('数据-取费表'!B24=0,1,'数据-取费表'!N16)</f>
        <v>1</v>
      </c>
      <c r="G34" s="796" t="s">
        <v>2213</v>
      </c>
    </row>
    <row r="35" ht="13.5" customHeight="1" spans="1:7">
      <c r="A35" s="822" t="s">
        <v>1001</v>
      </c>
      <c r="B35" s="792" t="s">
        <v>2214</v>
      </c>
      <c r="C35" s="797">
        <f>ROUND(C34*F35,0)</f>
        <v>4</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9</v>
      </c>
      <c r="D37" s="794">
        <f>'数据-汇总表'!E3</f>
        <v>444.98</v>
      </c>
      <c r="E37" s="835">
        <f>'数据-取费表'!B35</f>
        <v>200</v>
      </c>
      <c r="F37" s="844"/>
      <c r="G37" s="846" t="s">
        <v>2219</v>
      </c>
    </row>
    <row r="38" ht="13.5" customHeight="1" spans="1:7">
      <c r="A38" s="822" t="s">
        <v>1065</v>
      </c>
      <c r="B38" s="792" t="s">
        <v>2177</v>
      </c>
      <c r="C38" s="797">
        <f>ROUND(C34*F38,0)</f>
        <v>2</v>
      </c>
      <c r="D38" s="797"/>
      <c r="E38" s="797"/>
      <c r="F38" s="844">
        <f>'数据-取费表'!B36</f>
        <v>0.015</v>
      </c>
      <c r="G38" s="796" t="s">
        <v>2215</v>
      </c>
    </row>
    <row r="39" s="769" customFormat="1" ht="13.5" customHeight="1" spans="1:7">
      <c r="A39" s="811" t="s">
        <v>1739</v>
      </c>
      <c r="B39" s="787" t="s">
        <v>2187</v>
      </c>
      <c r="C39" s="814">
        <f>ROUND(C33*F20,0)</f>
        <v>3</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6</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6</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30</v>
      </c>
      <c r="D45" s="817">
        <f>C47</f>
        <v>0.004</v>
      </c>
      <c r="E45" s="818" t="s">
        <v>2221</v>
      </c>
      <c r="F45" s="832"/>
      <c r="G45" s="833" t="s">
        <v>2224</v>
      </c>
    </row>
    <row r="46" s="769" customFormat="1" ht="13.5" customHeight="1" spans="1:7">
      <c r="A46" s="822" t="s">
        <v>999</v>
      </c>
      <c r="B46" s="834" t="s">
        <v>2225</v>
      </c>
      <c r="C46" s="835">
        <f>ROUND((C33+C39)*F27,0)</f>
        <v>30</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203</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142</v>
      </c>
      <c r="D51" s="814"/>
      <c r="E51" s="814"/>
      <c r="F51" s="852"/>
      <c r="G51" s="819" t="s">
        <v>2236</v>
      </c>
    </row>
    <row r="52" s="768" customFormat="1" ht="16.35" spans="1:7">
      <c r="A52" s="853" t="s">
        <v>2237</v>
      </c>
      <c r="B52" s="854"/>
      <c r="C52" s="855">
        <f ca="1">C31+C51</f>
        <v>29401</v>
      </c>
      <c r="D52" s="854"/>
      <c r="E52" s="854"/>
      <c r="F52" s="854"/>
      <c r="G52" s="856"/>
    </row>
    <row r="55" ht="15" spans="2:3">
      <c r="B55" s="857" t="s">
        <v>2238</v>
      </c>
      <c r="C55" s="858"/>
    </row>
    <row r="56" spans="2:3">
      <c r="B56" s="859" t="s">
        <v>2239</v>
      </c>
      <c r="C56" s="860">
        <f ca="1">ROUND(C51/C52,3)</f>
        <v>0.005</v>
      </c>
    </row>
    <row r="57" spans="2:3">
      <c r="B57" s="859" t="s">
        <v>2240</v>
      </c>
      <c r="C57" s="861">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34" customWidth="1"/>
    <col min="2" max="2" width="18.6666666666667" style="734" customWidth="1"/>
    <col min="3" max="6" width="10.2222222222222" style="734" customWidth="1"/>
    <col min="7" max="7" width="10.4444444444444" style="734" customWidth="1"/>
    <col min="8" max="8" width="8.88888888888889" style="733"/>
    <col min="9" max="9" width="13.3333333333333" style="733" customWidth="1"/>
    <col min="10" max="13" width="13.3333333333333" style="734" customWidth="1"/>
    <col min="14" max="14" width="18.2222222222222" style="734" customWidth="1"/>
    <col min="15" max="17" width="15.1111111111111" style="734" customWidth="1"/>
    <col min="18" max="20" width="11.4444444444444" style="734" customWidth="1"/>
    <col min="21" max="16384" width="8.88888888888889"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95" customWidth="1"/>
    <col min="2" max="2" width="20" style="695" customWidth="1"/>
    <col min="3" max="7" width="8.88888888888889" style="696"/>
    <col min="8" max="16384" width="8.88888888888889"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2222222222222" style="468" customWidth="1"/>
    <col min="14" max="14" width="9" style="469" customWidth="1"/>
    <col min="15" max="17" width="9" style="468" customWidth="1"/>
    <col min="18" max="18" width="2.33333333333333" style="468" customWidth="1"/>
    <col min="19" max="19" width="7.11111111111111" style="469" customWidth="1"/>
    <col min="20" max="22" width="7.11111111111111" style="468" customWidth="1"/>
    <col min="23" max="23" width="24.2222222222222" style="468" customWidth="1"/>
    <col min="24" max="25" width="9" style="468"/>
    <col min="26" max="27" width="11.6666666666667"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88" customWidth="1"/>
    <col min="2" max="2" width="13.2222222222222" style="389" customWidth="1"/>
    <col min="3" max="3" width="15.6666666666667" style="389" customWidth="1"/>
    <col min="4" max="4" width="9.33333333333333" style="389" customWidth="1"/>
    <col min="5" max="5" width="13.4444444444444" style="389" customWidth="1"/>
    <col min="6" max="6" width="9" style="389"/>
    <col min="7" max="7" width="9.33333333333333" style="389" customWidth="1"/>
    <col min="8" max="8" width="12.2222222222222" style="389" customWidth="1"/>
    <col min="9" max="9" width="9" style="389"/>
    <col min="10" max="10" width="9.33333333333333" style="389" customWidth="1"/>
    <col min="11" max="11" width="4" style="388" customWidth="1"/>
    <col min="12" max="12" width="5.11111111111111" style="389" customWidth="1"/>
    <col min="13" max="13" width="13.7777777777778" style="389" customWidth="1"/>
    <col min="14" max="256" width="9" style="389"/>
    <col min="257" max="257" width="4.88888888888889" style="390" customWidth="1"/>
    <col min="258" max="258" width="13.2222222222222" style="390" customWidth="1"/>
    <col min="259" max="259" width="15.6666666666667" style="390" customWidth="1"/>
    <col min="260" max="260" width="9.33333333333333" style="390" customWidth="1"/>
    <col min="261" max="261" width="13.4444444444444" style="390" customWidth="1"/>
    <col min="262" max="262" width="9" style="390"/>
    <col min="263" max="263" width="9.33333333333333" style="390" customWidth="1"/>
    <col min="264" max="265" width="9" style="390"/>
    <col min="266" max="266" width="9.33333333333333" style="390" customWidth="1"/>
    <col min="267" max="267" width="4" style="390" customWidth="1"/>
    <col min="268" max="268" width="5.11111111111111" style="390" customWidth="1"/>
    <col min="269" max="269" width="13.7777777777778" style="390" customWidth="1"/>
    <col min="270" max="512" width="9" style="390"/>
    <col min="513" max="513" width="4.88888888888889" style="390" customWidth="1"/>
    <col min="514" max="514" width="13.2222222222222" style="390" customWidth="1"/>
    <col min="515" max="515" width="15.6666666666667" style="390" customWidth="1"/>
    <col min="516" max="516" width="9.33333333333333" style="390" customWidth="1"/>
    <col min="517" max="517" width="13.4444444444444" style="390" customWidth="1"/>
    <col min="518" max="518" width="9" style="390"/>
    <col min="519" max="519" width="9.33333333333333" style="390" customWidth="1"/>
    <col min="520" max="521" width="9" style="390"/>
    <col min="522" max="522" width="9.33333333333333" style="390" customWidth="1"/>
    <col min="523" max="523" width="4" style="390" customWidth="1"/>
    <col min="524" max="524" width="5.11111111111111" style="390" customWidth="1"/>
    <col min="525" max="525" width="13.7777777777778" style="390" customWidth="1"/>
    <col min="526" max="768" width="9" style="390"/>
    <col min="769" max="769" width="4.88888888888889" style="390" customWidth="1"/>
    <col min="770" max="770" width="13.2222222222222" style="390" customWidth="1"/>
    <col min="771" max="771" width="15.6666666666667" style="390" customWidth="1"/>
    <col min="772" max="772" width="9.33333333333333" style="390" customWidth="1"/>
    <col min="773" max="773" width="13.4444444444444" style="390" customWidth="1"/>
    <col min="774" max="774" width="9" style="390"/>
    <col min="775" max="775" width="9.33333333333333" style="390" customWidth="1"/>
    <col min="776" max="777" width="9" style="390"/>
    <col min="778" max="778" width="9.33333333333333" style="390" customWidth="1"/>
    <col min="779" max="779" width="4" style="390" customWidth="1"/>
    <col min="780" max="780" width="5.11111111111111" style="390" customWidth="1"/>
    <col min="781" max="781" width="13.7777777777778" style="390" customWidth="1"/>
    <col min="782" max="1024" width="9" style="390"/>
    <col min="1025" max="1025" width="4.88888888888889" style="390" customWidth="1"/>
    <col min="1026" max="1026" width="13.2222222222222" style="390" customWidth="1"/>
    <col min="1027" max="1027" width="15.6666666666667" style="390" customWidth="1"/>
    <col min="1028" max="1028" width="9.33333333333333" style="390" customWidth="1"/>
    <col min="1029" max="1029" width="13.4444444444444" style="390" customWidth="1"/>
    <col min="1030" max="1030" width="9" style="390"/>
    <col min="1031" max="1031" width="9.33333333333333" style="390" customWidth="1"/>
    <col min="1032" max="1033" width="9" style="390"/>
    <col min="1034" max="1034" width="9.33333333333333" style="390" customWidth="1"/>
    <col min="1035" max="1035" width="4" style="390" customWidth="1"/>
    <col min="1036" max="1036" width="5.11111111111111" style="390" customWidth="1"/>
    <col min="1037" max="1037" width="13.7777777777778" style="390" customWidth="1"/>
    <col min="1038" max="1280" width="9" style="390"/>
    <col min="1281" max="1281" width="4.88888888888889" style="390" customWidth="1"/>
    <col min="1282" max="1282" width="13.2222222222222" style="390" customWidth="1"/>
    <col min="1283" max="1283" width="15.6666666666667" style="390" customWidth="1"/>
    <col min="1284" max="1284" width="9.33333333333333" style="390" customWidth="1"/>
    <col min="1285" max="1285" width="13.4444444444444" style="390" customWidth="1"/>
    <col min="1286" max="1286" width="9" style="390"/>
    <col min="1287" max="1287" width="9.33333333333333" style="390" customWidth="1"/>
    <col min="1288" max="1289" width="9" style="390"/>
    <col min="1290" max="1290" width="9.33333333333333" style="390" customWidth="1"/>
    <col min="1291" max="1291" width="4" style="390" customWidth="1"/>
    <col min="1292" max="1292" width="5.11111111111111" style="390" customWidth="1"/>
    <col min="1293" max="1293" width="13.7777777777778" style="390" customWidth="1"/>
    <col min="1294" max="1536" width="9" style="390"/>
    <col min="1537" max="1537" width="4.88888888888889" style="390" customWidth="1"/>
    <col min="1538" max="1538" width="13.2222222222222" style="390" customWidth="1"/>
    <col min="1539" max="1539" width="15.6666666666667" style="390" customWidth="1"/>
    <col min="1540" max="1540" width="9.33333333333333" style="390" customWidth="1"/>
    <col min="1541" max="1541" width="13.4444444444444" style="390" customWidth="1"/>
    <col min="1542" max="1542" width="9" style="390"/>
    <col min="1543" max="1543" width="9.33333333333333" style="390" customWidth="1"/>
    <col min="1544" max="1545" width="9" style="390"/>
    <col min="1546" max="1546" width="9.33333333333333" style="390" customWidth="1"/>
    <col min="1547" max="1547" width="4" style="390" customWidth="1"/>
    <col min="1548" max="1548" width="5.11111111111111" style="390" customWidth="1"/>
    <col min="1549" max="1549" width="13.7777777777778" style="390" customWidth="1"/>
    <col min="1550" max="1792" width="9" style="390"/>
    <col min="1793" max="1793" width="4.88888888888889" style="390" customWidth="1"/>
    <col min="1794" max="1794" width="13.2222222222222" style="390" customWidth="1"/>
    <col min="1795" max="1795" width="15.6666666666667" style="390" customWidth="1"/>
    <col min="1796" max="1796" width="9.33333333333333" style="390" customWidth="1"/>
    <col min="1797" max="1797" width="13.4444444444444" style="390" customWidth="1"/>
    <col min="1798" max="1798" width="9" style="390"/>
    <col min="1799" max="1799" width="9.33333333333333" style="390" customWidth="1"/>
    <col min="1800" max="1801" width="9" style="390"/>
    <col min="1802" max="1802" width="9.33333333333333" style="390" customWidth="1"/>
    <col min="1803" max="1803" width="4" style="390" customWidth="1"/>
    <col min="1804" max="1804" width="5.11111111111111" style="390" customWidth="1"/>
    <col min="1805" max="1805" width="13.7777777777778" style="390" customWidth="1"/>
    <col min="1806" max="2048" width="9" style="390"/>
    <col min="2049" max="2049" width="4.88888888888889" style="390" customWidth="1"/>
    <col min="2050" max="2050" width="13.2222222222222" style="390" customWidth="1"/>
    <col min="2051" max="2051" width="15.6666666666667" style="390" customWidth="1"/>
    <col min="2052" max="2052" width="9.33333333333333" style="390" customWidth="1"/>
    <col min="2053" max="2053" width="13.4444444444444" style="390" customWidth="1"/>
    <col min="2054" max="2054" width="9" style="390"/>
    <col min="2055" max="2055" width="9.33333333333333" style="390" customWidth="1"/>
    <col min="2056" max="2057" width="9" style="390"/>
    <col min="2058" max="2058" width="9.33333333333333" style="390" customWidth="1"/>
    <col min="2059" max="2059" width="4" style="390" customWidth="1"/>
    <col min="2060" max="2060" width="5.11111111111111" style="390" customWidth="1"/>
    <col min="2061" max="2061" width="13.7777777777778" style="390" customWidth="1"/>
    <col min="2062" max="2304" width="9" style="390"/>
    <col min="2305" max="2305" width="4.88888888888889" style="390" customWidth="1"/>
    <col min="2306" max="2306" width="13.2222222222222" style="390" customWidth="1"/>
    <col min="2307" max="2307" width="15.6666666666667" style="390" customWidth="1"/>
    <col min="2308" max="2308" width="9.33333333333333" style="390" customWidth="1"/>
    <col min="2309" max="2309" width="13.4444444444444" style="390" customWidth="1"/>
    <col min="2310" max="2310" width="9" style="390"/>
    <col min="2311" max="2311" width="9.33333333333333" style="390" customWidth="1"/>
    <col min="2312" max="2313" width="9" style="390"/>
    <col min="2314" max="2314" width="9.33333333333333" style="390" customWidth="1"/>
    <col min="2315" max="2315" width="4" style="390" customWidth="1"/>
    <col min="2316" max="2316" width="5.11111111111111" style="390" customWidth="1"/>
    <col min="2317" max="2317" width="13.7777777777778" style="390" customWidth="1"/>
    <col min="2318" max="2560" width="9" style="390"/>
    <col min="2561" max="2561" width="4.88888888888889" style="390" customWidth="1"/>
    <col min="2562" max="2562" width="13.2222222222222" style="390" customWidth="1"/>
    <col min="2563" max="2563" width="15.6666666666667" style="390" customWidth="1"/>
    <col min="2564" max="2564" width="9.33333333333333" style="390" customWidth="1"/>
    <col min="2565" max="2565" width="13.4444444444444" style="390" customWidth="1"/>
    <col min="2566" max="2566" width="9" style="390"/>
    <col min="2567" max="2567" width="9.33333333333333" style="390" customWidth="1"/>
    <col min="2568" max="2569" width="9" style="390"/>
    <col min="2570" max="2570" width="9.33333333333333" style="390" customWidth="1"/>
    <col min="2571" max="2571" width="4" style="390" customWidth="1"/>
    <col min="2572" max="2572" width="5.11111111111111" style="390" customWidth="1"/>
    <col min="2573" max="2573" width="13.7777777777778" style="390" customWidth="1"/>
    <col min="2574" max="2816" width="9" style="390"/>
    <col min="2817" max="2817" width="4.88888888888889" style="390" customWidth="1"/>
    <col min="2818" max="2818" width="13.2222222222222" style="390" customWidth="1"/>
    <col min="2819" max="2819" width="15.6666666666667" style="390" customWidth="1"/>
    <col min="2820" max="2820" width="9.33333333333333" style="390" customWidth="1"/>
    <col min="2821" max="2821" width="13.4444444444444" style="390" customWidth="1"/>
    <col min="2822" max="2822" width="9" style="390"/>
    <col min="2823" max="2823" width="9.33333333333333" style="390" customWidth="1"/>
    <col min="2824" max="2825" width="9" style="390"/>
    <col min="2826" max="2826" width="9.33333333333333" style="390" customWidth="1"/>
    <col min="2827" max="2827" width="4" style="390" customWidth="1"/>
    <col min="2828" max="2828" width="5.11111111111111" style="390" customWidth="1"/>
    <col min="2829" max="2829" width="13.7777777777778" style="390" customWidth="1"/>
    <col min="2830" max="3072" width="9" style="390"/>
    <col min="3073" max="3073" width="4.88888888888889" style="390" customWidth="1"/>
    <col min="3074" max="3074" width="13.2222222222222" style="390" customWidth="1"/>
    <col min="3075" max="3075" width="15.6666666666667" style="390" customWidth="1"/>
    <col min="3076" max="3076" width="9.33333333333333" style="390" customWidth="1"/>
    <col min="3077" max="3077" width="13.4444444444444" style="390" customWidth="1"/>
    <col min="3078" max="3078" width="9" style="390"/>
    <col min="3079" max="3079" width="9.33333333333333" style="390" customWidth="1"/>
    <col min="3080" max="3081" width="9" style="390"/>
    <col min="3082" max="3082" width="9.33333333333333" style="390" customWidth="1"/>
    <col min="3083" max="3083" width="4" style="390" customWidth="1"/>
    <col min="3084" max="3084" width="5.11111111111111" style="390" customWidth="1"/>
    <col min="3085" max="3085" width="13.7777777777778" style="390" customWidth="1"/>
    <col min="3086" max="3328" width="9" style="390"/>
    <col min="3329" max="3329" width="4.88888888888889" style="390" customWidth="1"/>
    <col min="3330" max="3330" width="13.2222222222222" style="390" customWidth="1"/>
    <col min="3331" max="3331" width="15.6666666666667" style="390" customWidth="1"/>
    <col min="3332" max="3332" width="9.33333333333333" style="390" customWidth="1"/>
    <col min="3333" max="3333" width="13.4444444444444" style="390" customWidth="1"/>
    <col min="3334" max="3334" width="9" style="390"/>
    <col min="3335" max="3335" width="9.33333333333333" style="390" customWidth="1"/>
    <col min="3336" max="3337" width="9" style="390"/>
    <col min="3338" max="3338" width="9.33333333333333" style="390" customWidth="1"/>
    <col min="3339" max="3339" width="4" style="390" customWidth="1"/>
    <col min="3340" max="3340" width="5.11111111111111" style="390" customWidth="1"/>
    <col min="3341" max="3341" width="13.7777777777778" style="390" customWidth="1"/>
    <col min="3342" max="3584" width="9" style="390"/>
    <col min="3585" max="3585" width="4.88888888888889" style="390" customWidth="1"/>
    <col min="3586" max="3586" width="13.2222222222222" style="390" customWidth="1"/>
    <col min="3587" max="3587" width="15.6666666666667" style="390" customWidth="1"/>
    <col min="3588" max="3588" width="9.33333333333333" style="390" customWidth="1"/>
    <col min="3589" max="3589" width="13.4444444444444" style="390" customWidth="1"/>
    <col min="3590" max="3590" width="9" style="390"/>
    <col min="3591" max="3591" width="9.33333333333333" style="390" customWidth="1"/>
    <col min="3592" max="3593" width="9" style="390"/>
    <col min="3594" max="3594" width="9.33333333333333" style="390" customWidth="1"/>
    <col min="3595" max="3595" width="4" style="390" customWidth="1"/>
    <col min="3596" max="3596" width="5.11111111111111" style="390" customWidth="1"/>
    <col min="3597" max="3597" width="13.7777777777778" style="390" customWidth="1"/>
    <col min="3598" max="3840" width="9" style="390"/>
    <col min="3841" max="3841" width="4.88888888888889" style="390" customWidth="1"/>
    <col min="3842" max="3842" width="13.2222222222222" style="390" customWidth="1"/>
    <col min="3843" max="3843" width="15.6666666666667" style="390" customWidth="1"/>
    <col min="3844" max="3844" width="9.33333333333333" style="390" customWidth="1"/>
    <col min="3845" max="3845" width="13.4444444444444" style="390" customWidth="1"/>
    <col min="3846" max="3846" width="9" style="390"/>
    <col min="3847" max="3847" width="9.33333333333333" style="390" customWidth="1"/>
    <col min="3848" max="3849" width="9" style="390"/>
    <col min="3850" max="3850" width="9.33333333333333" style="390" customWidth="1"/>
    <col min="3851" max="3851" width="4" style="390" customWidth="1"/>
    <col min="3852" max="3852" width="5.11111111111111" style="390" customWidth="1"/>
    <col min="3853" max="3853" width="13.7777777777778" style="390" customWidth="1"/>
    <col min="3854" max="4096" width="9" style="390"/>
    <col min="4097" max="4097" width="4.88888888888889" style="390" customWidth="1"/>
    <col min="4098" max="4098" width="13.2222222222222" style="390" customWidth="1"/>
    <col min="4099" max="4099" width="15.6666666666667" style="390" customWidth="1"/>
    <col min="4100" max="4100" width="9.33333333333333" style="390" customWidth="1"/>
    <col min="4101" max="4101" width="13.4444444444444" style="390" customWidth="1"/>
    <col min="4102" max="4102" width="9" style="390"/>
    <col min="4103" max="4103" width="9.33333333333333" style="390" customWidth="1"/>
    <col min="4104" max="4105" width="9" style="390"/>
    <col min="4106" max="4106" width="9.33333333333333" style="390" customWidth="1"/>
    <col min="4107" max="4107" width="4" style="390" customWidth="1"/>
    <col min="4108" max="4108" width="5.11111111111111" style="390" customWidth="1"/>
    <col min="4109" max="4109" width="13.7777777777778" style="390" customWidth="1"/>
    <col min="4110" max="4352" width="9" style="390"/>
    <col min="4353" max="4353" width="4.88888888888889" style="390" customWidth="1"/>
    <col min="4354" max="4354" width="13.2222222222222" style="390" customWidth="1"/>
    <col min="4355" max="4355" width="15.6666666666667" style="390" customWidth="1"/>
    <col min="4356" max="4356" width="9.33333333333333" style="390" customWidth="1"/>
    <col min="4357" max="4357" width="13.4444444444444" style="390" customWidth="1"/>
    <col min="4358" max="4358" width="9" style="390"/>
    <col min="4359" max="4359" width="9.33333333333333" style="390" customWidth="1"/>
    <col min="4360" max="4361" width="9" style="390"/>
    <col min="4362" max="4362" width="9.33333333333333" style="390" customWidth="1"/>
    <col min="4363" max="4363" width="4" style="390" customWidth="1"/>
    <col min="4364" max="4364" width="5.11111111111111" style="390" customWidth="1"/>
    <col min="4365" max="4365" width="13.7777777777778" style="390" customWidth="1"/>
    <col min="4366" max="4608" width="9" style="390"/>
    <col min="4609" max="4609" width="4.88888888888889" style="390" customWidth="1"/>
    <col min="4610" max="4610" width="13.2222222222222" style="390" customWidth="1"/>
    <col min="4611" max="4611" width="15.6666666666667" style="390" customWidth="1"/>
    <col min="4612" max="4612" width="9.33333333333333" style="390" customWidth="1"/>
    <col min="4613" max="4613" width="13.4444444444444" style="390" customWidth="1"/>
    <col min="4614" max="4614" width="9" style="390"/>
    <col min="4615" max="4615" width="9.33333333333333" style="390" customWidth="1"/>
    <col min="4616" max="4617" width="9" style="390"/>
    <col min="4618" max="4618" width="9.33333333333333" style="390" customWidth="1"/>
    <col min="4619" max="4619" width="4" style="390" customWidth="1"/>
    <col min="4620" max="4620" width="5.11111111111111" style="390" customWidth="1"/>
    <col min="4621" max="4621" width="13.7777777777778" style="390" customWidth="1"/>
    <col min="4622" max="4864" width="9" style="390"/>
    <col min="4865" max="4865" width="4.88888888888889" style="390" customWidth="1"/>
    <col min="4866" max="4866" width="13.2222222222222" style="390" customWidth="1"/>
    <col min="4867" max="4867" width="15.6666666666667" style="390" customWidth="1"/>
    <col min="4868" max="4868" width="9.33333333333333" style="390" customWidth="1"/>
    <col min="4869" max="4869" width="13.4444444444444" style="390" customWidth="1"/>
    <col min="4870" max="4870" width="9" style="390"/>
    <col min="4871" max="4871" width="9.33333333333333" style="390" customWidth="1"/>
    <col min="4872" max="4873" width="9" style="390"/>
    <col min="4874" max="4874" width="9.33333333333333" style="390" customWidth="1"/>
    <col min="4875" max="4875" width="4" style="390" customWidth="1"/>
    <col min="4876" max="4876" width="5.11111111111111" style="390" customWidth="1"/>
    <col min="4877" max="4877" width="13.7777777777778" style="390" customWidth="1"/>
    <col min="4878" max="5120" width="9" style="390"/>
    <col min="5121" max="5121" width="4.88888888888889" style="390" customWidth="1"/>
    <col min="5122" max="5122" width="13.2222222222222" style="390" customWidth="1"/>
    <col min="5123" max="5123" width="15.6666666666667" style="390" customWidth="1"/>
    <col min="5124" max="5124" width="9.33333333333333" style="390" customWidth="1"/>
    <col min="5125" max="5125" width="13.4444444444444" style="390" customWidth="1"/>
    <col min="5126" max="5126" width="9" style="390"/>
    <col min="5127" max="5127" width="9.33333333333333" style="390" customWidth="1"/>
    <col min="5128" max="5129" width="9" style="390"/>
    <col min="5130" max="5130" width="9.33333333333333" style="390" customWidth="1"/>
    <col min="5131" max="5131" width="4" style="390" customWidth="1"/>
    <col min="5132" max="5132" width="5.11111111111111" style="390" customWidth="1"/>
    <col min="5133" max="5133" width="13.7777777777778" style="390" customWidth="1"/>
    <col min="5134" max="5376" width="9" style="390"/>
    <col min="5377" max="5377" width="4.88888888888889" style="390" customWidth="1"/>
    <col min="5378" max="5378" width="13.2222222222222" style="390" customWidth="1"/>
    <col min="5379" max="5379" width="15.6666666666667" style="390" customWidth="1"/>
    <col min="5380" max="5380" width="9.33333333333333" style="390" customWidth="1"/>
    <col min="5381" max="5381" width="13.4444444444444" style="390" customWidth="1"/>
    <col min="5382" max="5382" width="9" style="390"/>
    <col min="5383" max="5383" width="9.33333333333333" style="390" customWidth="1"/>
    <col min="5384" max="5385" width="9" style="390"/>
    <col min="5386" max="5386" width="9.33333333333333" style="390" customWidth="1"/>
    <col min="5387" max="5387" width="4" style="390" customWidth="1"/>
    <col min="5388" max="5388" width="5.11111111111111" style="390" customWidth="1"/>
    <col min="5389" max="5389" width="13.7777777777778" style="390" customWidth="1"/>
    <col min="5390" max="5632" width="9" style="390"/>
    <col min="5633" max="5633" width="4.88888888888889" style="390" customWidth="1"/>
    <col min="5634" max="5634" width="13.2222222222222" style="390" customWidth="1"/>
    <col min="5635" max="5635" width="15.6666666666667" style="390" customWidth="1"/>
    <col min="5636" max="5636" width="9.33333333333333" style="390" customWidth="1"/>
    <col min="5637" max="5637" width="13.4444444444444" style="390" customWidth="1"/>
    <col min="5638" max="5638" width="9" style="390"/>
    <col min="5639" max="5639" width="9.33333333333333" style="390" customWidth="1"/>
    <col min="5640" max="5641" width="9" style="390"/>
    <col min="5642" max="5642" width="9.33333333333333" style="390" customWidth="1"/>
    <col min="5643" max="5643" width="4" style="390" customWidth="1"/>
    <col min="5644" max="5644" width="5.11111111111111" style="390" customWidth="1"/>
    <col min="5645" max="5645" width="13.7777777777778" style="390" customWidth="1"/>
    <col min="5646" max="5888" width="9" style="390"/>
    <col min="5889" max="5889" width="4.88888888888889" style="390" customWidth="1"/>
    <col min="5890" max="5890" width="13.2222222222222" style="390" customWidth="1"/>
    <col min="5891" max="5891" width="15.6666666666667" style="390" customWidth="1"/>
    <col min="5892" max="5892" width="9.33333333333333" style="390" customWidth="1"/>
    <col min="5893" max="5893" width="13.4444444444444" style="390" customWidth="1"/>
    <col min="5894" max="5894" width="9" style="390"/>
    <col min="5895" max="5895" width="9.33333333333333" style="390" customWidth="1"/>
    <col min="5896" max="5897" width="9" style="390"/>
    <col min="5898" max="5898" width="9.33333333333333" style="390" customWidth="1"/>
    <col min="5899" max="5899" width="4" style="390" customWidth="1"/>
    <col min="5900" max="5900" width="5.11111111111111" style="390" customWidth="1"/>
    <col min="5901" max="5901" width="13.7777777777778" style="390" customWidth="1"/>
    <col min="5902" max="6144" width="9" style="390"/>
    <col min="6145" max="6145" width="4.88888888888889" style="390" customWidth="1"/>
    <col min="6146" max="6146" width="13.2222222222222" style="390" customWidth="1"/>
    <col min="6147" max="6147" width="15.6666666666667" style="390" customWidth="1"/>
    <col min="6148" max="6148" width="9.33333333333333" style="390" customWidth="1"/>
    <col min="6149" max="6149" width="13.4444444444444" style="390" customWidth="1"/>
    <col min="6150" max="6150" width="9" style="390"/>
    <col min="6151" max="6151" width="9.33333333333333" style="390" customWidth="1"/>
    <col min="6152" max="6153" width="9" style="390"/>
    <col min="6154" max="6154" width="9.33333333333333" style="390" customWidth="1"/>
    <col min="6155" max="6155" width="4" style="390" customWidth="1"/>
    <col min="6156" max="6156" width="5.11111111111111" style="390" customWidth="1"/>
    <col min="6157" max="6157" width="13.7777777777778" style="390" customWidth="1"/>
    <col min="6158" max="6400" width="9" style="390"/>
    <col min="6401" max="6401" width="4.88888888888889" style="390" customWidth="1"/>
    <col min="6402" max="6402" width="13.2222222222222" style="390" customWidth="1"/>
    <col min="6403" max="6403" width="15.6666666666667" style="390" customWidth="1"/>
    <col min="6404" max="6404" width="9.33333333333333" style="390" customWidth="1"/>
    <col min="6405" max="6405" width="13.4444444444444" style="390" customWidth="1"/>
    <col min="6406" max="6406" width="9" style="390"/>
    <col min="6407" max="6407" width="9.33333333333333" style="390" customWidth="1"/>
    <col min="6408" max="6409" width="9" style="390"/>
    <col min="6410" max="6410" width="9.33333333333333" style="390" customWidth="1"/>
    <col min="6411" max="6411" width="4" style="390" customWidth="1"/>
    <col min="6412" max="6412" width="5.11111111111111" style="390" customWidth="1"/>
    <col min="6413" max="6413" width="13.7777777777778" style="390" customWidth="1"/>
    <col min="6414" max="6656" width="9" style="390"/>
    <col min="6657" max="6657" width="4.88888888888889" style="390" customWidth="1"/>
    <col min="6658" max="6658" width="13.2222222222222" style="390" customWidth="1"/>
    <col min="6659" max="6659" width="15.6666666666667" style="390" customWidth="1"/>
    <col min="6660" max="6660" width="9.33333333333333" style="390" customWidth="1"/>
    <col min="6661" max="6661" width="13.4444444444444" style="390" customWidth="1"/>
    <col min="6662" max="6662" width="9" style="390"/>
    <col min="6663" max="6663" width="9.33333333333333" style="390" customWidth="1"/>
    <col min="6664" max="6665" width="9" style="390"/>
    <col min="6666" max="6666" width="9.33333333333333" style="390" customWidth="1"/>
    <col min="6667" max="6667" width="4" style="390" customWidth="1"/>
    <col min="6668" max="6668" width="5.11111111111111" style="390" customWidth="1"/>
    <col min="6669" max="6669" width="13.7777777777778" style="390" customWidth="1"/>
    <col min="6670" max="6912" width="9" style="390"/>
    <col min="6913" max="6913" width="4.88888888888889" style="390" customWidth="1"/>
    <col min="6914" max="6914" width="13.2222222222222" style="390" customWidth="1"/>
    <col min="6915" max="6915" width="15.6666666666667" style="390" customWidth="1"/>
    <col min="6916" max="6916" width="9.33333333333333" style="390" customWidth="1"/>
    <col min="6917" max="6917" width="13.4444444444444" style="390" customWidth="1"/>
    <col min="6918" max="6918" width="9" style="390"/>
    <col min="6919" max="6919" width="9.33333333333333" style="390" customWidth="1"/>
    <col min="6920" max="6921" width="9" style="390"/>
    <col min="6922" max="6922" width="9.33333333333333" style="390" customWidth="1"/>
    <col min="6923" max="6923" width="4" style="390" customWidth="1"/>
    <col min="6924" max="6924" width="5.11111111111111" style="390" customWidth="1"/>
    <col min="6925" max="6925" width="13.7777777777778" style="390" customWidth="1"/>
    <col min="6926" max="7168" width="9" style="390"/>
    <col min="7169" max="7169" width="4.88888888888889" style="390" customWidth="1"/>
    <col min="7170" max="7170" width="13.2222222222222" style="390" customWidth="1"/>
    <col min="7171" max="7171" width="15.6666666666667" style="390" customWidth="1"/>
    <col min="7172" max="7172" width="9.33333333333333" style="390" customWidth="1"/>
    <col min="7173" max="7173" width="13.4444444444444" style="390" customWidth="1"/>
    <col min="7174" max="7174" width="9" style="390"/>
    <col min="7175" max="7175" width="9.33333333333333" style="390" customWidth="1"/>
    <col min="7176" max="7177" width="9" style="390"/>
    <col min="7178" max="7178" width="9.33333333333333" style="390" customWidth="1"/>
    <col min="7179" max="7179" width="4" style="390" customWidth="1"/>
    <col min="7180" max="7180" width="5.11111111111111" style="390" customWidth="1"/>
    <col min="7181" max="7181" width="13.7777777777778" style="390" customWidth="1"/>
    <col min="7182" max="7424" width="9" style="390"/>
    <col min="7425" max="7425" width="4.88888888888889" style="390" customWidth="1"/>
    <col min="7426" max="7426" width="13.2222222222222" style="390" customWidth="1"/>
    <col min="7427" max="7427" width="15.6666666666667" style="390" customWidth="1"/>
    <col min="7428" max="7428" width="9.33333333333333" style="390" customWidth="1"/>
    <col min="7429" max="7429" width="13.4444444444444" style="390" customWidth="1"/>
    <col min="7430" max="7430" width="9" style="390"/>
    <col min="7431" max="7431" width="9.33333333333333" style="390" customWidth="1"/>
    <col min="7432" max="7433" width="9" style="390"/>
    <col min="7434" max="7434" width="9.33333333333333" style="390" customWidth="1"/>
    <col min="7435" max="7435" width="4" style="390" customWidth="1"/>
    <col min="7436" max="7436" width="5.11111111111111" style="390" customWidth="1"/>
    <col min="7437" max="7437" width="13.7777777777778" style="390" customWidth="1"/>
    <col min="7438" max="7680" width="9" style="390"/>
    <col min="7681" max="7681" width="4.88888888888889" style="390" customWidth="1"/>
    <col min="7682" max="7682" width="13.2222222222222" style="390" customWidth="1"/>
    <col min="7683" max="7683" width="15.6666666666667" style="390" customWidth="1"/>
    <col min="7684" max="7684" width="9.33333333333333" style="390" customWidth="1"/>
    <col min="7685" max="7685" width="13.4444444444444" style="390" customWidth="1"/>
    <col min="7686" max="7686" width="9" style="390"/>
    <col min="7687" max="7687" width="9.33333333333333" style="390" customWidth="1"/>
    <col min="7688" max="7689" width="9" style="390"/>
    <col min="7690" max="7690" width="9.33333333333333" style="390" customWidth="1"/>
    <col min="7691" max="7691" width="4" style="390" customWidth="1"/>
    <col min="7692" max="7692" width="5.11111111111111" style="390" customWidth="1"/>
    <col min="7693" max="7693" width="13.7777777777778" style="390" customWidth="1"/>
    <col min="7694" max="7936" width="9" style="390"/>
    <col min="7937" max="7937" width="4.88888888888889" style="390" customWidth="1"/>
    <col min="7938" max="7938" width="13.2222222222222" style="390" customWidth="1"/>
    <col min="7939" max="7939" width="15.6666666666667" style="390" customWidth="1"/>
    <col min="7940" max="7940" width="9.33333333333333" style="390" customWidth="1"/>
    <col min="7941" max="7941" width="13.4444444444444" style="390" customWidth="1"/>
    <col min="7942" max="7942" width="9" style="390"/>
    <col min="7943" max="7943" width="9.33333333333333" style="390" customWidth="1"/>
    <col min="7944" max="7945" width="9" style="390"/>
    <col min="7946" max="7946" width="9.33333333333333" style="390" customWidth="1"/>
    <col min="7947" max="7947" width="4" style="390" customWidth="1"/>
    <col min="7948" max="7948" width="5.11111111111111" style="390" customWidth="1"/>
    <col min="7949" max="7949" width="13.7777777777778" style="390" customWidth="1"/>
    <col min="7950" max="8192" width="9" style="390"/>
    <col min="8193" max="8193" width="4.88888888888889" style="390" customWidth="1"/>
    <col min="8194" max="8194" width="13.2222222222222" style="390" customWidth="1"/>
    <col min="8195" max="8195" width="15.6666666666667" style="390" customWidth="1"/>
    <col min="8196" max="8196" width="9.33333333333333" style="390" customWidth="1"/>
    <col min="8197" max="8197" width="13.4444444444444" style="390" customWidth="1"/>
    <col min="8198" max="8198" width="9" style="390"/>
    <col min="8199" max="8199" width="9.33333333333333" style="390" customWidth="1"/>
    <col min="8200" max="8201" width="9" style="390"/>
    <col min="8202" max="8202" width="9.33333333333333" style="390" customWidth="1"/>
    <col min="8203" max="8203" width="4" style="390" customWidth="1"/>
    <col min="8204" max="8204" width="5.11111111111111" style="390" customWidth="1"/>
    <col min="8205" max="8205" width="13.7777777777778" style="390" customWidth="1"/>
    <col min="8206" max="8448" width="9" style="390"/>
    <col min="8449" max="8449" width="4.88888888888889" style="390" customWidth="1"/>
    <col min="8450" max="8450" width="13.2222222222222" style="390" customWidth="1"/>
    <col min="8451" max="8451" width="15.6666666666667" style="390" customWidth="1"/>
    <col min="8452" max="8452" width="9.33333333333333" style="390" customWidth="1"/>
    <col min="8453" max="8453" width="13.4444444444444" style="390" customWidth="1"/>
    <col min="8454" max="8454" width="9" style="390"/>
    <col min="8455" max="8455" width="9.33333333333333" style="390" customWidth="1"/>
    <col min="8456" max="8457" width="9" style="390"/>
    <col min="8458" max="8458" width="9.33333333333333" style="390" customWidth="1"/>
    <col min="8459" max="8459" width="4" style="390" customWidth="1"/>
    <col min="8460" max="8460" width="5.11111111111111" style="390" customWidth="1"/>
    <col min="8461" max="8461" width="13.7777777777778" style="390" customWidth="1"/>
    <col min="8462" max="8704" width="9" style="390"/>
    <col min="8705" max="8705" width="4.88888888888889" style="390" customWidth="1"/>
    <col min="8706" max="8706" width="13.2222222222222" style="390" customWidth="1"/>
    <col min="8707" max="8707" width="15.6666666666667" style="390" customWidth="1"/>
    <col min="8708" max="8708" width="9.33333333333333" style="390" customWidth="1"/>
    <col min="8709" max="8709" width="13.4444444444444" style="390" customWidth="1"/>
    <col min="8710" max="8710" width="9" style="390"/>
    <col min="8711" max="8711" width="9.33333333333333" style="390" customWidth="1"/>
    <col min="8712" max="8713" width="9" style="390"/>
    <col min="8714" max="8714" width="9.33333333333333" style="390" customWidth="1"/>
    <col min="8715" max="8715" width="4" style="390" customWidth="1"/>
    <col min="8716" max="8716" width="5.11111111111111" style="390" customWidth="1"/>
    <col min="8717" max="8717" width="13.7777777777778" style="390" customWidth="1"/>
    <col min="8718" max="8960" width="9" style="390"/>
    <col min="8961" max="8961" width="4.88888888888889" style="390" customWidth="1"/>
    <col min="8962" max="8962" width="13.2222222222222" style="390" customWidth="1"/>
    <col min="8963" max="8963" width="15.6666666666667" style="390" customWidth="1"/>
    <col min="8964" max="8964" width="9.33333333333333" style="390" customWidth="1"/>
    <col min="8965" max="8965" width="13.4444444444444" style="390" customWidth="1"/>
    <col min="8966" max="8966" width="9" style="390"/>
    <col min="8967" max="8967" width="9.33333333333333" style="390" customWidth="1"/>
    <col min="8968" max="8969" width="9" style="390"/>
    <col min="8970" max="8970" width="9.33333333333333" style="390" customWidth="1"/>
    <col min="8971" max="8971" width="4" style="390" customWidth="1"/>
    <col min="8972" max="8972" width="5.11111111111111" style="390" customWidth="1"/>
    <col min="8973" max="8973" width="13.7777777777778" style="390" customWidth="1"/>
    <col min="8974" max="9216" width="9" style="390"/>
    <col min="9217" max="9217" width="4.88888888888889" style="390" customWidth="1"/>
    <col min="9218" max="9218" width="13.2222222222222" style="390" customWidth="1"/>
    <col min="9219" max="9219" width="15.6666666666667" style="390" customWidth="1"/>
    <col min="9220" max="9220" width="9.33333333333333" style="390" customWidth="1"/>
    <col min="9221" max="9221" width="13.4444444444444" style="390" customWidth="1"/>
    <col min="9222" max="9222" width="9" style="390"/>
    <col min="9223" max="9223" width="9.33333333333333" style="390" customWidth="1"/>
    <col min="9224" max="9225" width="9" style="390"/>
    <col min="9226" max="9226" width="9.33333333333333" style="390" customWidth="1"/>
    <col min="9227" max="9227" width="4" style="390" customWidth="1"/>
    <col min="9228" max="9228" width="5.11111111111111" style="390" customWidth="1"/>
    <col min="9229" max="9229" width="13.7777777777778" style="390" customWidth="1"/>
    <col min="9230" max="9472" width="9" style="390"/>
    <col min="9473" max="9473" width="4.88888888888889" style="390" customWidth="1"/>
    <col min="9474" max="9474" width="13.2222222222222" style="390" customWidth="1"/>
    <col min="9475" max="9475" width="15.6666666666667" style="390" customWidth="1"/>
    <col min="9476" max="9476" width="9.33333333333333" style="390" customWidth="1"/>
    <col min="9477" max="9477" width="13.4444444444444" style="390" customWidth="1"/>
    <col min="9478" max="9478" width="9" style="390"/>
    <col min="9479" max="9479" width="9.33333333333333" style="390" customWidth="1"/>
    <col min="9480" max="9481" width="9" style="390"/>
    <col min="9482" max="9482" width="9.33333333333333" style="390" customWidth="1"/>
    <col min="9483" max="9483" width="4" style="390" customWidth="1"/>
    <col min="9484" max="9484" width="5.11111111111111" style="390" customWidth="1"/>
    <col min="9485" max="9485" width="13.7777777777778" style="390" customWidth="1"/>
    <col min="9486" max="9728" width="9" style="390"/>
    <col min="9729" max="9729" width="4.88888888888889" style="390" customWidth="1"/>
    <col min="9730" max="9730" width="13.2222222222222" style="390" customWidth="1"/>
    <col min="9731" max="9731" width="15.6666666666667" style="390" customWidth="1"/>
    <col min="9732" max="9732" width="9.33333333333333" style="390" customWidth="1"/>
    <col min="9733" max="9733" width="13.4444444444444" style="390" customWidth="1"/>
    <col min="9734" max="9734" width="9" style="390"/>
    <col min="9735" max="9735" width="9.33333333333333" style="390" customWidth="1"/>
    <col min="9736" max="9737" width="9" style="390"/>
    <col min="9738" max="9738" width="9.33333333333333" style="390" customWidth="1"/>
    <col min="9739" max="9739" width="4" style="390" customWidth="1"/>
    <col min="9740" max="9740" width="5.11111111111111" style="390" customWidth="1"/>
    <col min="9741" max="9741" width="13.7777777777778" style="390" customWidth="1"/>
    <col min="9742" max="9984" width="9" style="390"/>
    <col min="9985" max="9985" width="4.88888888888889" style="390" customWidth="1"/>
    <col min="9986" max="9986" width="13.2222222222222" style="390" customWidth="1"/>
    <col min="9987" max="9987" width="15.6666666666667" style="390" customWidth="1"/>
    <col min="9988" max="9988" width="9.33333333333333" style="390" customWidth="1"/>
    <col min="9989" max="9989" width="13.4444444444444" style="390" customWidth="1"/>
    <col min="9990" max="9990" width="9" style="390"/>
    <col min="9991" max="9991" width="9.33333333333333" style="390" customWidth="1"/>
    <col min="9992" max="9993" width="9" style="390"/>
    <col min="9994" max="9994" width="9.33333333333333" style="390" customWidth="1"/>
    <col min="9995" max="9995" width="4" style="390" customWidth="1"/>
    <col min="9996" max="9996" width="5.11111111111111" style="390" customWidth="1"/>
    <col min="9997" max="9997" width="13.7777777777778" style="390" customWidth="1"/>
    <col min="9998" max="10240" width="9" style="390"/>
    <col min="10241" max="10241" width="4.88888888888889" style="390" customWidth="1"/>
    <col min="10242" max="10242" width="13.2222222222222" style="390" customWidth="1"/>
    <col min="10243" max="10243" width="15.6666666666667" style="390" customWidth="1"/>
    <col min="10244" max="10244" width="9.33333333333333" style="390" customWidth="1"/>
    <col min="10245" max="10245" width="13.4444444444444" style="390" customWidth="1"/>
    <col min="10246" max="10246" width="9" style="390"/>
    <col min="10247" max="10247" width="9.33333333333333" style="390" customWidth="1"/>
    <col min="10248" max="10249" width="9" style="390"/>
    <col min="10250" max="10250" width="9.33333333333333" style="390" customWidth="1"/>
    <col min="10251" max="10251" width="4" style="390" customWidth="1"/>
    <col min="10252" max="10252" width="5.11111111111111" style="390" customWidth="1"/>
    <col min="10253" max="10253" width="13.7777777777778" style="390" customWidth="1"/>
    <col min="10254" max="10496" width="9" style="390"/>
    <col min="10497" max="10497" width="4.88888888888889" style="390" customWidth="1"/>
    <col min="10498" max="10498" width="13.2222222222222" style="390" customWidth="1"/>
    <col min="10499" max="10499" width="15.6666666666667" style="390" customWidth="1"/>
    <col min="10500" max="10500" width="9.33333333333333" style="390" customWidth="1"/>
    <col min="10501" max="10501" width="13.4444444444444" style="390" customWidth="1"/>
    <col min="10502" max="10502" width="9" style="390"/>
    <col min="10503" max="10503" width="9.33333333333333" style="390" customWidth="1"/>
    <col min="10504" max="10505" width="9" style="390"/>
    <col min="10506" max="10506" width="9.33333333333333" style="390" customWidth="1"/>
    <col min="10507" max="10507" width="4" style="390" customWidth="1"/>
    <col min="10508" max="10508" width="5.11111111111111" style="390" customWidth="1"/>
    <col min="10509" max="10509" width="13.7777777777778" style="390" customWidth="1"/>
    <col min="10510" max="10752" width="9" style="390"/>
    <col min="10753" max="10753" width="4.88888888888889" style="390" customWidth="1"/>
    <col min="10754" max="10754" width="13.2222222222222" style="390" customWidth="1"/>
    <col min="10755" max="10755" width="15.6666666666667" style="390" customWidth="1"/>
    <col min="10756" max="10756" width="9.33333333333333" style="390" customWidth="1"/>
    <col min="10757" max="10757" width="13.4444444444444" style="390" customWidth="1"/>
    <col min="10758" max="10758" width="9" style="390"/>
    <col min="10759" max="10759" width="9.33333333333333" style="390" customWidth="1"/>
    <col min="10760" max="10761" width="9" style="390"/>
    <col min="10762" max="10762" width="9.33333333333333" style="390" customWidth="1"/>
    <col min="10763" max="10763" width="4" style="390" customWidth="1"/>
    <col min="10764" max="10764" width="5.11111111111111" style="390" customWidth="1"/>
    <col min="10765" max="10765" width="13.7777777777778" style="390" customWidth="1"/>
    <col min="10766" max="11008" width="9" style="390"/>
    <col min="11009" max="11009" width="4.88888888888889" style="390" customWidth="1"/>
    <col min="11010" max="11010" width="13.2222222222222" style="390" customWidth="1"/>
    <col min="11011" max="11011" width="15.6666666666667" style="390" customWidth="1"/>
    <col min="11012" max="11012" width="9.33333333333333" style="390" customWidth="1"/>
    <col min="11013" max="11013" width="13.4444444444444" style="390" customWidth="1"/>
    <col min="11014" max="11014" width="9" style="390"/>
    <col min="11015" max="11015" width="9.33333333333333" style="390" customWidth="1"/>
    <col min="11016" max="11017" width="9" style="390"/>
    <col min="11018" max="11018" width="9.33333333333333" style="390" customWidth="1"/>
    <col min="11019" max="11019" width="4" style="390" customWidth="1"/>
    <col min="11020" max="11020" width="5.11111111111111" style="390" customWidth="1"/>
    <col min="11021" max="11021" width="13.7777777777778" style="390" customWidth="1"/>
    <col min="11022" max="11264" width="9" style="390"/>
    <col min="11265" max="11265" width="4.88888888888889" style="390" customWidth="1"/>
    <col min="11266" max="11266" width="13.2222222222222" style="390" customWidth="1"/>
    <col min="11267" max="11267" width="15.6666666666667" style="390" customWidth="1"/>
    <col min="11268" max="11268" width="9.33333333333333" style="390" customWidth="1"/>
    <col min="11269" max="11269" width="13.4444444444444" style="390" customWidth="1"/>
    <col min="11270" max="11270" width="9" style="390"/>
    <col min="11271" max="11271" width="9.33333333333333" style="390" customWidth="1"/>
    <col min="11272" max="11273" width="9" style="390"/>
    <col min="11274" max="11274" width="9.33333333333333" style="390" customWidth="1"/>
    <col min="11275" max="11275" width="4" style="390" customWidth="1"/>
    <col min="11276" max="11276" width="5.11111111111111" style="390" customWidth="1"/>
    <col min="11277" max="11277" width="13.7777777777778" style="390" customWidth="1"/>
    <col min="11278" max="11520" width="9" style="390"/>
    <col min="11521" max="11521" width="4.88888888888889" style="390" customWidth="1"/>
    <col min="11522" max="11522" width="13.2222222222222" style="390" customWidth="1"/>
    <col min="11523" max="11523" width="15.6666666666667" style="390" customWidth="1"/>
    <col min="11524" max="11524" width="9.33333333333333" style="390" customWidth="1"/>
    <col min="11525" max="11525" width="13.4444444444444" style="390" customWidth="1"/>
    <col min="11526" max="11526" width="9" style="390"/>
    <col min="11527" max="11527" width="9.33333333333333" style="390" customWidth="1"/>
    <col min="11528" max="11529" width="9" style="390"/>
    <col min="11530" max="11530" width="9.33333333333333" style="390" customWidth="1"/>
    <col min="11531" max="11531" width="4" style="390" customWidth="1"/>
    <col min="11532" max="11532" width="5.11111111111111" style="390" customWidth="1"/>
    <col min="11533" max="11533" width="13.7777777777778" style="390" customWidth="1"/>
    <col min="11534" max="11776" width="9" style="390"/>
    <col min="11777" max="11777" width="4.88888888888889" style="390" customWidth="1"/>
    <col min="11778" max="11778" width="13.2222222222222" style="390" customWidth="1"/>
    <col min="11779" max="11779" width="15.6666666666667" style="390" customWidth="1"/>
    <col min="11780" max="11780" width="9.33333333333333" style="390" customWidth="1"/>
    <col min="11781" max="11781" width="13.4444444444444" style="390" customWidth="1"/>
    <col min="11782" max="11782" width="9" style="390"/>
    <col min="11783" max="11783" width="9.33333333333333" style="390" customWidth="1"/>
    <col min="11784" max="11785" width="9" style="390"/>
    <col min="11786" max="11786" width="9.33333333333333" style="390" customWidth="1"/>
    <col min="11787" max="11787" width="4" style="390" customWidth="1"/>
    <col min="11788" max="11788" width="5.11111111111111" style="390" customWidth="1"/>
    <col min="11789" max="11789" width="13.7777777777778" style="390" customWidth="1"/>
    <col min="11790" max="12032" width="9" style="390"/>
    <col min="12033" max="12033" width="4.88888888888889" style="390" customWidth="1"/>
    <col min="12034" max="12034" width="13.2222222222222" style="390" customWidth="1"/>
    <col min="12035" max="12035" width="15.6666666666667" style="390" customWidth="1"/>
    <col min="12036" max="12036" width="9.33333333333333" style="390" customWidth="1"/>
    <col min="12037" max="12037" width="13.4444444444444" style="390" customWidth="1"/>
    <col min="12038" max="12038" width="9" style="390"/>
    <col min="12039" max="12039" width="9.33333333333333" style="390" customWidth="1"/>
    <col min="12040" max="12041" width="9" style="390"/>
    <col min="12042" max="12042" width="9.33333333333333" style="390" customWidth="1"/>
    <col min="12043" max="12043" width="4" style="390" customWidth="1"/>
    <col min="12044" max="12044" width="5.11111111111111" style="390" customWidth="1"/>
    <col min="12045" max="12045" width="13.7777777777778" style="390" customWidth="1"/>
    <col min="12046" max="12288" width="9" style="390"/>
    <col min="12289" max="12289" width="4.88888888888889" style="390" customWidth="1"/>
    <col min="12290" max="12290" width="13.2222222222222" style="390" customWidth="1"/>
    <col min="12291" max="12291" width="15.6666666666667" style="390" customWidth="1"/>
    <col min="12292" max="12292" width="9.33333333333333" style="390" customWidth="1"/>
    <col min="12293" max="12293" width="13.4444444444444" style="390" customWidth="1"/>
    <col min="12294" max="12294" width="9" style="390"/>
    <col min="12295" max="12295" width="9.33333333333333" style="390" customWidth="1"/>
    <col min="12296" max="12297" width="9" style="390"/>
    <col min="12298" max="12298" width="9.33333333333333" style="390" customWidth="1"/>
    <col min="12299" max="12299" width="4" style="390" customWidth="1"/>
    <col min="12300" max="12300" width="5.11111111111111" style="390" customWidth="1"/>
    <col min="12301" max="12301" width="13.7777777777778" style="390" customWidth="1"/>
    <col min="12302" max="12544" width="9" style="390"/>
    <col min="12545" max="12545" width="4.88888888888889" style="390" customWidth="1"/>
    <col min="12546" max="12546" width="13.2222222222222" style="390" customWidth="1"/>
    <col min="12547" max="12547" width="15.6666666666667" style="390" customWidth="1"/>
    <col min="12548" max="12548" width="9.33333333333333" style="390" customWidth="1"/>
    <col min="12549" max="12549" width="13.4444444444444" style="390" customWidth="1"/>
    <col min="12550" max="12550" width="9" style="390"/>
    <col min="12551" max="12551" width="9.33333333333333" style="390" customWidth="1"/>
    <col min="12552" max="12553" width="9" style="390"/>
    <col min="12554" max="12554" width="9.33333333333333" style="390" customWidth="1"/>
    <col min="12555" max="12555" width="4" style="390" customWidth="1"/>
    <col min="12556" max="12556" width="5.11111111111111" style="390" customWidth="1"/>
    <col min="12557" max="12557" width="13.7777777777778" style="390" customWidth="1"/>
    <col min="12558" max="12800" width="9" style="390"/>
    <col min="12801" max="12801" width="4.88888888888889" style="390" customWidth="1"/>
    <col min="12802" max="12802" width="13.2222222222222" style="390" customWidth="1"/>
    <col min="12803" max="12803" width="15.6666666666667" style="390" customWidth="1"/>
    <col min="12804" max="12804" width="9.33333333333333" style="390" customWidth="1"/>
    <col min="12805" max="12805" width="13.4444444444444" style="390" customWidth="1"/>
    <col min="12806" max="12806" width="9" style="390"/>
    <col min="12807" max="12807" width="9.33333333333333" style="390" customWidth="1"/>
    <col min="12808" max="12809" width="9" style="390"/>
    <col min="12810" max="12810" width="9.33333333333333" style="390" customWidth="1"/>
    <col min="12811" max="12811" width="4" style="390" customWidth="1"/>
    <col min="12812" max="12812" width="5.11111111111111" style="390" customWidth="1"/>
    <col min="12813" max="12813" width="13.7777777777778" style="390" customWidth="1"/>
    <col min="12814" max="13056" width="9" style="390"/>
    <col min="13057" max="13057" width="4.88888888888889" style="390" customWidth="1"/>
    <col min="13058" max="13058" width="13.2222222222222" style="390" customWidth="1"/>
    <col min="13059" max="13059" width="15.6666666666667" style="390" customWidth="1"/>
    <col min="13060" max="13060" width="9.33333333333333" style="390" customWidth="1"/>
    <col min="13061" max="13061" width="13.4444444444444" style="390" customWidth="1"/>
    <col min="13062" max="13062" width="9" style="390"/>
    <col min="13063" max="13063" width="9.33333333333333" style="390" customWidth="1"/>
    <col min="13064" max="13065" width="9" style="390"/>
    <col min="13066" max="13066" width="9.33333333333333" style="390" customWidth="1"/>
    <col min="13067" max="13067" width="4" style="390" customWidth="1"/>
    <col min="13068" max="13068" width="5.11111111111111" style="390" customWidth="1"/>
    <col min="13069" max="13069" width="13.7777777777778" style="390" customWidth="1"/>
    <col min="13070" max="13312" width="9" style="390"/>
    <col min="13313" max="13313" width="4.88888888888889" style="390" customWidth="1"/>
    <col min="13314" max="13314" width="13.2222222222222" style="390" customWidth="1"/>
    <col min="13315" max="13315" width="15.6666666666667" style="390" customWidth="1"/>
    <col min="13316" max="13316" width="9.33333333333333" style="390" customWidth="1"/>
    <col min="13317" max="13317" width="13.4444444444444" style="390" customWidth="1"/>
    <col min="13318" max="13318" width="9" style="390"/>
    <col min="13319" max="13319" width="9.33333333333333" style="390" customWidth="1"/>
    <col min="13320" max="13321" width="9" style="390"/>
    <col min="13322" max="13322" width="9.33333333333333" style="390" customWidth="1"/>
    <col min="13323" max="13323" width="4" style="390" customWidth="1"/>
    <col min="13324" max="13324" width="5.11111111111111" style="390" customWidth="1"/>
    <col min="13325" max="13325" width="13.7777777777778" style="390" customWidth="1"/>
    <col min="13326" max="13568" width="9" style="390"/>
    <col min="13569" max="13569" width="4.88888888888889" style="390" customWidth="1"/>
    <col min="13570" max="13570" width="13.2222222222222" style="390" customWidth="1"/>
    <col min="13571" max="13571" width="15.6666666666667" style="390" customWidth="1"/>
    <col min="13572" max="13572" width="9.33333333333333" style="390" customWidth="1"/>
    <col min="13573" max="13573" width="13.4444444444444" style="390" customWidth="1"/>
    <col min="13574" max="13574" width="9" style="390"/>
    <col min="13575" max="13575" width="9.33333333333333" style="390" customWidth="1"/>
    <col min="13576" max="13577" width="9" style="390"/>
    <col min="13578" max="13578" width="9.33333333333333" style="390" customWidth="1"/>
    <col min="13579" max="13579" width="4" style="390" customWidth="1"/>
    <col min="13580" max="13580" width="5.11111111111111" style="390" customWidth="1"/>
    <col min="13581" max="13581" width="13.7777777777778" style="390" customWidth="1"/>
    <col min="13582" max="13824" width="9" style="390"/>
    <col min="13825" max="13825" width="4.88888888888889" style="390" customWidth="1"/>
    <col min="13826" max="13826" width="13.2222222222222" style="390" customWidth="1"/>
    <col min="13827" max="13827" width="15.6666666666667" style="390" customWidth="1"/>
    <col min="13828" max="13828" width="9.33333333333333" style="390" customWidth="1"/>
    <col min="13829" max="13829" width="13.4444444444444" style="390" customWidth="1"/>
    <col min="13830" max="13830" width="9" style="390"/>
    <col min="13831" max="13831" width="9.33333333333333" style="390" customWidth="1"/>
    <col min="13832" max="13833" width="9" style="390"/>
    <col min="13834" max="13834" width="9.33333333333333" style="390" customWidth="1"/>
    <col min="13835" max="13835" width="4" style="390" customWidth="1"/>
    <col min="13836" max="13836" width="5.11111111111111" style="390" customWidth="1"/>
    <col min="13837" max="13837" width="13.7777777777778" style="390" customWidth="1"/>
    <col min="13838" max="14080" width="9" style="390"/>
    <col min="14081" max="14081" width="4.88888888888889" style="390" customWidth="1"/>
    <col min="14082" max="14082" width="13.2222222222222" style="390" customWidth="1"/>
    <col min="14083" max="14083" width="15.6666666666667" style="390" customWidth="1"/>
    <col min="14084" max="14084" width="9.33333333333333" style="390" customWidth="1"/>
    <col min="14085" max="14085" width="13.4444444444444" style="390" customWidth="1"/>
    <col min="14086" max="14086" width="9" style="390"/>
    <col min="14087" max="14087" width="9.33333333333333" style="390" customWidth="1"/>
    <col min="14088" max="14089" width="9" style="390"/>
    <col min="14090" max="14090" width="9.33333333333333" style="390" customWidth="1"/>
    <col min="14091" max="14091" width="4" style="390" customWidth="1"/>
    <col min="14092" max="14092" width="5.11111111111111" style="390" customWidth="1"/>
    <col min="14093" max="14093" width="13.7777777777778" style="390" customWidth="1"/>
    <col min="14094" max="14336" width="9" style="390"/>
    <col min="14337" max="14337" width="4.88888888888889" style="390" customWidth="1"/>
    <col min="14338" max="14338" width="13.2222222222222" style="390" customWidth="1"/>
    <col min="14339" max="14339" width="15.6666666666667" style="390" customWidth="1"/>
    <col min="14340" max="14340" width="9.33333333333333" style="390" customWidth="1"/>
    <col min="14341" max="14341" width="13.4444444444444" style="390" customWidth="1"/>
    <col min="14342" max="14342" width="9" style="390"/>
    <col min="14343" max="14343" width="9.33333333333333" style="390" customWidth="1"/>
    <col min="14344" max="14345" width="9" style="390"/>
    <col min="14346" max="14346" width="9.33333333333333" style="390" customWidth="1"/>
    <col min="14347" max="14347" width="4" style="390" customWidth="1"/>
    <col min="14348" max="14348" width="5.11111111111111" style="390" customWidth="1"/>
    <col min="14349" max="14349" width="13.7777777777778" style="390" customWidth="1"/>
    <col min="14350" max="14592" width="9" style="390"/>
    <col min="14593" max="14593" width="4.88888888888889" style="390" customWidth="1"/>
    <col min="14594" max="14594" width="13.2222222222222" style="390" customWidth="1"/>
    <col min="14595" max="14595" width="15.6666666666667" style="390" customWidth="1"/>
    <col min="14596" max="14596" width="9.33333333333333" style="390" customWidth="1"/>
    <col min="14597" max="14597" width="13.4444444444444" style="390" customWidth="1"/>
    <col min="14598" max="14598" width="9" style="390"/>
    <col min="14599" max="14599" width="9.33333333333333" style="390" customWidth="1"/>
    <col min="14600" max="14601" width="9" style="390"/>
    <col min="14602" max="14602" width="9.33333333333333" style="390" customWidth="1"/>
    <col min="14603" max="14603" width="4" style="390" customWidth="1"/>
    <col min="14604" max="14604" width="5.11111111111111" style="390" customWidth="1"/>
    <col min="14605" max="14605" width="13.7777777777778" style="390" customWidth="1"/>
    <col min="14606" max="14848" width="9" style="390"/>
    <col min="14849" max="14849" width="4.88888888888889" style="390" customWidth="1"/>
    <col min="14850" max="14850" width="13.2222222222222" style="390" customWidth="1"/>
    <col min="14851" max="14851" width="15.6666666666667" style="390" customWidth="1"/>
    <col min="14852" max="14852" width="9.33333333333333" style="390" customWidth="1"/>
    <col min="14853" max="14853" width="13.4444444444444" style="390" customWidth="1"/>
    <col min="14854" max="14854" width="9" style="390"/>
    <col min="14855" max="14855" width="9.33333333333333" style="390" customWidth="1"/>
    <col min="14856" max="14857" width="9" style="390"/>
    <col min="14858" max="14858" width="9.33333333333333" style="390" customWidth="1"/>
    <col min="14859" max="14859" width="4" style="390" customWidth="1"/>
    <col min="14860" max="14860" width="5.11111111111111" style="390" customWidth="1"/>
    <col min="14861" max="14861" width="13.7777777777778" style="390" customWidth="1"/>
    <col min="14862" max="15104" width="9" style="390"/>
    <col min="15105" max="15105" width="4.88888888888889" style="390" customWidth="1"/>
    <col min="15106" max="15106" width="13.2222222222222" style="390" customWidth="1"/>
    <col min="15107" max="15107" width="15.6666666666667" style="390" customWidth="1"/>
    <col min="15108" max="15108" width="9.33333333333333" style="390" customWidth="1"/>
    <col min="15109" max="15109" width="13.4444444444444" style="390" customWidth="1"/>
    <col min="15110" max="15110" width="9" style="390"/>
    <col min="15111" max="15111" width="9.33333333333333" style="390" customWidth="1"/>
    <col min="15112" max="15113" width="9" style="390"/>
    <col min="15114" max="15114" width="9.33333333333333" style="390" customWidth="1"/>
    <col min="15115" max="15115" width="4" style="390" customWidth="1"/>
    <col min="15116" max="15116" width="5.11111111111111" style="390" customWidth="1"/>
    <col min="15117" max="15117" width="13.7777777777778" style="390" customWidth="1"/>
    <col min="15118" max="15360" width="9" style="390"/>
    <col min="15361" max="15361" width="4.88888888888889" style="390" customWidth="1"/>
    <col min="15362" max="15362" width="13.2222222222222" style="390" customWidth="1"/>
    <col min="15363" max="15363" width="15.6666666666667" style="390" customWidth="1"/>
    <col min="15364" max="15364" width="9.33333333333333" style="390" customWidth="1"/>
    <col min="15365" max="15365" width="13.4444444444444" style="390" customWidth="1"/>
    <col min="15366" max="15366" width="9" style="390"/>
    <col min="15367" max="15367" width="9.33333333333333" style="390" customWidth="1"/>
    <col min="15368" max="15369" width="9" style="390"/>
    <col min="15370" max="15370" width="9.33333333333333" style="390" customWidth="1"/>
    <col min="15371" max="15371" width="4" style="390" customWidth="1"/>
    <col min="15372" max="15372" width="5.11111111111111" style="390" customWidth="1"/>
    <col min="15373" max="15373" width="13.7777777777778" style="390" customWidth="1"/>
    <col min="15374" max="15616" width="9" style="390"/>
    <col min="15617" max="15617" width="4.88888888888889" style="390" customWidth="1"/>
    <col min="15618" max="15618" width="13.2222222222222" style="390" customWidth="1"/>
    <col min="15619" max="15619" width="15.6666666666667" style="390" customWidth="1"/>
    <col min="15620" max="15620" width="9.33333333333333" style="390" customWidth="1"/>
    <col min="15621" max="15621" width="13.4444444444444" style="390" customWidth="1"/>
    <col min="15622" max="15622" width="9" style="390"/>
    <col min="15623" max="15623" width="9.33333333333333" style="390" customWidth="1"/>
    <col min="15624" max="15625" width="9" style="390"/>
    <col min="15626" max="15626" width="9.33333333333333" style="390" customWidth="1"/>
    <col min="15627" max="15627" width="4" style="390" customWidth="1"/>
    <col min="15628" max="15628" width="5.11111111111111" style="390" customWidth="1"/>
    <col min="15629" max="15629" width="13.7777777777778" style="390" customWidth="1"/>
    <col min="15630" max="15872" width="9" style="390"/>
    <col min="15873" max="15873" width="4.88888888888889" style="390" customWidth="1"/>
    <col min="15874" max="15874" width="13.2222222222222" style="390" customWidth="1"/>
    <col min="15875" max="15875" width="15.6666666666667" style="390" customWidth="1"/>
    <col min="15876" max="15876" width="9.33333333333333" style="390" customWidth="1"/>
    <col min="15877" max="15877" width="13.4444444444444" style="390" customWidth="1"/>
    <col min="15878" max="15878" width="9" style="390"/>
    <col min="15879" max="15879" width="9.33333333333333" style="390" customWidth="1"/>
    <col min="15880" max="15881" width="9" style="390"/>
    <col min="15882" max="15882" width="9.33333333333333" style="390" customWidth="1"/>
    <col min="15883" max="15883" width="4" style="390" customWidth="1"/>
    <col min="15884" max="15884" width="5.11111111111111" style="390" customWidth="1"/>
    <col min="15885" max="15885" width="13.7777777777778" style="390" customWidth="1"/>
    <col min="15886" max="16128" width="9" style="390"/>
    <col min="16129" max="16129" width="4.88888888888889" style="390" customWidth="1"/>
    <col min="16130" max="16130" width="13.2222222222222" style="390" customWidth="1"/>
    <col min="16131" max="16131" width="15.6666666666667" style="390" customWidth="1"/>
    <col min="16132" max="16132" width="9.33333333333333" style="390" customWidth="1"/>
    <col min="16133" max="16133" width="13.4444444444444" style="390" customWidth="1"/>
    <col min="16134" max="16134" width="9" style="390"/>
    <col min="16135" max="16135" width="9.33333333333333" style="390" customWidth="1"/>
    <col min="16136" max="16137" width="9" style="390"/>
    <col min="16138" max="16138" width="9.33333333333333" style="390" customWidth="1"/>
    <col min="16139" max="16139" width="4" style="390" customWidth="1"/>
    <col min="16140" max="16140" width="5.11111111111111" style="390" customWidth="1"/>
    <col min="16141" max="16141" width="13.7777777777778"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I10" sqref="I10"/>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0.1958</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v>
      </c>
      <c r="C3" s="38" t="s">
        <v>1356</v>
      </c>
      <c r="D3" s="39">
        <f>IF(D1="",'数据-汇总表'!E3,SUMIF('数据-汇总表'!$C19:$C33,D1,'数据-汇总表'!$E19:$E33))</f>
        <v>444.98</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c r="D10" s="77">
        <v>100</v>
      </c>
      <c r="E10" s="78"/>
      <c r="F10" s="79">
        <f>SUMIF(65:65,E10,66:66)-SUMIF(65:65,C10,66:66)+100</f>
        <v>100</v>
      </c>
      <c r="G10" s="80"/>
      <c r="H10" s="77">
        <f>SUMIF(65:65,G10,66:66)-SUMIF(65:65,C10,66:66)+100</f>
        <v>100</v>
      </c>
      <c r="I10" s="80"/>
      <c r="J10" s="77">
        <f>SUMIF(65:65,I10,66:66)-SUMIF(65:65,C10,66:66)+100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1442</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1442</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4.4</v>
      </c>
      <c r="D48" s="157" t="s">
        <v>1417</v>
      </c>
      <c r="E48" s="158">
        <f>R48</f>
        <v>4.4</v>
      </c>
      <c r="F48" s="159"/>
      <c r="G48" s="156">
        <f>T48</f>
        <v>4.2</v>
      </c>
      <c r="H48" s="159"/>
      <c r="I48" s="158">
        <f>V48</f>
        <v>4.6</v>
      </c>
      <c r="J48" s="159"/>
      <c r="K48" s="236">
        <f>F48+H48+J48</f>
        <v>0</v>
      </c>
      <c r="L48" s="234"/>
      <c r="M48" s="163"/>
      <c r="N48" s="209"/>
      <c r="O48" s="163"/>
      <c r="P48" s="235" t="str">
        <f>A48</f>
        <v>比较价值（元/平方米）</v>
      </c>
      <c r="Q48" s="235"/>
      <c r="R48" s="289">
        <f>IF(F1="售价",ROUND(PRODUCT(R47,AA7:AA46),0),ROUND(PRODUCT(R47,AA7:AA46),1))</f>
        <v>4.4</v>
      </c>
      <c r="S48" s="289"/>
      <c r="T48" s="289">
        <f>IF(F1="售价",ROUND(PRODUCT(T47,AB7:AB46),0),ROUND(PRODUCT(T47,AB7:AB46),1))</f>
        <v>4.2</v>
      </c>
      <c r="U48" s="289"/>
      <c r="V48" s="289">
        <f>IF(F1="售价",ROUND(PRODUCT(V47,AC7:AC46),0),ROUND(PRODUCT(V47,AC7:AC46),1))</f>
        <v>4.6</v>
      </c>
      <c r="W48" s="289"/>
      <c r="X48" s="174"/>
      <c r="Y48" s="174"/>
      <c r="Z48" s="174"/>
      <c r="AA48" s="174"/>
      <c r="AB48" s="174"/>
      <c r="AC48" s="174"/>
    </row>
    <row r="49" ht="15.15" spans="1:29">
      <c r="A49" s="160" t="s">
        <v>1418</v>
      </c>
      <c r="B49" s="161"/>
      <c r="C49" s="162">
        <f>R49</f>
        <v>4.4</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0.0227272727272727</v>
      </c>
      <c r="F52" s="168" t="str">
        <f>IF(OR(E52&gt;=0.3,E52&lt;=-0.3),"超过30%","")</f>
        <v/>
      </c>
      <c r="G52" s="167">
        <f>IF(G47&lt;G48,G48/G47-1,G47/G48-1)</f>
        <v>0.0714285714285714</v>
      </c>
      <c r="H52" s="168" t="str">
        <f>IF(OR(G52&gt;=0.3,G52&lt;=-0.3),"超过30%","")</f>
        <v/>
      </c>
      <c r="I52" s="167">
        <f>IF(I47&lt;I48,I48/I47-1,I47/I48-1)</f>
        <v>0.0502283105022832</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0.0476190476190477</v>
      </c>
      <c r="F53" s="168" t="str">
        <f>IF(OR(E53&gt;=0.2,E53&lt;=-0.2),"超过20%","")</f>
        <v/>
      </c>
      <c r="G53" s="167">
        <f>IF(G48&lt;I48,I48/G48-1,G48/I48-1)</f>
        <v>0.0952380952380951</v>
      </c>
      <c r="H53" s="168" t="str">
        <f>IF(OR(G53&gt;=0.2,G53&lt;=-0.2),"超过20%","")</f>
        <v/>
      </c>
      <c r="I53" s="167">
        <f>IF(I48&lt;E48,E48/I48-1,I48/E48-1)</f>
        <v>0.0454545454545452</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c r="D65" s="309"/>
      <c r="E65" s="308"/>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c r="D66" s="199"/>
      <c r="E66" s="199"/>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abSelected="1" topLeftCell="G7" workbookViewId="0">
      <selection activeCell="R22" sqref="R22"/>
    </sheetView>
  </sheetViews>
  <sheetFormatPr defaultColWidth="9" defaultRowHeight="14.4"/>
  <cols>
    <col min="1" max="11" width="9" style="1"/>
    <col min="12" max="13" width="9.44444444444444" style="1" customWidth="1"/>
    <col min="14" max="14" width="10.4444444444444" style="1" customWidth="1"/>
    <col min="15" max="15" width="10.8888888888889"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[3]系统读取表!$D$14</f>
        <v>587.51</v>
      </c>
      <c r="Q18" s="4">
        <f>P18*10000/L18</f>
        <v>35436.9986127028</v>
      </c>
      <c r="R18" s="4">
        <f>[3]系统读取表!$I$14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 ca="1">[4]系统读取表!$D$14</f>
        <v>640.8209</v>
      </c>
      <c r="Q19" s="4">
        <f ca="1" t="shared" ref="Q19:Q23" si="2">P19*10000/L19</f>
        <v>33390.0010421009</v>
      </c>
      <c r="R19" s="4">
        <f ca="1">[4]系统读取表!$I$14</f>
        <v>634.081</v>
      </c>
      <c r="S19" s="4">
        <f ca="1" t="shared" si="0"/>
        <v>33038.8182576073</v>
      </c>
    </row>
    <row r="20" spans="10:19">
      <c r="J20" s="6">
        <v>3</v>
      </c>
      <c r="K20" s="7" t="s">
        <v>2798</v>
      </c>
      <c r="L20" s="4">
        <v>217.24</v>
      </c>
      <c r="M20" s="8">
        <v>108.62</v>
      </c>
      <c r="N20" s="4">
        <v>2011</v>
      </c>
      <c r="O20" s="4">
        <f t="shared" si="1"/>
        <v>5000</v>
      </c>
      <c r="P20" s="4">
        <f>[5]系统读取表!$G$14</f>
        <v>750.3687</v>
      </c>
      <c r="Q20" s="4">
        <f t="shared" si="2"/>
        <v>34541.0007365126</v>
      </c>
      <c r="R20" s="4">
        <f>[5]系统读取表!$I$14</f>
        <v>650.4424</v>
      </c>
      <c r="S20" s="4">
        <f t="shared" si="0"/>
        <v>29941.1894678696</v>
      </c>
    </row>
    <row r="21" spans="10:19">
      <c r="J21" s="6">
        <v>4</v>
      </c>
      <c r="K21" s="7" t="s">
        <v>2799</v>
      </c>
      <c r="L21" s="4">
        <v>302.69</v>
      </c>
      <c r="M21" s="8">
        <v>151.345</v>
      </c>
      <c r="N21" s="4">
        <v>2007</v>
      </c>
      <c r="O21" s="4">
        <f t="shared" si="1"/>
        <v>5000</v>
      </c>
      <c r="P21" s="4">
        <f>[6]系统读取表!$D$14</f>
        <v>978.5968</v>
      </c>
      <c r="Q21" s="4">
        <f t="shared" si="2"/>
        <v>32330.000991113</v>
      </c>
      <c r="R21" s="4">
        <f>[6]系统读取表!$I$14</f>
        <v>928.242</v>
      </c>
      <c r="S21" s="4">
        <f t="shared" si="0"/>
        <v>30666.4243945951</v>
      </c>
    </row>
    <row r="22" spans="10:19">
      <c r="J22" s="6">
        <v>5</v>
      </c>
      <c r="K22" s="7" t="s">
        <v>2800</v>
      </c>
      <c r="L22" s="4">
        <v>304.51</v>
      </c>
      <c r="M22" s="8">
        <v>152.255</v>
      </c>
      <c r="N22" s="4">
        <v>2011</v>
      </c>
      <c r="O22" s="4">
        <f t="shared" si="1"/>
        <v>5000</v>
      </c>
      <c r="P22" s="4">
        <f>[7]系统读取表!$D$14</f>
        <v>1026.0769</v>
      </c>
      <c r="Q22" s="4">
        <f t="shared" si="2"/>
        <v>33696.0001313586</v>
      </c>
      <c r="R22" s="4">
        <f>[7]系统读取表!$I$14</f>
        <v>893.5871</v>
      </c>
      <c r="S22" s="4">
        <f t="shared" si="0"/>
        <v>29345.0822633083</v>
      </c>
    </row>
    <row r="23" spans="10:19">
      <c r="J23" s="6">
        <v>6</v>
      </c>
      <c r="K23" s="7" t="s">
        <v>2801</v>
      </c>
      <c r="L23" s="4">
        <v>444.98</v>
      </c>
      <c r="M23" s="4">
        <v>222.49</v>
      </c>
      <c r="N23" s="4">
        <v>2011</v>
      </c>
      <c r="O23" s="4">
        <f t="shared" si="1"/>
        <v>5000</v>
      </c>
      <c r="P23" s="4">
        <f ca="1">系统读取表!G14</f>
        <v>1416.3268</v>
      </c>
      <c r="Q23" s="4">
        <f ca="1" t="shared" si="2"/>
        <v>31828.9990561374</v>
      </c>
      <c r="R23" s="4">
        <f ca="1">系统读取表!I14</f>
        <v>1269.442</v>
      </c>
      <c r="S23" s="4">
        <f ca="1" t="shared" si="0"/>
        <v>28528.0686772439</v>
      </c>
    </row>
    <row r="24" spans="10:19">
      <c r="J24" s="9" t="s">
        <v>350</v>
      </c>
      <c r="K24" s="9"/>
      <c r="L24" s="9">
        <f>SUM(L18:L23)</f>
        <v>1627.13</v>
      </c>
      <c r="M24" s="9">
        <f>SUM(M18:M23)</f>
        <v>813.565</v>
      </c>
      <c r="N24" s="9" t="s">
        <v>124</v>
      </c>
      <c r="O24" s="9">
        <f t="shared" ref="O24:P24" si="3">SUM(O18:O23)</f>
        <v>30000</v>
      </c>
      <c r="P24" s="9">
        <f ca="1" t="shared" si="3"/>
        <v>5399.7001</v>
      </c>
      <c r="Q24" s="9"/>
      <c r="R24" s="9">
        <f ca="1">SUM(R18:R23)</f>
        <v>4906.9472</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51" customWidth="1"/>
    <col min="2" max="9" width="12.1111111111111" style="1351" customWidth="1"/>
    <col min="10" max="16384" width="9" style="1351"/>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444.98</v>
      </c>
      <c r="C4" s="3672">
        <f>项目基本情况!C18</f>
        <v>0</v>
      </c>
      <c r="D4" s="3672" t="e">
        <f ca="1">结果表!D118</f>
        <v>#REF!</v>
      </c>
      <c r="E4" s="3672" t="e">
        <f ca="1">结果表!E118</f>
        <v>#REF!</v>
      </c>
      <c r="F4" s="3672" t="e">
        <f ca="1">结果表!F118</f>
        <v>#REF!</v>
      </c>
      <c r="G4" s="3672" t="e">
        <f ca="1">结果表!G118</f>
        <v>#REF!</v>
      </c>
      <c r="H4" s="3672">
        <f ca="1">结果表!H118</f>
        <v>1416</v>
      </c>
      <c r="I4" s="3672">
        <f ca="1">结果表!I118</f>
        <v>31829</v>
      </c>
    </row>
    <row r="5" ht="30" customHeight="1" spans="1:9">
      <c r="A5" s="3672" t="s">
        <v>112</v>
      </c>
      <c r="B5" s="3672"/>
      <c r="C5" s="3672"/>
      <c r="D5" s="3672" t="e">
        <f ca="1">结果表!D119</f>
        <v>#REF!</v>
      </c>
      <c r="E5" s="3672"/>
      <c r="F5" s="3672" t="e">
        <f ca="1">结果表!F119</f>
        <v>#REF!</v>
      </c>
      <c r="G5" s="3672"/>
      <c r="H5" s="3672" t="str">
        <f ca="1">结果表!H119</f>
        <v>壹仟肆佰壹拾陆万元整</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6" spans="1:9">
      <c r="A8" s="3674" t="str">
        <f>结果表!A122</f>
        <v>房地产抵押价值</v>
      </c>
      <c r="B8" s="3674"/>
      <c r="C8" s="3674"/>
      <c r="D8" s="3674">
        <f ca="1">结果表!D122</f>
        <v>1416</v>
      </c>
      <c r="E8" s="3674"/>
      <c r="F8" s="3674"/>
      <c r="G8" s="3674"/>
      <c r="H8" s="3674"/>
      <c r="I8" s="3674"/>
    </row>
    <row r="9" ht="15" spans="1:9">
      <c r="A9" s="3672" t="s">
        <v>112</v>
      </c>
      <c r="B9" s="3672"/>
      <c r="C9" s="3672"/>
      <c r="D9" s="3672" t="str">
        <f ca="1">结果表!D123</f>
        <v>壹仟肆佰壹拾陆万元整</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抵押净值</v>
      </c>
      <c r="B12" s="3674"/>
      <c r="C12" s="3674"/>
      <c r="D12" s="3674">
        <f ca="1">结果表!D126</f>
        <v>1247</v>
      </c>
      <c r="E12" s="3674"/>
      <c r="F12" s="3674"/>
      <c r="G12" s="3674"/>
      <c r="H12" s="3674"/>
      <c r="I12" s="3674"/>
    </row>
    <row r="13" ht="15.75" spans="1:9">
      <c r="A13" s="3677" t="s">
        <v>112</v>
      </c>
      <c r="B13" s="3677"/>
      <c r="C13" s="3677"/>
      <c r="D13" s="3677" t="str">
        <f ca="1">结果表!D127</f>
        <v>壹仟贰佰肆拾柒万元整</v>
      </c>
      <c r="E13" s="3677"/>
      <c r="F13" s="3677"/>
      <c r="G13" s="3677"/>
      <c r="H13" s="3677"/>
      <c r="I13" s="3677"/>
    </row>
    <row r="14" ht="14.55" spans="1:9">
      <c r="A14" s="3678" t="s">
        <v>113</v>
      </c>
      <c r="B14" s="3678"/>
      <c r="C14" s="3678"/>
      <c r="D14" s="3678"/>
      <c r="E14" s="3678"/>
      <c r="F14" s="3678"/>
      <c r="G14" s="3678"/>
      <c r="H14" s="3678"/>
      <c r="I14" s="3678"/>
    </row>
    <row r="16" ht="17.4" spans="1:9">
      <c r="A16" s="3679"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51" customWidth="1"/>
    <col min="2" max="3" width="22.3333333333333" style="1351" customWidth="1"/>
    <col min="4" max="4" width="23" style="1351" customWidth="1"/>
    <col min="5" max="16384" width="9" style="1351"/>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t="str">
        <f>项目基本情况!D4</f>
        <v>崔锴</v>
      </c>
      <c r="B5" s="3654">
        <f ca="1">项目基本情况!E4</f>
        <v>1120100036</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83"/>
      <c r="C23" s="1883"/>
      <c r="D23" s="1883"/>
    </row>
    <row r="24" spans="1:4">
      <c r="A24" s="3666"/>
      <c r="B24" s="1883"/>
      <c r="C24" s="1883"/>
      <c r="D24" s="1883"/>
    </row>
    <row r="25" ht="17.4" spans="1:1">
      <c r="A25" s="3667" t="s">
        <v>130</v>
      </c>
    </row>
    <row r="26" ht="17.4" spans="1:1">
      <c r="A26" s="3668"/>
    </row>
    <row r="27" ht="17.4" spans="1:1">
      <c r="A27" s="3668" t="s">
        <v>131</v>
      </c>
    </row>
    <row r="30" ht="17.4"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6" customWidth="1"/>
    <col min="3" max="10" width="12.4444444444444"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2" customWidth="1"/>
    <col min="2" max="16384" width="14.4444444444444" style="3571"/>
  </cols>
  <sheetData>
    <row r="1" s="3621" customFormat="1" ht="17.4"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4" spans="1:3">
      <c r="A15" s="3632" t="s">
        <v>146</v>
      </c>
      <c r="B15" s="3633" t="s">
        <v>147</v>
      </c>
      <c r="C15" s="3634"/>
    </row>
    <row r="16" ht="14.4" spans="1:3">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1">
      <c r="A34" s="3643" t="s">
        <v>168</v>
      </c>
    </row>
    <row r="37" spans="1:1">
      <c r="A37" s="3643" t="s">
        <v>169</v>
      </c>
    </row>
    <row r="38" ht="14.4" spans="1:1">
      <c r="A38" s="3644" t="s">
        <v>170</v>
      </c>
    </row>
    <row r="39" ht="14.4" spans="1:1">
      <c r="A39" s="3644" t="s">
        <v>171</v>
      </c>
    </row>
    <row r="40" ht="14.4" spans="1:1">
      <c r="A40" s="3644" t="s">
        <v>172</v>
      </c>
    </row>
    <row r="41" ht="14.4" spans="1:1">
      <c r="A41" s="3645" t="s">
        <v>173</v>
      </c>
    </row>
    <row r="42" ht="14.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0" customWidth="1"/>
    <col min="2" max="2" width="38.6666666666667" style="3590" customWidth="1"/>
    <col min="3" max="3" width="26" style="3590" customWidth="1"/>
    <col min="4" max="4" width="35" style="3590" hidden="1" customWidth="1"/>
    <col min="5" max="5" width="30.1111111111111" style="3590" customWidth="1"/>
    <col min="6" max="6" width="35.4444444444444" style="3590" customWidth="1"/>
    <col min="7" max="7" width="31" style="3590" customWidth="1"/>
    <col min="8" max="8" width="37.4444444444444" style="3590" hidden="1" customWidth="1"/>
    <col min="9" max="16384" width="22.6666666666667" style="3590"/>
  </cols>
  <sheetData>
    <row r="1" customHeight="1" spans="1:8">
      <c r="A1" s="3591"/>
      <c r="B1" s="3591"/>
      <c r="C1" s="3591"/>
      <c r="D1" s="3591"/>
      <c r="E1" s="3591"/>
      <c r="F1" s="3591"/>
      <c r="G1" s="3591"/>
      <c r="H1" s="3591"/>
    </row>
    <row r="2" customHeight="1" spans="1:8">
      <c r="A2" s="3592" t="s">
        <v>175</v>
      </c>
      <c r="B2" s="3593">
        <f ca="1">TODAY()</f>
        <v>45054</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2023-05-08T06:49:12Z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