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询价\裕庆路空港段22号院-魏\"/>
    </mc:Choice>
  </mc:AlternateContent>
  <xr:revisionPtr revIDLastSave="0" documentId="13_ncr:1_{279F360F-DD32-44B8-A227-9B8E905AFBEF}" xr6:coauthVersionLast="47" xr6:coauthVersionMax="47" xr10:uidLastSave="{00000000-0000-0000-0000-000000000000}"/>
  <bookViews>
    <workbookView xWindow="-108" yWindow="-108" windowWidth="23256" windowHeight="12576" tabRatio="899" firstSheet="7"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案例" sheetId="8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比较法-商业" sheetId="33"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1"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41">'比较法-商业'!$A$1:$K$54,'比较法-商业'!$A$57:$M$131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G48" i="34"/>
  <c r="F19" i="6"/>
  <c r="I48" i="34"/>
  <c r="J49" i="67" l="1"/>
  <c r="Y6" i="1"/>
  <c r="N6" i="1" l="1"/>
  <c r="N19" i="1"/>
  <c r="B21" i="1"/>
  <c r="E27" i="45"/>
  <c r="G14" i="73" l="1"/>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5" i="79"/>
  <c r="AG35" i="79" s="1"/>
  <c r="S34" i="79"/>
  <c r="AG34" i="79" s="1"/>
  <c r="AA31" i="79"/>
  <c r="AD31" i="79" s="1"/>
  <c r="T40" i="79"/>
  <c r="U46" i="79"/>
  <c r="AI46" i="79" s="1"/>
  <c r="AD47" i="79"/>
  <c r="S48" i="79"/>
  <c r="AG48" i="79" s="1"/>
  <c r="U50" i="79"/>
  <c r="AI50" i="79" s="1"/>
  <c r="AD51" i="79"/>
  <c r="AD36" i="79"/>
  <c r="AD38" i="79"/>
  <c r="AD34" i="79"/>
  <c r="AD37" i="79"/>
  <c r="AD35" i="79"/>
  <c r="AR40" i="79"/>
  <c r="AR41" i="79" s="1"/>
  <c r="AR42" i="79" s="1"/>
  <c r="AR43" i="79" s="1"/>
  <c r="AR44" i="79" s="1"/>
  <c r="AR45" i="79" s="1"/>
  <c r="AR46" i="79" s="1"/>
  <c r="AR47" i="79" s="1"/>
  <c r="AR48" i="79" s="1"/>
  <c r="AR49" i="79" s="1"/>
  <c r="AR50" i="79" s="1"/>
  <c r="AR51" i="79" s="1"/>
  <c r="AR52" i="79" s="1"/>
  <c r="Z3" i="79"/>
  <c r="AR18" i="79"/>
  <c r="AR19" i="79" s="1"/>
  <c r="AR20" i="79" s="1"/>
  <c r="AR21" i="79" s="1"/>
  <c r="AR22" i="79" s="1"/>
  <c r="AR23" i="79" s="1"/>
  <c r="AR24" i="79" s="1"/>
  <c r="T34" i="79"/>
  <c r="T35" i="79"/>
  <c r="T33"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0" i="79" l="1"/>
  <c r="AK10" i="79" s="1"/>
  <c r="AH10"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1" i="79"/>
  <c r="AK11" i="79" s="1"/>
  <c r="AH11" i="79"/>
  <c r="W17" i="79"/>
  <c r="AK17" i="79" s="1"/>
  <c r="AH17" i="79"/>
  <c r="W18" i="79"/>
  <c r="AK18" i="79" s="1"/>
  <c r="AH18" i="79"/>
  <c r="W35" i="79"/>
  <c r="AK35" i="79" s="1"/>
  <c r="AH35" i="79"/>
  <c r="C18" i="78"/>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X26" i="71" s="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C39" i="71"/>
  <c r="C40" i="71" s="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AC18" i="35" s="1"/>
  <c r="H21" i="37"/>
  <c r="AB21" i="37" s="1"/>
  <c r="F21" i="37"/>
  <c r="AA21" i="37" s="1"/>
  <c r="H21" i="34"/>
  <c r="AB21" i="34" s="1"/>
  <c r="H21" i="33"/>
  <c r="F21" i="33"/>
  <c r="E83" i="21"/>
  <c r="F83" i="21" s="1"/>
  <c r="H1" i="69"/>
  <c r="AC25" i="40"/>
  <c r="U29" i="39"/>
  <c r="W29" i="39"/>
  <c r="S21" i="37"/>
  <c r="AA21" i="33"/>
  <c r="S21" i="33"/>
  <c r="J21" i="37"/>
  <c r="W21" i="37" s="1"/>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R5" i="3" s="1"/>
  <c r="BT13" i="3"/>
  <c r="BT14" i="3"/>
  <c r="BT15" i="3"/>
  <c r="BT16" i="3"/>
  <c r="BT5" i="3" s="1"/>
  <c r="BT17" i="3"/>
  <c r="BM14" i="3"/>
  <c r="BM15" i="3"/>
  <c r="BM16" i="3"/>
  <c r="BM5" i="3" s="1"/>
  <c r="BM17" i="3"/>
  <c r="BO13" i="3"/>
  <c r="BO14" i="3"/>
  <c r="BO15" i="3"/>
  <c r="BO16" i="3"/>
  <c r="BO17" i="3"/>
  <c r="BN13" i="3"/>
  <c r="BN14" i="3"/>
  <c r="BL14" i="3" s="1"/>
  <c r="BN15" i="3"/>
  <c r="BN16" i="3"/>
  <c r="BN17" i="3"/>
  <c r="BP13" i="3"/>
  <c r="BP14" i="3"/>
  <c r="BP15" i="3"/>
  <c r="BP16" i="3"/>
  <c r="BP17" i="3"/>
  <c r="BP5" i="3"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A14" i="3" s="1"/>
  <c r="AZ14" i="3" s="1"/>
  <c r="BC14" i="3"/>
  <c r="BD14" i="3"/>
  <c r="BE14" i="3"/>
  <c r="BF14" i="3"/>
  <c r="BG14" i="3"/>
  <c r="BH14" i="3"/>
  <c r="BI14" i="3"/>
  <c r="BJ14" i="3"/>
  <c r="BJ5" i="3" s="1"/>
  <c r="BK14" i="3"/>
  <c r="BB15" i="3"/>
  <c r="BC15" i="3"/>
  <c r="BD15" i="3"/>
  <c r="BD5" i="3" s="1"/>
  <c r="BE15" i="3"/>
  <c r="BF15" i="3"/>
  <c r="BG15" i="3"/>
  <c r="BH15" i="3"/>
  <c r="BH5" i="3" s="1"/>
  <c r="BI15" i="3"/>
  <c r="BJ15" i="3"/>
  <c r="BK15" i="3"/>
  <c r="BB16" i="3"/>
  <c r="BA16" i="3" s="1"/>
  <c r="BC16" i="3"/>
  <c r="BD16" i="3"/>
  <c r="BE16" i="3"/>
  <c r="BF16" i="3"/>
  <c r="BG16" i="3"/>
  <c r="BH16" i="3"/>
  <c r="BI16" i="3"/>
  <c r="BJ16" i="3"/>
  <c r="BK16" i="3"/>
  <c r="BB17" i="3"/>
  <c r="BC17" i="3"/>
  <c r="BD17" i="3"/>
  <c r="BA17" i="3" s="1"/>
  <c r="BE17" i="3"/>
  <c r="BF17" i="3"/>
  <c r="BG17" i="3"/>
  <c r="BH17" i="3"/>
  <c r="BI17" i="3"/>
  <c r="BJ17" i="3"/>
  <c r="BK17" i="3"/>
  <c r="BC10" i="3"/>
  <c r="BD10" i="3"/>
  <c r="BB10" i="3"/>
  <c r="H13" i="3"/>
  <c r="E19" i="6" s="1"/>
  <c r="D33" i="43" s="1"/>
  <c r="D1" i="4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G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c r="Q26" i="36"/>
  <c r="Z26" i="36" s="1"/>
  <c r="H26" i="36"/>
  <c r="AB26" i="36" s="1"/>
  <c r="Q25" i="36"/>
  <c r="Z25" i="36" s="1"/>
  <c r="Q24" i="36"/>
  <c r="Z24" i="36" s="1"/>
  <c r="Q23" i="36"/>
  <c r="Z23" i="36"/>
  <c r="J23" i="36"/>
  <c r="AC23" i="36" s="1"/>
  <c r="Q22" i="36"/>
  <c r="Z22" i="36" s="1"/>
  <c r="J22" i="36"/>
  <c r="AC22" i="36" s="1"/>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s="1"/>
  <c r="F91" i="33" s="1"/>
  <c r="B88" i="33"/>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s="1"/>
  <c r="W45" i="21" s="1"/>
  <c r="B126" i="21"/>
  <c r="F44" i="21" s="1"/>
  <c r="AA44" i="21" s="1"/>
  <c r="B98" i="21"/>
  <c r="H31" i="21"/>
  <c r="B96" i="21"/>
  <c r="B94" i="21"/>
  <c r="J29" i="21" s="1"/>
  <c r="AC29" i="21" s="1"/>
  <c r="B92" i="21"/>
  <c r="H28" i="21" s="1"/>
  <c r="AB28" i="21" s="1"/>
  <c r="B90" i="21"/>
  <c r="J27" i="21" s="1"/>
  <c r="W27" i="21"/>
  <c r="B74" i="2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F45" i="39"/>
  <c r="S45" i="39"/>
  <c r="J45" i="39"/>
  <c r="W45" i="39" s="1"/>
  <c r="F36" i="39"/>
  <c r="S36" i="39" s="1"/>
  <c r="H36" i="39"/>
  <c r="AB36" i="39" s="1"/>
  <c r="J35" i="39"/>
  <c r="AC35" i="39" s="1"/>
  <c r="F35" i="39"/>
  <c r="AA35" i="39" s="1"/>
  <c r="J36" i="39"/>
  <c r="AC36" i="39" s="1"/>
  <c r="U9" i="39"/>
  <c r="W40" i="39"/>
  <c r="W25" i="37"/>
  <c r="W31" i="37"/>
  <c r="F39" i="37"/>
  <c r="S39" i="37" s="1"/>
  <c r="F29" i="36"/>
  <c r="AA29" i="36" s="1"/>
  <c r="F16" i="36"/>
  <c r="AA16" i="36" s="1"/>
  <c r="W28" i="36"/>
  <c r="U31" i="36"/>
  <c r="J33" i="36"/>
  <c r="AC33" i="36" s="1"/>
  <c r="H22" i="35"/>
  <c r="AB22" i="35"/>
  <c r="W28" i="35"/>
  <c r="U31" i="35"/>
  <c r="S31" i="35"/>
  <c r="F36" i="34"/>
  <c r="J35" i="34"/>
  <c r="H39" i="33"/>
  <c r="AB39" i="33"/>
  <c r="U33" i="33"/>
  <c r="S40" i="33"/>
  <c r="W33" i="33"/>
  <c r="W39" i="33"/>
  <c r="H39" i="37"/>
  <c r="AB39" i="37" s="1"/>
  <c r="S27" i="35"/>
  <c r="F11" i="40"/>
  <c r="AA11" i="40"/>
  <c r="H11" i="40"/>
  <c r="AB11" i="40"/>
  <c r="W8" i="40"/>
  <c r="AB39" i="40"/>
  <c r="AA9" i="40"/>
  <c r="U9" i="40"/>
  <c r="S34"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AC27" i="39" s="1"/>
  <c r="F27" i="39"/>
  <c r="F11" i="21"/>
  <c r="S11" i="21" s="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W32" i="40"/>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24" i="36"/>
  <c r="AA24" i="36" s="1"/>
  <c r="F34" i="36"/>
  <c r="S3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W15" i="34" s="1"/>
  <c r="H15" i="34"/>
  <c r="AB15" i="34" s="1"/>
  <c r="W8" i="34"/>
  <c r="J28" i="34"/>
  <c r="W28" i="34"/>
  <c r="F41" i="33"/>
  <c r="AA41" i="33"/>
  <c r="E113" i="33"/>
  <c r="F32" i="33"/>
  <c r="AA32" i="33"/>
  <c r="J19" i="33"/>
  <c r="AC19" i="33"/>
  <c r="J15" i="33"/>
  <c r="AC15" i="33"/>
  <c r="F11" i="33"/>
  <c r="AA11" i="33" s="1"/>
  <c r="W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s="1"/>
  <c r="J42" i="21"/>
  <c r="AC42" i="21" s="1"/>
  <c r="H42" i="21"/>
  <c r="U42" i="21" s="1"/>
  <c r="J44" i="34"/>
  <c r="W44" i="34" s="1"/>
  <c r="F44" i="34"/>
  <c r="AA44" i="34"/>
  <c r="J10" i="35"/>
  <c r="AC10" i="35" s="1"/>
  <c r="J14" i="21"/>
  <c r="W14" i="21" s="1"/>
  <c r="F14" i="21"/>
  <c r="S14" i="21" s="1"/>
  <c r="H14" i="21"/>
  <c r="U14" i="21"/>
  <c r="F28" i="21"/>
  <c r="AA28" i="21" s="1"/>
  <c r="J28" i="21"/>
  <c r="H30" i="21"/>
  <c r="U30" i="21"/>
  <c r="F30" i="21"/>
  <c r="S30" i="21" s="1"/>
  <c r="J30" i="21"/>
  <c r="AC30" i="21" s="1"/>
  <c r="J44" i="21"/>
  <c r="AC44" i="21" s="1"/>
  <c r="H44" i="21"/>
  <c r="U44" i="21"/>
  <c r="H46" i="21"/>
  <c r="U46" i="21" s="1"/>
  <c r="J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F27" i="21"/>
  <c r="AA27" i="21" s="1"/>
  <c r="J31" i="21"/>
  <c r="AC31" i="21" s="1"/>
  <c r="F31" i="21"/>
  <c r="S31" i="21" s="1"/>
  <c r="F45" i="21"/>
  <c r="AA45" i="21" s="1"/>
  <c r="AA27" i="33"/>
  <c r="J13" i="33"/>
  <c r="H13" i="33"/>
  <c r="U13" i="33" s="1"/>
  <c r="F13" i="33"/>
  <c r="S13" i="33"/>
  <c r="J29" i="33"/>
  <c r="H29" i="33"/>
  <c r="U29" i="33" s="1"/>
  <c r="F29" i="33"/>
  <c r="J31" i="33"/>
  <c r="W31" i="33"/>
  <c r="H31" i="33"/>
  <c r="F31" i="33"/>
  <c r="H45" i="33"/>
  <c r="U45" i="33"/>
  <c r="J45" i="33"/>
  <c r="W45" i="33" s="1"/>
  <c r="F45" i="33"/>
  <c r="J14" i="34"/>
  <c r="W14" i="34" s="1"/>
  <c r="F14" i="34"/>
  <c r="S14" i="34"/>
  <c r="H14" i="34"/>
  <c r="H30" i="34"/>
  <c r="F30" i="34"/>
  <c r="S30" i="34"/>
  <c r="J30" i="34"/>
  <c r="H32" i="34"/>
  <c r="F32" i="34"/>
  <c r="J32" i="34"/>
  <c r="H46" i="34"/>
  <c r="U46" i="34"/>
  <c r="F46" i="34"/>
  <c r="J46" i="34"/>
  <c r="AC46" i="34" s="1"/>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F40" i="37"/>
  <c r="AA40" i="37" s="1"/>
  <c r="AC12" i="40"/>
  <c r="W12" i="40"/>
  <c r="H14" i="33"/>
  <c r="U14" i="33" s="1"/>
  <c r="F14" i="33"/>
  <c r="S14" i="33" s="1"/>
  <c r="J14" i="33"/>
  <c r="H30" i="33"/>
  <c r="AB30" i="33"/>
  <c r="F30" i="33"/>
  <c r="J30" i="33"/>
  <c r="AC30" i="33" s="1"/>
  <c r="H44" i="33"/>
  <c r="J44" i="33"/>
  <c r="AC44" i="33" s="1"/>
  <c r="F44" i="33"/>
  <c r="S44" i="33" s="1"/>
  <c r="J46" i="33"/>
  <c r="AC46" i="33"/>
  <c r="F46" i="33"/>
  <c r="AA46" i="33" s="1"/>
  <c r="H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38" i="37"/>
  <c r="AB38" i="37" s="1"/>
  <c r="J38" i="37"/>
  <c r="AC38" i="37" s="1"/>
  <c r="F38" i="37"/>
  <c r="S38" i="37"/>
  <c r="F43" i="39"/>
  <c r="AA43" i="39" s="1"/>
  <c r="H43" i="39"/>
  <c r="U43"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AA44" i="33"/>
  <c r="AA14" i="33"/>
  <c r="J36" i="37"/>
  <c r="AC36" i="37"/>
  <c r="J10" i="36"/>
  <c r="AC10" i="36" s="1"/>
  <c r="AB30" i="21"/>
  <c r="AA14" i="37"/>
  <c r="AB46" i="34"/>
  <c r="AA14" i="34"/>
  <c r="AB45" i="33"/>
  <c r="S44" i="34"/>
  <c r="BA585" i="3"/>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AZ544" i="3" s="1"/>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BA542" i="3"/>
  <c r="BA540" i="3"/>
  <c r="BA538" i="3"/>
  <c r="AZ538" i="3" s="1"/>
  <c r="BA536" i="3"/>
  <c r="AZ536" i="3" s="1"/>
  <c r="BA534" i="3"/>
  <c r="AZ534" i="3" s="1"/>
  <c r="BA532" i="3"/>
  <c r="BA530" i="3"/>
  <c r="AZ530" i="3" s="1"/>
  <c r="BA528" i="3"/>
  <c r="BA526" i="3"/>
  <c r="BA524" i="3"/>
  <c r="BA522" i="3"/>
  <c r="BA520" i="3"/>
  <c r="BA518" i="3"/>
  <c r="AZ518" i="3" s="1"/>
  <c r="BA516" i="3"/>
  <c r="BA514" i="3"/>
  <c r="AZ514" i="3" s="1"/>
  <c r="BA512" i="3"/>
  <c r="AZ512" i="3"/>
  <c r="BA510" i="3"/>
  <c r="AZ510" i="3"/>
  <c r="BA508" i="3"/>
  <c r="BA506" i="3"/>
  <c r="AZ506" i="3" s="1"/>
  <c r="BA504" i="3"/>
  <c r="AZ504" i="3"/>
  <c r="BA502" i="3"/>
  <c r="BA500" i="3"/>
  <c r="BA498" i="3"/>
  <c r="AZ498" i="3"/>
  <c r="BA496" i="3"/>
  <c r="BA494"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AC5" i="3" s="1"/>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F22" i="36"/>
  <c r="S22" i="36" s="1"/>
  <c r="F26" i="36"/>
  <c r="S26" i="36" s="1"/>
  <c r="H27" i="34"/>
  <c r="AB27" i="34" s="1"/>
  <c r="H35" i="34"/>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W44" i="33"/>
  <c r="U11" i="33"/>
  <c r="U19" i="21"/>
  <c r="W44" i="21"/>
  <c r="AB38" i="21"/>
  <c r="F43" i="33"/>
  <c r="AA43" i="33"/>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E94" i="37"/>
  <c r="F31" i="37"/>
  <c r="S31" i="37" s="1"/>
  <c r="F12" i="39"/>
  <c r="S12" i="39" s="1"/>
  <c r="J42" i="39"/>
  <c r="AC42" i="39" s="1"/>
  <c r="H21" i="40"/>
  <c r="AB21" i="40" s="1"/>
  <c r="F94" i="37"/>
  <c r="G94" i="37" s="1"/>
  <c r="H94" i="37" s="1"/>
  <c r="I94" i="37" s="1"/>
  <c r="J94" i="37" s="1"/>
  <c r="K94" i="37" s="1"/>
  <c r="L94" i="37" s="1"/>
  <c r="M94" i="37" s="1"/>
  <c r="H31" i="37"/>
  <c r="U31" i="37" s="1"/>
  <c r="J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F11" i="39"/>
  <c r="G4" i="4"/>
  <c r="I4" i="4"/>
  <c r="A2" i="9"/>
  <c r="F61" i="43"/>
  <c r="H64" i="43" s="1"/>
  <c r="AZ497" i="3"/>
  <c r="BL549" i="3"/>
  <c r="AZ494"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BL200" i="3"/>
  <c r="G201" i="3"/>
  <c r="BA203" i="3"/>
  <c r="AZ203" i="3" s="1"/>
  <c r="BL204" i="3"/>
  <c r="AZ204" i="3" s="1"/>
  <c r="AZ55"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500" i="3"/>
  <c r="BL303" i="3"/>
  <c r="AZ303" i="3" s="1"/>
  <c r="G304" i="3"/>
  <c r="BA306" i="3"/>
  <c r="BL307" i="3"/>
  <c r="AZ307" i="3" s="1"/>
  <c r="G308" i="3"/>
  <c r="BA310" i="3"/>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37" i="3"/>
  <c r="AZ265" i="3"/>
  <c r="BA379" i="3"/>
  <c r="AZ379" i="3" s="1"/>
  <c r="BL380" i="3"/>
  <c r="G381" i="3"/>
  <c r="BA383" i="3"/>
  <c r="AZ383" i="3" s="1"/>
  <c r="BL384" i="3"/>
  <c r="G385" i="3"/>
  <c r="BA387" i="3"/>
  <c r="AZ387" i="3" s="1"/>
  <c r="BL388" i="3"/>
  <c r="G389" i="3"/>
  <c r="BA391" i="3"/>
  <c r="BL392" i="3"/>
  <c r="AZ392" i="3" s="1"/>
  <c r="G393" i="3"/>
  <c r="AZ283" i="3"/>
  <c r="BO5" i="3"/>
  <c r="BF5" i="3"/>
  <c r="AZ325" i="3"/>
  <c r="AZ496" i="3"/>
  <c r="G548" i="3"/>
  <c r="G538" i="3"/>
  <c r="G520" i="3"/>
  <c r="G502" i="3"/>
  <c r="BS5" i="3"/>
  <c r="BK5" i="3"/>
  <c r="BI5" i="3"/>
  <c r="BG5" i="3"/>
  <c r="BE5" i="3"/>
  <c r="BC5" i="3"/>
  <c r="G17" i="3"/>
  <c r="BB5" i="3"/>
  <c r="AZ380" i="3"/>
  <c r="AZ499" i="3"/>
  <c r="AZ509" i="3"/>
  <c r="G509" i="3"/>
  <c r="BL493" i="3"/>
  <c r="AZ493" i="3"/>
  <c r="U36" i="40"/>
  <c r="F83" i="43"/>
  <c r="H85" i="43" s="1"/>
  <c r="F50" i="43"/>
  <c r="H54" i="43" s="1"/>
  <c r="F72" i="43"/>
  <c r="H75" i="43" s="1"/>
  <c r="U17" i="39"/>
  <c r="S14" i="35"/>
  <c r="U43" i="21"/>
  <c r="U35" i="21"/>
  <c r="AC35" i="21"/>
  <c r="AZ563" i="3"/>
  <c r="AZ501" i="3"/>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J39" i="39"/>
  <c r="AC39" i="39" s="1"/>
  <c r="E96" i="39"/>
  <c r="F96" i="39" s="1"/>
  <c r="G96" i="39" s="1"/>
  <c r="AZ386" i="3"/>
  <c r="C40" i="11"/>
  <c r="AZ240" i="3"/>
  <c r="AZ280" i="3"/>
  <c r="AZ69" i="3"/>
  <c r="AZ82" i="3"/>
  <c r="AZ94" i="3"/>
  <c r="F23" i="39"/>
  <c r="AA23" i="39"/>
  <c r="H27" i="36"/>
  <c r="U27" i="36" s="1"/>
  <c r="F27" i="36"/>
  <c r="AA27" i="36" s="1"/>
  <c r="H33" i="34"/>
  <c r="U33" i="34"/>
  <c r="F32" i="37"/>
  <c r="AA32" i="37"/>
  <c r="H96" i="37"/>
  <c r="I96" i="37" s="1"/>
  <c r="J96" i="37" s="1"/>
  <c r="K96" i="37" s="1"/>
  <c r="L96" i="37" s="1"/>
  <c r="M96" i="37" s="1"/>
  <c r="F20" i="36"/>
  <c r="J33" i="34"/>
  <c r="AC33" i="34" s="1"/>
  <c r="H23" i="39"/>
  <c r="U23" i="39" s="1"/>
  <c r="D48" i="9"/>
  <c r="M52" i="9" s="1"/>
  <c r="K9" i="1"/>
  <c r="M9" i="1" s="1"/>
  <c r="W27" i="34"/>
  <c r="AC27" i="34"/>
  <c r="AB34" i="36"/>
  <c r="U34" i="36"/>
  <c r="AB33" i="36"/>
  <c r="U33" i="36"/>
  <c r="AC12" i="39"/>
  <c r="W12" i="39"/>
  <c r="AC39" i="40"/>
  <c r="W39" i="40"/>
  <c r="W12" i="33"/>
  <c r="AC12" i="33"/>
  <c r="AA32" i="36"/>
  <c r="S32" i="36"/>
  <c r="AZ473" i="3"/>
  <c r="U30" i="33"/>
  <c r="AC13" i="34"/>
  <c r="AA47" i="34"/>
  <c r="W28" i="37"/>
  <c r="S19" i="39"/>
  <c r="F12" i="33"/>
  <c r="H12" i="39"/>
  <c r="AB12" i="39" s="1"/>
  <c r="F39" i="40"/>
  <c r="AZ367" i="3"/>
  <c r="AZ189" i="3"/>
  <c r="B12" i="1"/>
  <c r="E12" i="1" s="1"/>
  <c r="B10" i="1"/>
  <c r="E10" i="1" s="1"/>
  <c r="K12" i="1"/>
  <c r="M12" i="1" s="1"/>
  <c r="S13" i="1"/>
  <c r="AR13" i="1" s="1"/>
  <c r="R13" i="1"/>
  <c r="AA34" i="33"/>
  <c r="AB37" i="40"/>
  <c r="S35" i="40"/>
  <c r="U35" i="40"/>
  <c r="AC36" i="40"/>
  <c r="AA32" i="40"/>
  <c r="S17" i="40"/>
  <c r="S23" i="40"/>
  <c r="AC17" i="40"/>
  <c r="AC15" i="40"/>
  <c r="AB27" i="40"/>
  <c r="S30" i="40"/>
  <c r="AA19"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2" i="39"/>
  <c r="U13" i="36"/>
  <c r="U26" i="36"/>
  <c r="S33" i="36"/>
  <c r="AA26" i="36"/>
  <c r="AA34" i="36"/>
  <c r="AC26" i="36"/>
  <c r="AA22" i="36"/>
  <c r="W14" i="36"/>
  <c r="AB14" i="36"/>
  <c r="U22" i="36"/>
  <c r="S16" i="36"/>
  <c r="AA25" i="36"/>
  <c r="S24" i="36"/>
  <c r="U23" i="36"/>
  <c r="AB20" i="36"/>
  <c r="U16"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U39" i="34"/>
  <c r="S43" i="34"/>
  <c r="AB41" i="34"/>
  <c r="AA45" i="34"/>
  <c r="AA25" i="34"/>
  <c r="U28" i="34"/>
  <c r="S17" i="34"/>
  <c r="AA29" i="34"/>
  <c r="U27" i="34"/>
  <c r="S23" i="34"/>
  <c r="U15" i="34"/>
  <c r="S13"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S23" i="21"/>
  <c r="E85" i="21"/>
  <c r="AA14" i="21"/>
  <c r="D120" i="9"/>
  <c r="D121" i="9" s="1"/>
  <c r="D7" i="52" s="1"/>
  <c r="C18" i="9"/>
  <c r="D18" i="9" s="1"/>
  <c r="F34" i="67"/>
  <c r="F62" i="67" s="1"/>
  <c r="M20" i="67"/>
  <c r="F34" i="15"/>
  <c r="F62" i="15" s="1"/>
  <c r="G13" i="3"/>
  <c r="BL13" i="3"/>
  <c r="J56" i="9"/>
  <c r="J57" i="9" s="1"/>
  <c r="J59" i="9" s="1"/>
  <c r="J61" i="9" s="1"/>
  <c r="A24" i="51"/>
  <c r="B18" i="72" s="1"/>
  <c r="U29" i="34"/>
  <c r="E5" i="6"/>
  <c r="E32" i="6"/>
  <c r="E19" i="69"/>
  <c r="E19" i="68"/>
  <c r="E19" i="11"/>
  <c r="G22" i="68"/>
  <c r="C6" i="43"/>
  <c r="B19" i="53"/>
  <c r="B37" i="72"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43" i="39"/>
  <c r="AB11" i="39"/>
  <c r="U11" i="39"/>
  <c r="AA27" i="39"/>
  <c r="S27" i="39"/>
  <c r="W17" i="39"/>
  <c r="AC17" i="39"/>
  <c r="W31" i="39"/>
  <c r="AC31" i="39"/>
  <c r="S23" i="39"/>
  <c r="AA45" i="39"/>
  <c r="AB39" i="39"/>
  <c r="W34" i="39"/>
  <c r="U38" i="39"/>
  <c r="S8" i="39"/>
  <c r="AC25" i="36"/>
  <c r="U32" i="36"/>
  <c r="W29" i="36"/>
  <c r="U25" i="36"/>
  <c r="AB28" i="36"/>
  <c r="AA13" i="36"/>
  <c r="W9" i="36"/>
  <c r="W22" i="36"/>
  <c r="W23" i="36"/>
  <c r="AB20"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29" i="34"/>
  <c r="W29" i="34"/>
  <c r="W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42" i="21"/>
  <c r="AC45" i="21"/>
  <c r="F10" i="21"/>
  <c r="AA10" i="21" s="1"/>
  <c r="K145"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AC23" i="21" s="1"/>
  <c r="F85" i="21"/>
  <c r="G85" i="21" s="1"/>
  <c r="H23" i="21"/>
  <c r="AB23" i="21" s="1"/>
  <c r="D6" i="52"/>
  <c r="AP7" i="1"/>
  <c r="AB45" i="21"/>
  <c r="AB9" i="21"/>
  <c r="U9" i="21"/>
  <c r="AA32" i="21"/>
  <c r="S32" i="21"/>
  <c r="AB32" i="21"/>
  <c r="U32" i="21"/>
  <c r="U32" i="39"/>
  <c r="AC32" i="39"/>
  <c r="W32" i="39"/>
  <c r="W23" i="37"/>
  <c r="AC23" i="37"/>
  <c r="J63" i="37"/>
  <c r="K63" i="37" s="1"/>
  <c r="L63" i="37" s="1"/>
  <c r="M63" i="37" s="1"/>
  <c r="J11" i="37"/>
  <c r="AC11" i="37" s="1"/>
  <c r="J11" i="34"/>
  <c r="W11" i="34" s="1"/>
  <c r="AB36" i="33"/>
  <c r="W27" i="33"/>
  <c r="AC27" i="33"/>
  <c r="W25" i="33"/>
  <c r="AC25" i="33"/>
  <c r="AB19" i="33"/>
  <c r="U19"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B9" i="76"/>
  <c r="F3" i="73"/>
  <c r="F6" i="73"/>
  <c r="E12" i="76"/>
  <c r="E8" i="76"/>
  <c r="B8" i="76"/>
  <c r="F7" i="73"/>
  <c r="E2" i="69"/>
  <c r="D6" i="73"/>
  <c r="F20" i="31"/>
  <c r="AO13" i="1"/>
  <c r="B12" i="76"/>
  <c r="B10" i="76"/>
  <c r="E9" i="76"/>
  <c r="E2" i="68"/>
  <c r="B13" i="76"/>
  <c r="F4" i="73"/>
  <c r="E10" i="76"/>
  <c r="B7" i="76"/>
  <c r="F5" i="73"/>
  <c r="E13" i="76"/>
  <c r="E11" i="76"/>
  <c r="E7" i="76"/>
  <c r="BA15" i="3" l="1"/>
  <c r="BL17" i="3"/>
  <c r="AZ17" i="3" s="1"/>
  <c r="BN5" i="3"/>
  <c r="G29" i="6" s="1"/>
  <c r="E29" i="6" s="1"/>
  <c r="K15" i="1" s="1"/>
  <c r="BL16" i="3"/>
  <c r="AZ16" i="3" s="1"/>
  <c r="BA20" i="3"/>
  <c r="G1" i="67"/>
  <c r="K1" i="12"/>
  <c r="U34" i="34"/>
  <c r="BA22" i="3"/>
  <c r="J51" i="67"/>
  <c r="C7" i="21"/>
  <c r="D55" i="43"/>
  <c r="D93" i="9"/>
  <c r="B41" i="1"/>
  <c r="G22" i="69"/>
  <c r="G22" i="11"/>
  <c r="E1" i="73"/>
  <c r="G26" i="12"/>
  <c r="G1" i="69"/>
  <c r="G1" i="68"/>
  <c r="K6" i="1"/>
  <c r="G1" i="15"/>
  <c r="M47" i="9"/>
  <c r="C7" i="35"/>
  <c r="C48" i="35" s="1"/>
  <c r="D48" i="35" s="1"/>
  <c r="E48" i="35" s="1"/>
  <c r="C7" i="36"/>
  <c r="C46" i="36" s="1"/>
  <c r="D46" i="36" s="1"/>
  <c r="E46" i="36" s="1"/>
  <c r="F46" i="36" s="1"/>
  <c r="G46" i="36" s="1"/>
  <c r="H46" i="36" s="1"/>
  <c r="I46" i="36" s="1"/>
  <c r="G23" i="43"/>
  <c r="C23" i="43" s="1"/>
  <c r="C7" i="33"/>
  <c r="C7" i="40"/>
  <c r="C63" i="40" s="1"/>
  <c r="C7" i="39"/>
  <c r="C67" i="39" s="1"/>
  <c r="C69" i="39" s="1"/>
  <c r="C42" i="1"/>
  <c r="C24" i="12" s="1"/>
  <c r="U23" i="21"/>
  <c r="W23" i="21"/>
  <c r="AA17" i="33"/>
  <c r="W37" i="37"/>
  <c r="U14" i="40"/>
  <c r="AB14" i="40"/>
  <c r="AA11" i="36"/>
  <c r="S11" i="36"/>
  <c r="W28" i="21"/>
  <c r="AC28" i="21"/>
  <c r="AZ389" i="3"/>
  <c r="AA38" i="40"/>
  <c r="S38" i="40"/>
  <c r="AC9" i="21"/>
  <c r="S13" i="21"/>
  <c r="W17" i="21"/>
  <c r="W15" i="21"/>
  <c r="AA20" i="36"/>
  <c r="S20" i="36"/>
  <c r="S39" i="39"/>
  <c r="AA39" i="39"/>
  <c r="W20" i="36"/>
  <c r="AC20" i="36"/>
  <c r="S11" i="39"/>
  <c r="AA11" i="39"/>
  <c r="W15" i="37"/>
  <c r="AC15" i="37"/>
  <c r="S15" i="37"/>
  <c r="AA15" i="37"/>
  <c r="W12" i="37"/>
  <c r="AC12" i="37"/>
  <c r="U35" i="34"/>
  <c r="AB35" i="34"/>
  <c r="AA14" i="36"/>
  <c r="S14" i="36"/>
  <c r="AZ532" i="3"/>
  <c r="W25" i="35"/>
  <c r="AC25" i="35"/>
  <c r="AB46" i="33"/>
  <c r="U46" i="33"/>
  <c r="AA45" i="33"/>
  <c r="S45" i="33"/>
  <c r="S29" i="33"/>
  <c r="AA29" i="33"/>
  <c r="AZ310" i="3"/>
  <c r="AZ378" i="3"/>
  <c r="W11" i="39"/>
  <c r="AC11" i="39"/>
  <c r="W40" i="37"/>
  <c r="AC40" i="37"/>
  <c r="W32" i="34"/>
  <c r="AC32" i="34"/>
  <c r="AB26" i="33"/>
  <c r="U26" i="33"/>
  <c r="S15" i="39"/>
  <c r="S28" i="40"/>
  <c r="AC34" i="33"/>
  <c r="F29" i="6"/>
  <c r="AZ391" i="3"/>
  <c r="AZ318" i="3"/>
  <c r="AZ364" i="3"/>
  <c r="AZ329" i="3"/>
  <c r="AZ304" i="3"/>
  <c r="AZ306" i="3"/>
  <c r="AZ535" i="3"/>
  <c r="AZ577" i="3"/>
  <c r="AZ557" i="3"/>
  <c r="AZ513" i="3"/>
  <c r="AZ575" i="3"/>
  <c r="AZ528" i="3"/>
  <c r="AZ566" i="3"/>
  <c r="AZ574" i="3"/>
  <c r="AZ582" i="3"/>
  <c r="AZ540" i="3"/>
  <c r="AZ502" i="3"/>
  <c r="S35" i="39"/>
  <c r="W31" i="34"/>
  <c r="H29" i="21"/>
  <c r="J13" i="21"/>
  <c r="AC11" i="40"/>
  <c r="U40" i="33"/>
  <c r="F23" i="35"/>
  <c r="W22" i="35"/>
  <c r="BL585" i="3"/>
  <c r="H9" i="33"/>
  <c r="J12" i="35"/>
  <c r="H12" i="36"/>
  <c r="W31" i="35"/>
  <c r="AC31" i="35"/>
  <c r="J26" i="33"/>
  <c r="F26" i="33"/>
  <c r="AC9" i="34"/>
  <c r="W9" i="34"/>
  <c r="W27" i="35"/>
  <c r="AC27" i="35"/>
  <c r="J24" i="36"/>
  <c r="H24" i="36"/>
  <c r="H38" i="40"/>
  <c r="J38" i="40"/>
  <c r="AZ345" i="3"/>
  <c r="AZ372" i="3"/>
  <c r="AZ347" i="3"/>
  <c r="AZ337" i="3"/>
  <c r="AZ376" i="3"/>
  <c r="AZ309" i="3"/>
  <c r="AZ549" i="3"/>
  <c r="AZ515" i="3"/>
  <c r="AZ569" i="3"/>
  <c r="AZ571" i="3"/>
  <c r="AZ579" i="3"/>
  <c r="AZ516" i="3"/>
  <c r="AZ524" i="3"/>
  <c r="AC11" i="35"/>
  <c r="S38" i="33"/>
  <c r="F12" i="36"/>
  <c r="S40" i="21"/>
  <c r="U35" i="33"/>
  <c r="U34" i="35"/>
  <c r="BL587" i="3"/>
  <c r="AZ587" i="3" s="1"/>
  <c r="BL586" i="3"/>
  <c r="AZ586" i="3" s="1"/>
  <c r="B75" i="43"/>
  <c r="H23" i="35"/>
  <c r="AC31" i="40"/>
  <c r="W31" i="40"/>
  <c r="BL550" i="3"/>
  <c r="AZ505" i="3"/>
  <c r="AZ525" i="3"/>
  <c r="AZ529" i="3"/>
  <c r="AZ537" i="3"/>
  <c r="AZ526" i="3"/>
  <c r="AZ564" i="3"/>
  <c r="AZ580" i="3"/>
  <c r="AZ585" i="3"/>
  <c r="W41" i="33"/>
  <c r="F23" i="36"/>
  <c r="U30" i="37"/>
  <c r="J44" i="39"/>
  <c r="G587" i="3"/>
  <c r="F44" i="39"/>
  <c r="G582" i="3"/>
  <c r="G574" i="3"/>
  <c r="BA551" i="3"/>
  <c r="AZ551" i="3" s="1"/>
  <c r="BA550" i="3"/>
  <c r="BL548" i="3"/>
  <c r="AZ548" i="3" s="1"/>
  <c r="AZ400" i="3"/>
  <c r="AZ443" i="3"/>
  <c r="AZ487" i="3"/>
  <c r="AZ469" i="3"/>
  <c r="G552" i="3"/>
  <c r="AZ419" i="3"/>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L215" i="3"/>
  <c r="BA218" i="3"/>
  <c r="BL218" i="3"/>
  <c r="G558" i="3"/>
  <c r="BL398" i="3"/>
  <c r="G402" i="3"/>
  <c r="BL403" i="3"/>
  <c r="AZ403" i="3" s="1"/>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BL365" i="3"/>
  <c r="AZ365" i="3" s="1"/>
  <c r="BA368" i="3"/>
  <c r="BL368" i="3"/>
  <c r="BA374" i="3"/>
  <c r="AZ374" i="3" s="1"/>
  <c r="BA388" i="3"/>
  <c r="AZ388" i="3" s="1"/>
  <c r="BA396" i="3"/>
  <c r="BA209" i="3"/>
  <c r="BL213" i="3"/>
  <c r="BA216" i="3"/>
  <c r="AZ216" i="3" s="1"/>
  <c r="BA220" i="3"/>
  <c r="BA221" i="3"/>
  <c r="BA225" i="3"/>
  <c r="G228" i="3"/>
  <c r="BA233" i="3"/>
  <c r="BA245" i="3"/>
  <c r="AZ245" i="3" s="1"/>
  <c r="BA257" i="3"/>
  <c r="AZ257" i="3" s="1"/>
  <c r="BA270" i="3"/>
  <c r="G273" i="3"/>
  <c r="BL289" i="3"/>
  <c r="BA301" i="3"/>
  <c r="AZ301" i="3" s="1"/>
  <c r="BL122" i="3"/>
  <c r="BA134" i="3"/>
  <c r="G170" i="3"/>
  <c r="BL15" i="3"/>
  <c r="AZ15" i="3" s="1"/>
  <c r="BA398" i="3"/>
  <c r="AZ398" i="3" s="1"/>
  <c r="BA399" i="3"/>
  <c r="AZ399" i="3" s="1"/>
  <c r="BL401" i="3"/>
  <c r="AZ401" i="3" s="1"/>
  <c r="BL404" i="3"/>
  <c r="AZ404" i="3" s="1"/>
  <c r="BL405" i="3"/>
  <c r="AZ405" i="3" s="1"/>
  <c r="BL407" i="3"/>
  <c r="AZ407" i="3" s="1"/>
  <c r="BA412" i="3"/>
  <c r="AZ412" i="3" s="1"/>
  <c r="BA414" i="3"/>
  <c r="BA415" i="3"/>
  <c r="AZ415" i="3" s="1"/>
  <c r="BA416" i="3"/>
  <c r="AZ416" i="3" s="1"/>
  <c r="BA418" i="3"/>
  <c r="AZ418" i="3" s="1"/>
  <c r="BA421" i="3"/>
  <c r="AZ421" i="3" s="1"/>
  <c r="BA423" i="3"/>
  <c r="AZ423" i="3" s="1"/>
  <c r="BA425" i="3"/>
  <c r="BA426" i="3"/>
  <c r="BA427" i="3"/>
  <c r="AZ427" i="3" s="1"/>
  <c r="BA433" i="3"/>
  <c r="AZ433" i="3" s="1"/>
  <c r="BA435" i="3"/>
  <c r="AZ435" i="3" s="1"/>
  <c r="BL437" i="3"/>
  <c r="AZ437" i="3" s="1"/>
  <c r="G439" i="3"/>
  <c r="BL441" i="3"/>
  <c r="AZ441" i="3" s="1"/>
  <c r="BL442" i="3"/>
  <c r="BL444" i="3"/>
  <c r="AZ444" i="3" s="1"/>
  <c r="G446" i="3"/>
  <c r="BL448" i="3"/>
  <c r="AZ448" i="3" s="1"/>
  <c r="G450" i="3"/>
  <c r="BA454" i="3"/>
  <c r="AZ454" i="3" s="1"/>
  <c r="BA457" i="3"/>
  <c r="BA459" i="3"/>
  <c r="AZ459" i="3" s="1"/>
  <c r="BA460" i="3"/>
  <c r="BA461" i="3"/>
  <c r="AZ461" i="3" s="1"/>
  <c r="BL464" i="3"/>
  <c r="AZ464" i="3" s="1"/>
  <c r="BL466" i="3"/>
  <c r="AZ466" i="3" s="1"/>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G217" i="3"/>
  <c r="BL217" i="3"/>
  <c r="AZ217" i="3" s="1"/>
  <c r="BA219" i="3"/>
  <c r="AZ219" i="3" s="1"/>
  <c r="BA222" i="3"/>
  <c r="AZ222" i="3" s="1"/>
  <c r="BA224" i="3"/>
  <c r="AZ224" i="3" s="1"/>
  <c r="BA231" i="3"/>
  <c r="BL252" i="3"/>
  <c r="BA255" i="3"/>
  <c r="BL272" i="3"/>
  <c r="BL146" i="3"/>
  <c r="AZ146" i="3" s="1"/>
  <c r="BL154" i="3"/>
  <c r="F40" i="69"/>
  <c r="C40" i="69"/>
  <c r="C64" i="71"/>
  <c r="D63" i="71"/>
  <c r="Y26" i="71"/>
  <c r="Z26" i="71" s="1"/>
  <c r="Y25" i="71"/>
  <c r="Z25" i="71" s="1"/>
  <c r="AA3" i="71"/>
  <c r="BA227" i="3"/>
  <c r="AZ227" i="3" s="1"/>
  <c r="BA229" i="3"/>
  <c r="AZ229" i="3" s="1"/>
  <c r="BL229" i="3"/>
  <c r="BL231" i="3"/>
  <c r="BL233" i="3"/>
  <c r="BL235" i="3"/>
  <c r="AZ235" i="3" s="1"/>
  <c r="BL236" i="3"/>
  <c r="BL238" i="3"/>
  <c r="BL243" i="3"/>
  <c r="BA247" i="3"/>
  <c r="AZ247" i="3" s="1"/>
  <c r="BL247" i="3"/>
  <c r="BA249" i="3"/>
  <c r="AZ249" i="3" s="1"/>
  <c r="BL249" i="3"/>
  <c r="BA251" i="3"/>
  <c r="AZ251" i="3" s="1"/>
  <c r="BL251" i="3"/>
  <c r="BA253" i="3"/>
  <c r="BL260" i="3"/>
  <c r="BL263" i="3"/>
  <c r="BL270" i="3"/>
  <c r="BA272" i="3"/>
  <c r="AZ272" i="3" s="1"/>
  <c r="BL275" i="3"/>
  <c r="AZ275" i="3" s="1"/>
  <c r="BL285" i="3"/>
  <c r="BL287" i="3"/>
  <c r="BA290" i="3"/>
  <c r="BL299" i="3"/>
  <c r="BL113" i="3"/>
  <c r="BL115" i="3"/>
  <c r="AZ115" i="3" s="1"/>
  <c r="BA118" i="3"/>
  <c r="AZ118" i="3" s="1"/>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BA182" i="3"/>
  <c r="BL185" i="3"/>
  <c r="BL193" i="3"/>
  <c r="BL194" i="3"/>
  <c r="AZ194" i="3" s="1"/>
  <c r="BA198" i="3"/>
  <c r="G27" i="3"/>
  <c r="BA27" i="3"/>
  <c r="AZ27" i="3" s="1"/>
  <c r="BL45" i="3"/>
  <c r="B13" i="1"/>
  <c r="E13" i="1" s="1"/>
  <c r="K13" i="1"/>
  <c r="M13" i="1" s="1"/>
  <c r="O13" i="1" s="1"/>
  <c r="P13" i="1" s="1"/>
  <c r="T32" i="71"/>
  <c r="D32" i="71"/>
  <c r="X33" i="71"/>
  <c r="X34" i="71"/>
  <c r="X36" i="71"/>
  <c r="X35" i="71"/>
  <c r="AB37" i="71"/>
  <c r="AB35" i="71"/>
  <c r="F38" i="71"/>
  <c r="F39" i="71" s="1"/>
  <c r="F40" i="71" s="1"/>
  <c r="V40" i="71" s="1"/>
  <c r="AB32" i="71"/>
  <c r="AB27" i="71"/>
  <c r="C47" i="71"/>
  <c r="D47" i="71" s="1"/>
  <c r="D46" i="71"/>
  <c r="G392" i="3"/>
  <c r="BA397" i="3"/>
  <c r="AZ397" i="3" s="1"/>
  <c r="BL397" i="3"/>
  <c r="BA210" i="3"/>
  <c r="BL210" i="3"/>
  <c r="BL212" i="3"/>
  <c r="AZ212" i="3" s="1"/>
  <c r="G214" i="3"/>
  <c r="BL214" i="3"/>
  <c r="AZ214" i="3" s="1"/>
  <c r="G216" i="3"/>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L183" i="3"/>
  <c r="AZ183" i="3" s="1"/>
  <c r="BA186" i="3"/>
  <c r="AZ186" i="3" s="1"/>
  <c r="BA190" i="3"/>
  <c r="AZ190" i="3" s="1"/>
  <c r="BA197" i="3"/>
  <c r="AZ197" i="3" s="1"/>
  <c r="BA201" i="3"/>
  <c r="AZ201" i="3" s="1"/>
  <c r="BA202" i="3"/>
  <c r="BL206" i="3"/>
  <c r="BA19" i="3"/>
  <c r="AZ19" i="3" s="1"/>
  <c r="BA33" i="3"/>
  <c r="BA38" i="3"/>
  <c r="BL40" i="3"/>
  <c r="AZ40" i="3" s="1"/>
  <c r="BL41" i="3"/>
  <c r="AZ41" i="3" s="1"/>
  <c r="BA50" i="3"/>
  <c r="BA51" i="3"/>
  <c r="G55" i="3"/>
  <c r="BL56" i="3"/>
  <c r="BA58" i="3"/>
  <c r="BL59" i="3"/>
  <c r="AZ59" i="3" s="1"/>
  <c r="BL60" i="3"/>
  <c r="BA61" i="3"/>
  <c r="AZ61" i="3" s="1"/>
  <c r="C51" i="71"/>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BL198" i="3"/>
  <c r="BL199" i="3"/>
  <c r="AZ199" i="3" s="1"/>
  <c r="BA200" i="3"/>
  <c r="AZ200" i="3" s="1"/>
  <c r="G204" i="3"/>
  <c r="BA30" i="3"/>
  <c r="BA31" i="3"/>
  <c r="AZ31" i="3" s="1"/>
  <c r="BA32" i="3"/>
  <c r="G48" i="3"/>
  <c r="BL48" i="3"/>
  <c r="AZ48" i="3" s="1"/>
  <c r="AZ65" i="3"/>
  <c r="W21" i="21"/>
  <c r="U21" i="33"/>
  <c r="AB21" i="33"/>
  <c r="C55" i="71"/>
  <c r="D54" i="71"/>
  <c r="BA68" i="3"/>
  <c r="BA73" i="3"/>
  <c r="G81" i="3"/>
  <c r="BL85" i="3"/>
  <c r="BA86" i="3"/>
  <c r="BL97" i="3"/>
  <c r="AZ97" i="3" s="1"/>
  <c r="G103" i="3"/>
  <c r="BA103" i="3"/>
  <c r="AZ103" i="3" s="1"/>
  <c r="BA104" i="3"/>
  <c r="AZ104" i="3" s="1"/>
  <c r="BA106" i="3"/>
  <c r="BL108" i="3"/>
  <c r="AZ108" i="3" s="1"/>
  <c r="U21" i="37"/>
  <c r="AB25" i="71"/>
  <c r="AB28" i="71"/>
  <c r="AB26" i="71"/>
  <c r="Y30" i="71"/>
  <c r="Z30" i="71" s="1"/>
  <c r="C34" i="71"/>
  <c r="Y28" i="71"/>
  <c r="Z28" i="71" s="1"/>
  <c r="C23" i="71"/>
  <c r="B22" i="71"/>
  <c r="B21" i="71" s="1"/>
  <c r="B20" i="71" s="1"/>
  <c r="BA18" i="3"/>
  <c r="AZ18" i="3" s="1"/>
  <c r="BL21" i="3"/>
  <c r="G23" i="3"/>
  <c r="BL29" i="3"/>
  <c r="G33" i="3"/>
  <c r="G34" i="3"/>
  <c r="BA37" i="3"/>
  <c r="BL39" i="3"/>
  <c r="G43" i="3"/>
  <c r="G44" i="3"/>
  <c r="BA45" i="3"/>
  <c r="AZ45" i="3" s="1"/>
  <c r="BA46" i="3"/>
  <c r="BL49" i="3"/>
  <c r="AZ49" i="3" s="1"/>
  <c r="BL50" i="3"/>
  <c r="BL51" i="3"/>
  <c r="BL53" i="3"/>
  <c r="BA56" i="3"/>
  <c r="BA57" i="3"/>
  <c r="BL58" i="3"/>
  <c r="G60" i="3"/>
  <c r="BA60" i="3"/>
  <c r="AZ60" i="3" s="1"/>
  <c r="BA63" i="3"/>
  <c r="BA66" i="3"/>
  <c r="BL74" i="3"/>
  <c r="AZ74" i="3" s="1"/>
  <c r="BL75" i="3"/>
  <c r="BA80" i="3"/>
  <c r="BL84" i="3"/>
  <c r="BA90" i="3"/>
  <c r="BA109" i="3"/>
  <c r="BA111" i="3"/>
  <c r="AZ111" i="3" s="1"/>
  <c r="T44" i="71"/>
  <c r="P65" i="71"/>
  <c r="P66" i="71"/>
  <c r="F28" i="71"/>
  <c r="F27" i="71" s="1"/>
  <c r="F26" i="71" s="1"/>
  <c r="T40" i="71"/>
  <c r="D40" i="71"/>
  <c r="T76" i="71"/>
  <c r="D76" i="71"/>
  <c r="C75" i="71"/>
  <c r="BL178" i="3"/>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0" i="3"/>
  <c r="G52" i="3"/>
  <c r="BA52" i="3"/>
  <c r="AZ52" i="3" s="1"/>
  <c r="BA53" i="3"/>
  <c r="AZ53" i="3" s="1"/>
  <c r="BA54" i="3"/>
  <c r="BL57" i="3"/>
  <c r="G59" i="3"/>
  <c r="G62" i="3"/>
  <c r="BL62" i="3"/>
  <c r="AZ62" i="3" s="1"/>
  <c r="BL63" i="3"/>
  <c r="G65" i="3"/>
  <c r="BL65" i="3"/>
  <c r="BL66" i="3"/>
  <c r="BL67" i="3"/>
  <c r="AZ67" i="3" s="1"/>
  <c r="G69" i="3"/>
  <c r="G70" i="3"/>
  <c r="BL70" i="3"/>
  <c r="AZ70" i="3" s="1"/>
  <c r="BL71" i="3"/>
  <c r="BL72" i="3"/>
  <c r="AZ72" i="3" s="1"/>
  <c r="G74" i="3"/>
  <c r="BA75" i="3"/>
  <c r="BL86" i="3"/>
  <c r="G87" i="3"/>
  <c r="BA91" i="3"/>
  <c r="AZ91" i="3" s="1"/>
  <c r="BA98" i="3"/>
  <c r="BA100" i="3"/>
  <c r="AZ100" i="3" s="1"/>
  <c r="BA102" i="3"/>
  <c r="AZ102" i="3" s="1"/>
  <c r="BL105" i="3"/>
  <c r="AZ105" i="3" s="1"/>
  <c r="G107" i="3"/>
  <c r="BL107" i="3"/>
  <c r="BA110" i="3"/>
  <c r="AZ110" i="3" s="1"/>
  <c r="F3" i="35"/>
  <c r="AC21" i="37"/>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A71" i="3"/>
  <c r="AZ71" i="3" s="1"/>
  <c r="G76" i="3"/>
  <c r="BL77" i="3"/>
  <c r="AZ77" i="3" s="1"/>
  <c r="BA79" i="3"/>
  <c r="AZ79" i="3" s="1"/>
  <c r="G82" i="3"/>
  <c r="G83" i="3"/>
  <c r="BA84" i="3"/>
  <c r="AZ84" i="3" s="1"/>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U21" i="34"/>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BL22" i="3"/>
  <c r="AZ22" i="3" s="1"/>
  <c r="BL33" i="3"/>
  <c r="AZ33" i="3" s="1"/>
  <c r="BL43" i="3"/>
  <c r="AZ43" i="3" s="1"/>
  <c r="BL46" i="3"/>
  <c r="AZ46" i="3" s="1"/>
  <c r="AZ54" i="3"/>
  <c r="AZ90" i="3"/>
  <c r="AZ92" i="3"/>
  <c r="BL78" i="3"/>
  <c r="AZ78" i="3" s="1"/>
  <c r="BA83" i="3"/>
  <c r="AZ83" i="3" s="1"/>
  <c r="G91" i="3"/>
  <c r="BL95" i="3"/>
  <c r="BL98" i="3"/>
  <c r="AZ98" i="3" s="1"/>
  <c r="BL109" i="3"/>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J15" i="67"/>
  <c r="F36" i="67"/>
  <c r="F38" i="67"/>
  <c r="M23" i="67"/>
  <c r="F9" i="67"/>
  <c r="L47" i="67"/>
  <c r="F43" i="67"/>
  <c r="M26" i="15"/>
  <c r="M8" i="15"/>
  <c r="M29" i="15"/>
  <c r="F6" i="15"/>
  <c r="J15" i="15"/>
  <c r="M9" i="15"/>
  <c r="F8" i="15"/>
  <c r="M23" i="15"/>
  <c r="F6" i="67"/>
  <c r="F40" i="67"/>
  <c r="M9" i="67"/>
  <c r="F42" i="67"/>
  <c r="M26" i="67"/>
  <c r="F37" i="67"/>
  <c r="C36" i="69"/>
  <c r="M24" i="15"/>
  <c r="F43" i="15"/>
  <c r="F13" i="15"/>
  <c r="M28" i="15"/>
  <c r="D3" i="73"/>
  <c r="F7" i="15"/>
  <c r="F42" i="15"/>
  <c r="M22" i="15"/>
  <c r="F7" i="67"/>
  <c r="D5" i="73"/>
  <c r="C76" i="15"/>
  <c r="C76" i="67"/>
  <c r="F26" i="67"/>
  <c r="L48" i="67"/>
  <c r="M28" i="67"/>
  <c r="F13" i="67"/>
  <c r="M29" i="67"/>
  <c r="F36" i="15"/>
  <c r="D9" i="69"/>
  <c r="F16" i="15"/>
  <c r="L47" i="15"/>
  <c r="F26" i="15"/>
  <c r="F40" i="15"/>
  <c r="L48" i="15"/>
  <c r="M6" i="15"/>
  <c r="M24" i="67"/>
  <c r="M22" i="67"/>
  <c r="F8" i="67"/>
  <c r="M8" i="67"/>
  <c r="F16" i="67"/>
  <c r="M6" i="67"/>
  <c r="D7" i="73"/>
  <c r="F38" i="15"/>
  <c r="D4" i="73"/>
  <c r="F37" i="15"/>
  <c r="F9" i="15"/>
  <c r="G30" i="6" l="1"/>
  <c r="G31" i="6" s="1"/>
  <c r="AZ21" i="3"/>
  <c r="F65" i="67"/>
  <c r="M59" i="67"/>
  <c r="N59" i="67"/>
  <c r="L59" i="67"/>
  <c r="L58" i="67"/>
  <c r="Q60" i="67" s="1"/>
  <c r="L56" i="67"/>
  <c r="J53" i="67"/>
  <c r="I54" i="67"/>
  <c r="J57" i="67"/>
  <c r="J55" i="67" s="1"/>
  <c r="J58" i="67" s="1"/>
  <c r="Q50" i="67" s="1"/>
  <c r="F66" i="67"/>
  <c r="F51" i="67"/>
  <c r="C27" i="67"/>
  <c r="F68" i="67"/>
  <c r="F64" i="67"/>
  <c r="Q71" i="67"/>
  <c r="F71" i="67"/>
  <c r="F50" i="67"/>
  <c r="C6" i="67"/>
  <c r="M7" i="67"/>
  <c r="J6" i="67" s="1"/>
  <c r="J18" i="67" s="1"/>
  <c r="Q16" i="1"/>
  <c r="F27" i="11" s="1"/>
  <c r="C29" i="11" s="1"/>
  <c r="D27" i="11" s="1"/>
  <c r="H16" i="1"/>
  <c r="AP6" i="1"/>
  <c r="D67" i="39"/>
  <c r="D69" i="39" s="1"/>
  <c r="N94" i="46"/>
  <c r="F26" i="43"/>
  <c r="N370" i="46"/>
  <c r="H26" i="43"/>
  <c r="G26" i="43"/>
  <c r="E26" i="43"/>
  <c r="F48" i="9"/>
  <c r="O52" i="9" s="1"/>
  <c r="F30" i="11"/>
  <c r="M18" i="67"/>
  <c r="M18" i="15"/>
  <c r="F52" i="9"/>
  <c r="F28" i="67"/>
  <c r="C28" i="67" s="1"/>
  <c r="F32" i="67"/>
  <c r="F60" i="67" s="1"/>
  <c r="F28" i="15"/>
  <c r="C28" i="15" s="1"/>
  <c r="F32" i="15"/>
  <c r="F60" i="15" s="1"/>
  <c r="F54" i="9"/>
  <c r="F31" i="12"/>
  <c r="C31" i="12" s="1"/>
  <c r="F30" i="69"/>
  <c r="D68" i="9"/>
  <c r="F30" i="68"/>
  <c r="J53" i="15"/>
  <c r="L56" i="15" s="1"/>
  <c r="I54" i="15"/>
  <c r="J57" i="15"/>
  <c r="J55" i="15" s="1"/>
  <c r="J58" i="15" s="1"/>
  <c r="Q50" i="15" s="1"/>
  <c r="Q71" i="15"/>
  <c r="F71" i="15"/>
  <c r="F51" i="15"/>
  <c r="L58" i="15"/>
  <c r="Q60" i="15" s="1"/>
  <c r="M59" i="15"/>
  <c r="L59" i="15"/>
  <c r="Q74" i="15" s="1"/>
  <c r="N59" i="15"/>
  <c r="F65" i="15"/>
  <c r="C27" i="15"/>
  <c r="F64" i="15"/>
  <c r="M7" i="15"/>
  <c r="J6" i="15" s="1"/>
  <c r="J18" i="15" s="1"/>
  <c r="F50" i="15"/>
  <c r="F66" i="15"/>
  <c r="C6" i="15"/>
  <c r="C32" i="15" s="1"/>
  <c r="F68" i="15"/>
  <c r="J7" i="36"/>
  <c r="AC7" i="36" s="1"/>
  <c r="V36" i="36" s="1"/>
  <c r="I36" i="36" s="1"/>
  <c r="AZ457" i="3"/>
  <c r="AZ414" i="3"/>
  <c r="AZ218" i="3"/>
  <c r="AZ491" i="3"/>
  <c r="U23" i="35"/>
  <c r="AB23" i="35"/>
  <c r="AB38" i="40"/>
  <c r="U38" i="40"/>
  <c r="AC26" i="33"/>
  <c r="W26" i="33"/>
  <c r="W12" i="35"/>
  <c r="AC12" i="35"/>
  <c r="AA23" i="35"/>
  <c r="S23" i="35"/>
  <c r="U29" i="21"/>
  <c r="AB29" i="21"/>
  <c r="E28" i="6"/>
  <c r="K14" i="1" s="1"/>
  <c r="K16" i="1" s="1"/>
  <c r="AZ109" i="3"/>
  <c r="AZ296" i="3"/>
  <c r="AZ75" i="3"/>
  <c r="B19" i="71"/>
  <c r="B18" i="71" s="1"/>
  <c r="B17" i="71" s="1"/>
  <c r="B16" i="71" s="1"/>
  <c r="S20" i="71"/>
  <c r="AZ274" i="3"/>
  <c r="AZ51" i="3"/>
  <c r="AZ130" i="3"/>
  <c r="AZ244" i="3"/>
  <c r="AZ239" i="3"/>
  <c r="AZ198" i="3"/>
  <c r="AZ182" i="3"/>
  <c r="AC44" i="39"/>
  <c r="W44" i="39"/>
  <c r="AB24" i="36"/>
  <c r="U24" i="36"/>
  <c r="AB9" i="33"/>
  <c r="U9" i="33"/>
  <c r="D34" i="71"/>
  <c r="C35" i="71"/>
  <c r="AZ86" i="3"/>
  <c r="AZ206" i="3"/>
  <c r="C26" i="71"/>
  <c r="D26" i="71" s="1"/>
  <c r="D27" i="71"/>
  <c r="D67" i="71"/>
  <c r="C66" i="71"/>
  <c r="O67" i="71"/>
  <c r="D75" i="71"/>
  <c r="C74" i="71"/>
  <c r="D74" i="71" s="1"/>
  <c r="AZ66" i="3"/>
  <c r="D23" i="71"/>
  <c r="C22" i="71"/>
  <c r="C56" i="71"/>
  <c r="D55" i="71"/>
  <c r="AZ121" i="3"/>
  <c r="C52" i="71"/>
  <c r="D51" i="71"/>
  <c r="AZ58" i="3"/>
  <c r="AZ50" i="3"/>
  <c r="AZ282" i="3"/>
  <c r="AZ210" i="3"/>
  <c r="AZ178" i="3"/>
  <c r="AZ460" i="3"/>
  <c r="AZ425" i="3"/>
  <c r="AZ233" i="3"/>
  <c r="AZ368" i="3"/>
  <c r="AZ353" i="3"/>
  <c r="AZ428" i="3"/>
  <c r="AC24" i="36"/>
  <c r="W24" i="36"/>
  <c r="D20" i="53"/>
  <c r="B40" i="72" s="1"/>
  <c r="G5" i="3"/>
  <c r="B3" i="3" s="1"/>
  <c r="E510" i="3" s="1"/>
  <c r="AZ142" i="3"/>
  <c r="AZ63" i="3"/>
  <c r="AZ57" i="3"/>
  <c r="AZ270" i="3"/>
  <c r="AZ550" i="3"/>
  <c r="AA44" i="39"/>
  <c r="S44" i="39"/>
  <c r="AA23" i="36"/>
  <c r="S23" i="36"/>
  <c r="S12" i="36"/>
  <c r="AA12" i="36"/>
  <c r="AC38" i="40"/>
  <c r="W38" i="40"/>
  <c r="S26" i="33"/>
  <c r="AA26" i="33"/>
  <c r="U12" i="36"/>
  <c r="AB12" i="36"/>
  <c r="AC13" i="21"/>
  <c r="W13" i="21"/>
  <c r="G16" i="1"/>
  <c r="F10" i="39" s="1"/>
  <c r="S10" i="39" s="1"/>
  <c r="J7" i="37"/>
  <c r="AC7" i="37" s="1"/>
  <c r="K1" i="73"/>
  <c r="E466" i="3"/>
  <c r="E46" i="3"/>
  <c r="E42" i="3"/>
  <c r="E451" i="3"/>
  <c r="E188" i="3"/>
  <c r="E60" i="3"/>
  <c r="E340" i="3"/>
  <c r="E90" i="3"/>
  <c r="E520" i="3"/>
  <c r="E375" i="3"/>
  <c r="E459" i="3"/>
  <c r="E352" i="3"/>
  <c r="E208" i="3"/>
  <c r="E403" i="3"/>
  <c r="O6" i="3"/>
  <c r="E97" i="3"/>
  <c r="E565" i="3"/>
  <c r="E221" i="3"/>
  <c r="E128" i="3"/>
  <c r="E330" i="3"/>
  <c r="E256" i="3"/>
  <c r="E32" i="3"/>
  <c r="E443" i="3"/>
  <c r="E581" i="3"/>
  <c r="E88" i="3"/>
  <c r="E121" i="3"/>
  <c r="E316" i="3"/>
  <c r="E334" i="3"/>
  <c r="E125" i="3"/>
  <c r="E366" i="3"/>
  <c r="N6" i="3"/>
  <c r="E239" i="3"/>
  <c r="E396" i="3"/>
  <c r="E229" i="3"/>
  <c r="E559" i="3"/>
  <c r="E551" i="3"/>
  <c r="E320" i="3"/>
  <c r="E294" i="3"/>
  <c r="E114" i="3"/>
  <c r="E415" i="3"/>
  <c r="E550" i="3"/>
  <c r="E117" i="3"/>
  <c r="E245" i="3"/>
  <c r="E382" i="3"/>
  <c r="E293" i="3"/>
  <c r="E336" i="3"/>
  <c r="E453" i="3"/>
  <c r="E85" i="3"/>
  <c r="E511" i="3"/>
  <c r="E99" i="3"/>
  <c r="E45" i="3"/>
  <c r="E519" i="3"/>
  <c r="E573" i="3"/>
  <c r="E458" i="3"/>
  <c r="E457" i="3"/>
  <c r="E562" i="3"/>
  <c r="E571" i="3"/>
  <c r="E433" i="3"/>
  <c r="E72" i="3"/>
  <c r="E111" i="3"/>
  <c r="E279" i="3"/>
  <c r="E351" i="3"/>
  <c r="E318" i="3"/>
  <c r="E567" i="3"/>
  <c r="E549" i="3"/>
  <c r="E269" i="3"/>
  <c r="E107" i="3"/>
  <c r="E585" i="3"/>
  <c r="E515" i="3"/>
  <c r="E414" i="3"/>
  <c r="E477" i="3"/>
  <c r="E505" i="3"/>
  <c r="E476" i="3"/>
  <c r="E447" i="3"/>
  <c r="E27" i="3"/>
  <c r="E186" i="3"/>
  <c r="E210" i="3"/>
  <c r="E331" i="3"/>
  <c r="E44" i="3"/>
  <c r="E441" i="3"/>
  <c r="E175" i="3"/>
  <c r="E343" i="3"/>
  <c r="E305" i="3"/>
  <c r="E50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F7" i="37"/>
  <c r="M17" i="67"/>
  <c r="M17" i="15"/>
  <c r="F59" i="15"/>
  <c r="P28" i="43"/>
  <c r="B66" i="40" s="1"/>
  <c r="P25" i="43"/>
  <c r="P29" i="43"/>
  <c r="P27" i="43"/>
  <c r="B70" i="39" s="1"/>
  <c r="M11" i="67"/>
  <c r="J10" i="67" s="1"/>
  <c r="F11" i="15"/>
  <c r="M11" i="15"/>
  <c r="J10" i="15" s="1"/>
  <c r="F11" i="67"/>
  <c r="F1" i="67"/>
  <c r="Q52" i="67"/>
  <c r="Q61" i="67"/>
  <c r="Q74" i="67"/>
  <c r="AE11" i="1"/>
  <c r="AE9" i="1"/>
  <c r="F27" i="68"/>
  <c r="AE7" i="1"/>
  <c r="AE8" i="1"/>
  <c r="AE12" i="1"/>
  <c r="AE10" i="1"/>
  <c r="G1" i="73"/>
  <c r="C16" i="67"/>
  <c r="AE6" i="1"/>
  <c r="F27" i="69"/>
  <c r="C16" i="15"/>
  <c r="C49" i="67" l="1"/>
  <c r="Q73" i="67"/>
  <c r="J5" i="67"/>
  <c r="E253" i="3"/>
  <c r="E518" i="3"/>
  <c r="E61" i="3"/>
  <c r="E260" i="3"/>
  <c r="E130" i="3"/>
  <c r="E407" i="3"/>
  <c r="E358" i="3"/>
  <c r="E569" i="3"/>
  <c r="E282" i="3"/>
  <c r="E480" i="3"/>
  <c r="E295" i="3"/>
  <c r="E404" i="3"/>
  <c r="P6" i="3"/>
  <c r="E496" i="3"/>
  <c r="AA6" i="3"/>
  <c r="E298" i="3"/>
  <c r="E501" i="3"/>
  <c r="E548" i="3"/>
  <c r="E471" i="3"/>
  <c r="E82" i="3"/>
  <c r="E66" i="3"/>
  <c r="E464" i="3"/>
  <c r="E312" i="3"/>
  <c r="E552" i="3"/>
  <c r="E36" i="3"/>
  <c r="E178" i="3"/>
  <c r="E232" i="3"/>
  <c r="E525" i="3"/>
  <c r="E513" i="3"/>
  <c r="E544" i="3"/>
  <c r="E212" i="3"/>
  <c r="E388" i="3"/>
  <c r="E530" i="3"/>
  <c r="E384" i="3"/>
  <c r="E162" i="3"/>
  <c r="AS6" i="3"/>
  <c r="E478" i="3"/>
  <c r="E271" i="3"/>
  <c r="E31" i="3"/>
  <c r="E150" i="3"/>
  <c r="E450" i="3"/>
  <c r="E527" i="3"/>
  <c r="E193" i="3"/>
  <c r="E314" i="3"/>
  <c r="E583" i="3"/>
  <c r="E578" i="3"/>
  <c r="E290" i="3"/>
  <c r="E395" i="3"/>
  <c r="E230" i="3"/>
  <c r="V6" i="3"/>
  <c r="E151" i="3"/>
  <c r="E516" i="3"/>
  <c r="E553" i="3"/>
  <c r="E30" i="3"/>
  <c r="E166" i="3"/>
  <c r="E444" i="3"/>
  <c r="E164" i="3"/>
  <c r="E424" i="3"/>
  <c r="E402" i="3"/>
  <c r="E506" i="3"/>
  <c r="AM6" i="3"/>
  <c r="E145" i="3"/>
  <c r="E438" i="3"/>
  <c r="E504" i="3"/>
  <c r="E39" i="3"/>
  <c r="E284" i="3"/>
  <c r="E250" i="3"/>
  <c r="E524" i="3"/>
  <c r="E299" i="3"/>
  <c r="J6" i="3"/>
  <c r="E412" i="3"/>
  <c r="E113" i="3"/>
  <c r="E355" i="3"/>
  <c r="E152" i="3"/>
  <c r="E126" i="3"/>
  <c r="E93" i="3"/>
  <c r="E313" i="3"/>
  <c r="E154" i="3"/>
  <c r="E341" i="3"/>
  <c r="E138" i="3"/>
  <c r="E521" i="3"/>
  <c r="E176" i="3"/>
  <c r="E38" i="3"/>
  <c r="E427" i="3"/>
  <c r="E26" i="3"/>
  <c r="E383" i="3"/>
  <c r="E492" i="3"/>
  <c r="E517" i="3"/>
  <c r="W7" i="36"/>
  <c r="W7" i="37"/>
  <c r="AA10" i="39"/>
  <c r="F10" i="40"/>
  <c r="S10" i="40" s="1"/>
  <c r="H10" i="39"/>
  <c r="U10" i="39" s="1"/>
  <c r="H10" i="40"/>
  <c r="AB10" i="40" s="1"/>
  <c r="J10" i="40"/>
  <c r="AC10" i="40" s="1"/>
  <c r="J10" i="39"/>
  <c r="W10" i="39" s="1"/>
  <c r="C47" i="69"/>
  <c r="D45" i="69" s="1"/>
  <c r="C29" i="69"/>
  <c r="D27" i="69" s="1"/>
  <c r="F45" i="69"/>
  <c r="C49" i="15"/>
  <c r="Q61" i="15"/>
  <c r="Q52" i="15"/>
  <c r="F1" i="15"/>
  <c r="C32" i="67"/>
  <c r="F48" i="69"/>
  <c r="C30" i="69"/>
  <c r="C48" i="69"/>
  <c r="F48" i="68"/>
  <c r="C30" i="68"/>
  <c r="C48" i="68"/>
  <c r="C48" i="11"/>
  <c r="C30" i="11"/>
  <c r="Q73" i="15"/>
  <c r="J5" i="15"/>
  <c r="J24" i="15" s="1"/>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123" i="3"/>
  <c r="E392" i="3"/>
  <c r="E194" i="3"/>
  <c r="E15" i="3"/>
  <c r="E346" i="3"/>
  <c r="E463" i="3"/>
  <c r="E440" i="3"/>
  <c r="E393" i="3"/>
  <c r="E326" i="3"/>
  <c r="E324" i="3"/>
  <c r="E225" i="3"/>
  <c r="E13" i="3"/>
  <c r="E456" i="3"/>
  <c r="E205" i="3"/>
  <c r="E206" i="3"/>
  <c r="E96" i="3"/>
  <c r="E281" i="3"/>
  <c r="E81" i="3"/>
  <c r="E33" i="3"/>
  <c r="E249" i="3"/>
  <c r="E484" i="3"/>
  <c r="E292" i="3"/>
  <c r="E479" i="3"/>
  <c r="E255" i="3"/>
  <c r="E499"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364" i="3"/>
  <c r="E112" i="3"/>
  <c r="E325" i="3"/>
  <c r="E170" i="3"/>
  <c r="E540" i="3"/>
  <c r="E226" i="3"/>
  <c r="E419" i="3"/>
  <c r="E507" i="3"/>
  <c r="E116" i="3"/>
  <c r="E80" i="3"/>
  <c r="E190" i="3"/>
  <c r="E41" i="3"/>
  <c r="E556" i="3"/>
  <c r="T6" i="3"/>
  <c r="E308" i="3"/>
  <c r="E86" i="3"/>
  <c r="E482" i="3"/>
  <c r="E494" i="3"/>
  <c r="E68" i="3"/>
  <c r="E84" i="3"/>
  <c r="E160" i="3"/>
  <c r="E59" i="3"/>
  <c r="E258" i="3"/>
  <c r="E491" i="3"/>
  <c r="E430" i="3"/>
  <c r="E286"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289" i="3"/>
  <c r="AQ6" i="3"/>
  <c r="E234" i="3"/>
  <c r="E79" i="3"/>
  <c r="E372" i="3"/>
  <c r="E25" i="3"/>
  <c r="E376" i="3"/>
  <c r="E564" i="3"/>
  <c r="E329" i="3"/>
  <c r="E35" i="3"/>
  <c r="E356" i="3"/>
  <c r="E470" i="3"/>
  <c r="E512" i="3"/>
  <c r="E197" i="3"/>
  <c r="AF6" i="3"/>
  <c r="E174" i="3"/>
  <c r="E391" i="3"/>
  <c r="E283" i="3"/>
  <c r="E184" i="3"/>
  <c r="E371" i="3"/>
  <c r="E467" i="3"/>
  <c r="E349" i="3"/>
  <c r="E37" i="3"/>
  <c r="AP6" i="3"/>
  <c r="E502" i="3"/>
  <c r="E539"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R36" i="36"/>
  <c r="E36" i="36" s="1"/>
  <c r="O65" i="71"/>
  <c r="D66" i="71"/>
  <c r="O66" i="71"/>
  <c r="D56" i="71"/>
  <c r="T56" i="71"/>
  <c r="E3" i="6"/>
  <c r="T52" i="71"/>
  <c r="D52" i="71"/>
  <c r="C21" i="71"/>
  <c r="D22"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A10" i="40"/>
  <c r="W10" i="40"/>
  <c r="AC10" i="39"/>
  <c r="U7" i="37"/>
  <c r="G67" i="39"/>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41" i="15"/>
  <c r="M27" i="15"/>
  <c r="F41" i="67"/>
  <c r="M27" i="67"/>
  <c r="B1" i="74" l="1"/>
  <c r="H27" i="9"/>
  <c r="H26" i="9"/>
  <c r="R37" i="36"/>
  <c r="AB10" i="39"/>
  <c r="U10" i="40"/>
  <c r="F69" i="67"/>
  <c r="C48" i="15"/>
  <c r="C66" i="15" s="1"/>
  <c r="H6" i="3"/>
  <c r="AC6" i="3"/>
  <c r="F25" i="12"/>
  <c r="C26" i="12" s="1"/>
  <c r="D25" i="12" s="1"/>
  <c r="D116" i="43"/>
  <c r="D36" i="71"/>
  <c r="T36" i="71"/>
  <c r="D21" i="71"/>
  <c r="C20" i="71"/>
  <c r="F22" i="68"/>
  <c r="C44" i="68" s="1"/>
  <c r="D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D10" i="68"/>
  <c r="C17" i="67"/>
  <c r="D10" i="69"/>
  <c r="C34" i="69"/>
  <c r="C17" i="15"/>
  <c r="C14" i="67"/>
  <c r="H25" i="6" l="1"/>
  <c r="H22" i="6"/>
  <c r="C60" i="15"/>
  <c r="M19" i="9"/>
  <c r="C118" i="9" s="1"/>
  <c r="B2" i="74" s="1"/>
  <c r="E54" i="34"/>
  <c r="F54" i="34" s="1"/>
  <c r="F41" i="68"/>
  <c r="C26" i="68"/>
  <c r="D22" i="68" s="1"/>
  <c r="C23" i="68"/>
  <c r="E6" i="3"/>
  <c r="C26" i="11"/>
  <c r="D22" i="11" s="1"/>
  <c r="C44" i="11"/>
  <c r="D41" i="11" s="1"/>
  <c r="T20" i="71"/>
  <c r="D20" i="71"/>
  <c r="U20" i="71" s="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T16" i="71" l="1"/>
  <c r="D16" i="71"/>
  <c r="U16" i="71" s="1"/>
  <c r="C15" i="71"/>
  <c r="E48" i="21"/>
  <c r="I53" i="21" s="1"/>
  <c r="J53"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B3" i="69"/>
  <c r="E53" i="21" l="1"/>
  <c r="F53" i="21" s="1"/>
  <c r="E52" i="21"/>
  <c r="F52" i="21"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D19" i="9"/>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6" i="1"/>
  <c r="C19" i="9"/>
  <c r="AO9" i="1"/>
  <c r="AO7" i="1"/>
  <c r="AO12" i="1"/>
  <c r="AO11" i="1"/>
  <c r="D20" i="9"/>
  <c r="AO10" i="1"/>
  <c r="AO8" i="1"/>
  <c r="C102" i="9" l="1"/>
  <c r="C21" i="9"/>
  <c r="G19" i="9"/>
  <c r="D22" i="9"/>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C103" i="9"/>
  <c r="G20" i="9"/>
  <c r="C34" i="9"/>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D35" i="9"/>
  <c r="D34" i="9"/>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l="1"/>
  <c r="G4" i="52" s="1"/>
  <c r="B52" i="72" s="1"/>
  <c r="I118" i="9"/>
  <c r="C105" i="9" l="1"/>
  <c r="E14" i="74"/>
  <c r="H118" i="9"/>
  <c r="H102" i="9"/>
  <c r="F118" i="9"/>
  <c r="I4" i="52"/>
  <c r="E118" i="9"/>
  <c r="H119" i="9" l="1"/>
  <c r="H5" i="52" s="1"/>
  <c r="G14" i="74"/>
  <c r="B6" i="74" s="1"/>
  <c r="D6" i="74" s="1"/>
  <c r="H4" i="52"/>
  <c r="C104" i="9"/>
  <c r="H101" i="9"/>
  <c r="M48" i="9" s="1"/>
  <c r="E4" i="52"/>
  <c r="B48" i="72" s="1"/>
  <c r="D118" i="9"/>
  <c r="D7" i="53"/>
  <c r="B21" i="72" s="1"/>
  <c r="F119" i="9"/>
  <c r="F5" i="52" s="1"/>
  <c r="B53" i="72" s="1"/>
  <c r="F4" i="52"/>
  <c r="B51" i="72" s="1"/>
  <c r="D45" i="9" l="1"/>
  <c r="C93" i="9" s="1"/>
  <c r="C86" i="9" s="1"/>
  <c r="D5" i="53"/>
  <c r="B5" i="74"/>
  <c r="F14" i="74"/>
  <c r="H107" i="9"/>
  <c r="M49" i="9" s="1"/>
  <c r="D6" i="53"/>
  <c r="B22" i="72" s="1"/>
  <c r="B20" i="72"/>
  <c r="D119" i="9"/>
  <c r="D5" i="52" s="1"/>
  <c r="B49" i="72" s="1"/>
  <c r="D4" i="52"/>
  <c r="B47" i="72" s="1"/>
  <c r="C64" i="9"/>
  <c r="C63" i="9" s="1"/>
  <c r="C67" i="9" s="1"/>
  <c r="D52" i="9" l="1"/>
  <c r="D53" i="9"/>
  <c r="C78" i="9"/>
  <c r="C73" i="9" s="1"/>
  <c r="D55" i="9"/>
  <c r="M53" i="9" s="1"/>
  <c r="C72" i="9"/>
  <c r="C85" i="9"/>
  <c r="C95" i="9" s="1"/>
  <c r="C96" i="9" s="1"/>
  <c r="E96" i="9" s="1"/>
  <c r="E97" i="9" s="1"/>
  <c r="D122" i="9"/>
  <c r="D8" i="52" s="1"/>
  <c r="H108" i="9"/>
  <c r="C6" i="74" s="1"/>
  <c r="D13" i="53"/>
  <c r="B30" i="72" s="1"/>
  <c r="D5" i="74"/>
  <c r="C5" i="74"/>
  <c r="D59" i="9"/>
  <c r="M55" i="9" s="1"/>
  <c r="C68" i="9"/>
  <c r="D54" i="9" s="1"/>
  <c r="L66" i="9"/>
  <c r="M66" i="9" s="1"/>
  <c r="L63" i="9"/>
  <c r="M63" i="9" s="1"/>
  <c r="L64" i="9"/>
  <c r="M64" i="9" s="1"/>
  <c r="L68" i="9"/>
  <c r="M68" i="9" s="1"/>
  <c r="L67" i="9"/>
  <c r="M67" i="9" s="1"/>
  <c r="L65" i="9"/>
  <c r="M65" i="9" s="1"/>
  <c r="C79" i="9" l="1"/>
  <c r="C80" i="9" s="1"/>
  <c r="E80" i="9" s="1"/>
  <c r="E81" i="9" s="1"/>
  <c r="D123" i="9"/>
  <c r="D9" i="52" s="1"/>
  <c r="D15" i="53"/>
  <c r="B31" i="72" s="1"/>
  <c r="D14" i="53"/>
  <c r="B32" i="72" s="1"/>
  <c r="M69" i="9"/>
  <c r="N69" i="9" s="1"/>
  <c r="C97" i="9"/>
  <c r="D58" i="9" s="1"/>
  <c r="D56" i="9" s="1"/>
  <c r="M54" i="9" s="1"/>
  <c r="N57" i="9" s="1"/>
  <c r="C81" i="9"/>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<sst xmlns="http://schemas.openxmlformats.org/spreadsheetml/2006/main" count="7934" uniqueCount="3469">
  <si>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</si>
  <si>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</si>
  <si>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</si>
  <si>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</si>
  <si>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</si>
  <si>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</si>
  <si>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</si>
  <si>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</si>
  <si>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</si>
  <si>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</si>
  <si>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</si>
  <si>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</si>
  <si>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</si>
  <si>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</si>
  <si>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</si>
  <si>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</si>
  <si>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</si>
  <si>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</si>
  <si>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</si>
  <si>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</si>
  <si>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</si>
  <si>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</si>
  <si>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</si>
  <si>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</si>
  <si>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</si>
  <si>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</si>
  <si>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</si>
  <si>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</si>
  <si>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</si>
  <si>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</si>
  <si>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</si>
  <si>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</si>
  <si>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</si>
  <si>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</si>
  <si>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</si>
  <si>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</si>
  <si>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</si>
  <si>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</si>
  <si>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</si>
  <si>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</si>
  <si>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</si>
  <si>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</si>
  <si>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</si>
  <si>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</si>
  <si>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</si>
  <si>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</si>
  <si>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</si>
  <si>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</si>
  <si>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</si>
  <si>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</si>
  <si>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</si>
  <si>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</si>
  <si>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</si>
  <si>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</si>
  <si>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</si>
  <si>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</si>
  <si>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</si>
  <si>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</si>
  <si>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</si>
  <si>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</si>
  <si>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</si>
  <si>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</si>
  <si>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</si>
  <si>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</si>
  <si>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</si>
  <si>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</si>
  <si>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</si>
  <si>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</si>
  <si>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</si>
  <si>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</si>
  <si>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</si>
  <si>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</si>
  <si>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</si>
  <si>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</si>
  <si>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</si>
  <si>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</si>
  <si>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</si>
  <si>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</si>
  <si>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</si>
  <si>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</si>
  <si>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</si>
  <si>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</si>
  <si>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</si>
  <si>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</si>
  <si>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</si>
  <si>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</si>
  <si>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</si>
  <si>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</si>
  <si>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</si>
  <si>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</si>
  <si>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</si>
  <si>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</si>
  <si>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</si>
  <si>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</si>
  <si>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</si>
  <si>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</si>
  <si>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</si>
  <si>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</si>
  <si>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</si>
  <si>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</si>
  <si>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</si>
  <si>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</si>
  <si>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</si>
  <si>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</si>
  <si>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</si>
  <si>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</si>
  <si>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</si>
  <si>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</si>
  <si>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</si>
  <si>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</si>
  <si>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</si>
  <si>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</si>
  <si>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</si>
  <si>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</si>
  <si>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</si>
  <si>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</si>
  <si>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</si>
  <si>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</si>
  <si>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</si>
  <si>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</si>
  <si>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</si>
  <si>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</si>
  <si>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</si>
  <si>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</si>
  <si>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</si>
  <si>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</si>
  <si>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</si>
  <si>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</si>
  <si>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</si>
  <si>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</si>
  <si>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</si>
  <si>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</si>
  <si>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</si>
  <si>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</si>
  <si>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</si>
  <si>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</si>
  <si>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</si>
  <si>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</si>
  <si>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</si>
  <si>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</si>
  <si>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</si>
  <si>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</si>
  <si>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</si>
  <si>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</si>
  <si>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</si>
  <si>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</si>
  <si>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</si>
  <si>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</si>
  <si>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</si>
  <si>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</si>
  <si>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</si>
  <si>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</si>
  <si>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</si>
  <si>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</si>
  <si>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</si>
  <si>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</si>
  <si>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</si>
  <si>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</si>
  <si>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</si>
  <si>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</si>
  <si>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</si>
  <si>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</si>
  <si>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</si>
  <si>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</si>
  <si>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</si>
  <si>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</si>
  <si>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</si>
  <si>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</si>
  <si>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</si>
  <si>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</si>
  <si>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</si>
  <si>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</si>
  <si>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</si>
  <si>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</si>
  <si>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</si>
  <si>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</si>
  <si>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</si>
  <si>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</si>
  <si>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</si>
  <si>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</si>
  <si>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</si>
  <si>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</si>
  <si>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</si>
  <si>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</si>
  <si>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</si>
  <si>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</si>
  <si>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</si>
  <si>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</si>
  <si>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</si>
  <si>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</si>
  <si>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</si>
  <si>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</si>
  <si>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</si>
  <si>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</si>
  <si>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</si>
  <si>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</si>
  <si>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</si>
  <si>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</si>
  <si>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</si>
  <si>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</si>
  <si>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</si>
  <si>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</si>
  <si>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</si>
  <si>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</si>
  <si>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</si>
  <si>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</si>
  <si>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</si>
  <si>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</si>
  <si>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</si>
  <si>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</si>
  <si>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</si>
  <si>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</si>
  <si>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</si>
  <si>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</si>
  <si>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</si>
  <si>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</si>
  <si>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</si>
  <si>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</si>
  <si>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</si>
  <si>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</si>
  <si>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</si>
  <si>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</si>
  <si>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</si>
  <si>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</si>
  <si>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</si>
  <si>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</si>
  <si>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</si>
  <si>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</si>
  <si>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</si>
  <si>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</si>
  <si>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</si>
  <si>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</si>
  <si>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</si>
  <si>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</si>
  <si>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</si>
  <si>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</si>
  <si>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</si>
  <si>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</si>
  <si>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</si>
  <si>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</si>
  <si>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</si>
  <si>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</si>
  <si>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</si>
  <si>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</si>
  <si>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</si>
  <si>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</si>
  <si>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</si>
  <si>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</si>
  <si>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</si>
  <si>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</si>
  <si>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</si>
  <si>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</si>
  <si>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</si>
  <si>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</si>
  <si>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</si>
  <si>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</si>
  <si>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</si>
  <si>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</si>
  <si>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</si>
  <si>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</si>
  <si>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</si>
  <si>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</si>
  <si>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</si>
  <si>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</si>
  <si>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</si>
  <si>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</si>
  <si>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</si>
  <si>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</si>
  <si>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</si>
  <si>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</si>
  <si>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</si>
  <si>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</si>
  <si>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</si>
  <si>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</si>
  <si>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</si>
  <si>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</si>
  <si>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</si>
  <si>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</si>
  <si>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</si>
  <si>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</si>
  <si>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</si>
  <si>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</si>
  <si>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</si>
  <si>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</si>
  <si>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</si>
  <si>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</si>
  <si>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</si>
  <si>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</si>
  <si>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</si>
  <si>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</si>
  <si>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</si>
  <si>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</si>
  <si>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</si>
  <si>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</si>
  <si>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</si>
  <si>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</si>
  <si>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</si>
  <si>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</si>
  <si>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</si>
  <si>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</si>
  <si>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</si>
  <si>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</si>
  <si>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</si>
  <si>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</si>
  <si>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</si>
  <si>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</si>
  <si>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</si>
  <si>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</si>
  <si>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</si>
  <si>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</si>
  <si>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</si>
  <si>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</si>
  <si>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</si>
  <si>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</si>
  <si>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</si>
  <si>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</si>
  <si>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</si>
  <si>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</si>
  <si>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</si>
  <si>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</si>
  <si>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</si>
  <si>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</si>
  <si>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</si>
  <si>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</si>
  <si>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</si>
  <si>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</si>
  <si>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</si>
  <si>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</si>
  <si>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</si>
  <si>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</si>
  <si>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</si>
  <si>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</si>
  <si>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</si>
  <si>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</si>
  <si>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</si>
  <si>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</si>
  <si>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</si>
  <si>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</si>
  <si>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</si>
  <si>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</si>
  <si>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</si>
  <si>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</si>
  <si>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</si>
  <si>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</si>
  <si>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</si>
  <si>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</si>
  <si>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</si>
  <si>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</si>
  <si>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</si>
  <si>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</si>
  <si>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</si>
  <si>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</si>
  <si>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</si>
  <si>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</si>
  <si>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</si>
  <si>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</si>
  <si>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</si>
  <si>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</si>
  <si>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</si>
  <si>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</si>
  <si>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</si>
  <si>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</si>
  <si>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</si>
  <si>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</si>
  <si>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</si>
  <si>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</si>
  <si>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</si>
  <si>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</si>
  <si>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</si>
  <si>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</si>
  <si>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</si>
  <si>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</si>
  <si>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</si>
  <si>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</si>
  <si>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</si>
  <si>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</si>
  <si>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</si>
  <si>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</si>
  <si>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</si>
  <si>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</si>
  <si>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</si>
  <si>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</si>
  <si>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</si>
  <si>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</si>
  <si>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</si>
  <si>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</si>
  <si>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</si>
  <si>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</si>
  <si>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</si>
  <si>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</si>
  <si>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</si>
  <si>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</si>
  <si>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</si>
  <si>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</si>
  <si>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</si>
  <si>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</si>
  <si>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</si>
  <si>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</si>
  <si>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</si>
  <si>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</si>
  <si>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</si>
  <si>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</si>
  <si>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</si>
  <si>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</si>
  <si>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</si>
  <si>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</si>
  <si>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</si>
  <si>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</si>
  <si>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</si>
  <si>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</si>
  <si>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</si>
  <si>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</si>
  <si>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</si>
  <si>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</si>
  <si>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</si>
  <si>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</si>
  <si>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</si>
  <si>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</si>
  <si>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</si>
  <si>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</si>
  <si>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</si>
  <si>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</si>
  <si>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</si>
  <si>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</si>
  <si>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</si>
  <si>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</si>
  <si>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</si>
  <si>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</si>
  <si>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</si>
  <si>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</si>
  <si>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</si>
  <si>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</si>
  <si>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</si>
  <si>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</si>
  <si>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</si>
  <si>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</si>
  <si>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</si>
  <si>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</si>
  <si>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</si>
  <si>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</si>
  <si>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</si>
  <si>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</si>
  <si>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</si>
  <si>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</si>
  <si>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</si>
  <si>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</si>
  <si>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</si>
  <si>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</si>
  <si>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</si>
  <si>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</si>
  <si>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</si>
  <si>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</si>
  <si>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</si>
  <si>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</si>
  <si>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</si>
  <si>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</si>
  <si>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</si>
  <si>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</si>
  <si>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</si>
  <si>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</si>
  <si>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</si>
  <si>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</si>
  <si>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</si>
  <si>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</si>
  <si>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</si>
  <si>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</si>
  <si>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</si>
  <si>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</si>
  <si>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</si>
  <si>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</si>
  <si>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</si>
  <si>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</si>
  <si>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</si>
  <si>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</si>
  <si>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</si>
  <si>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</si>
  <si>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</si>
  <si>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</si>
  <si>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</si>
  <si>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</si>
  <si>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</si>
  <si>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</si>
  <si>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</si>
  <si>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</si>
  <si>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</si>
  <si>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</si>
  <si>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</si>
  <si>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</si>
  <si>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</si>
  <si>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</si>
  <si>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</si>
  <si>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</si>
  <si>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</si>
  <si>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</si>
  <si>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</si>
  <si>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</si>
  <si>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</si>
  <si>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</si>
  <si>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</si>
  <si>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</si>
  <si>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</si>
  <si>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</si>
  <si>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</si>
  <si>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</si>
  <si>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</si>
  <si>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</si>
  <si>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</si>
  <si>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</si>
  <si>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</si>
  <si>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</si>
  <si>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</si>
  <si>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</si>
  <si>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</si>
  <si>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</si>
  <si>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</si>
  <si>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</si>
  <si>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</si>
  <si>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</si>
  <si>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</si>
  <si>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</si>
  <si>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</si>
  <si>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</si>
  <si>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</si>
  <si>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</si>
  <si>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</si>
  <si>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</si>
  <si>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</si>
  <si>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</si>
  <si>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</si>
  <si>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</si>
  <si>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</si>
  <si>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</si>
  <si>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</si>
  <si>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</si>
  <si>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</si>
  <si>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</si>
  <si>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</si>
  <si>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</si>
  <si>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</si>
  <si>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</si>
  <si>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</si>
  <si>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</si>
  <si>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</si>
  <si>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</si>
  <si>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</si>
  <si>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</si>
  <si>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</si>
  <si>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</si>
  <si>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</si>
  <si>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</si>
  <si>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</si>
  <si>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</si>
  <si>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</si>
  <si>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</si>
  <si>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</si>
  <si>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</si>
  <si>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</si>
  <si>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</si>
  <si>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</si>
  <si>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</si>
  <si>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</si>
  <si>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</si>
  <si>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</si>
  <si>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</si>
  <si>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</si>
  <si>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</si>
  <si>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</si>
  <si>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</si>
  <si>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</si>
  <si>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</si>
  <si>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</si>
  <si>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</si>
  <si>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</si>
  <si>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</si>
  <si>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</si>
  <si>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</si>
  <si>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</si>
  <si>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</si>
  <si>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</si>
  <si>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</si>
  <si>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</si>
  <si>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</si>
  <si>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</si>
  <si>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</si>
  <si>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</si>
  <si>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</si>
  <si>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</si>
  <si>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</si>
  <si>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</si>
  <si>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</si>
  <si>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</si>
  <si>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</si>
  <si>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</si>
  <si>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</si>
  <si>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</si>
  <si>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</si>
  <si>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</si>
  <si>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</si>
  <si>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</si>
  <si>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</si>
  <si>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</si>
  <si>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</si>
  <si>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</si>
  <si>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</si>
  <si>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</si>
  <si>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</si>
  <si>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</si>
  <si>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</si>
  <si>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</si>
  <si>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</si>
  <si>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</si>
  <si>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</si>
  <si>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</si>
  <si>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</si>
  <si>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</si>
  <si>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</si>
  <si>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</si>
  <si>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</si>
  <si>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</si>
  <si>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</si>
  <si>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</si>
  <si>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</si>
  <si>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</si>
  <si>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</si>
  <si>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</si>
  <si>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</si>
  <si>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</si>
  <si>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</si>
  <si>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</si>
  <si>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</si>
  <si>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</si>
  <si>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</si>
  <si>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</si>
  <si>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</si>
  <si>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</si>
  <si>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</si>
  <si>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</si>
  <si>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</si>
  <si>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</si>
  <si>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</si>
  <si>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</si>
  <si>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</si>
  <si>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</si>
  <si>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</si>
  <si>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</si>
  <si>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</si>
  <si>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</si>
  <si>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</si>
  <si>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</si>
  <si>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</si>
  <si>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</si>
  <si>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</si>
  <si>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</si>
  <si>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</si>
  <si>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</si>
  <si>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</si>
  <si>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</si>
  <si>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</si>
  <si>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</si>
  <si>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</si>
  <si>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</si>
  <si>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</si>
  <si>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</si>
  <si>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</si>
  <si>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</si>
  <si>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</si>
  <si>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</si>
  <si>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</si>
  <si>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</si>
  <si>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</si>
  <si>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</si>
  <si>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</si>
  <si>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</si>
  <si>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</si>
  <si>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</si>
  <si>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</si>
  <si>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</si>
  <si>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</si>
  <si>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</si>
  <si>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</si>
  <si>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</si>
  <si>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</si>
  <si>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</si>
  <si>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</si>
  <si>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</si>
  <si>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</si>
  <si>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</si>
  <si>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</si>
  <si>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</si>
  <si>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</si>
  <si>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</si>
  <si>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</si>
  <si>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</si>
  <si>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</si>
  <si>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</si>
  <si>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</si>
  <si>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</si>
  <si>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</si>
  <si>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</si>
  <si>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</si>
  <si>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</si>
  <si>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</si>
  <si>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</si>
  <si>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</si>
  <si>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</si>
  <si>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</si>
  <si>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</si>
  <si>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</si>
  <si>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</si>
  <si>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</si>
  <si>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</si>
  <si>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</si>
  <si>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</si>
  <si>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</si>
  <si>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</si>
  <si>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</si>
  <si>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</si>
  <si>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</si>
  <si>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</si>
  <si>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</si>
  <si>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</si>
  <si>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</si>
  <si>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</si>
  <si>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</si>
  <si>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</si>
  <si>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</si>
  <si>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</si>
  <si>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</si>
  <si>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</si>
  <si>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</si>
  <si>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</si>
  <si>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</si>
  <si>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</si>
  <si>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</si>
  <si>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</si>
  <si>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</si>
  <si>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</si>
  <si>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</si>
  <si>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</si>
  <si>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</si>
  <si>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</si>
  <si>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</si>
  <si>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</si>
  <si>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</si>
  <si>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</si>
  <si>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</si>
  <si>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</si>
  <si>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</si>
  <si>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</si>
  <si>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</si>
  <si>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</si>
  <si>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</si>
  <si>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</si>
  <si>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</si>
  <si>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</si>
  <si>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</si>
  <si>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</si>
  <si>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</si>
  <si>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</si>
  <si>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</si>
  <si>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</si>
  <si>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</si>
  <si>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</si>
  <si>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</si>
  <si>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</si>
  <si>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</si>
  <si>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</si>
  <si>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</si>
  <si>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</si>
  <si>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</si>
  <si>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</si>
  <si>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</si>
  <si>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</si>
  <si>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</si>
  <si>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</si>
  <si>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</si>
  <si>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</si>
  <si>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</si>
  <si>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</si>
  <si>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</si>
  <si>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</si>
  <si>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</si>
  <si>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</si>
  <si>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</si>
  <si>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</si>
  <si>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</si>
  <si>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</si>
  <si>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</si>
  <si>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</si>
  <si>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</si>
  <si>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</si>
  <si>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</si>
  <si>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</si>
  <si>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</si>
  <si>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</si>
  <si>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</si>
  <si>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</si>
  <si>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</si>
  <si>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</si>
  <si>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</si>
  <si>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</si>
  <si>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</si>
  <si>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</si>
  <si>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</si>
  <si>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</si>
  <si>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</si>
  <si>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</si>
  <si>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</si>
  <si>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</si>
  <si>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</si>
  <si>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</si>
  <si>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</si>
  <si>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</si>
  <si>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</si>
  <si>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</si>
  <si>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</si>
  <si>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</si>
  <si>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</si>
  <si>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</si>
  <si>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</si>
  <si>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</si>
  <si>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</si>
  <si>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</si>
  <si>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</si>
  <si>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</si>
  <si>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</si>
  <si>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</si>
  <si>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</si>
  <si>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</si>
  <si>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</si>
  <si>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</si>
  <si>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</si>
  <si>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</si>
  <si>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</si>
  <si>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</si>
  <si>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</si>
  <si>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</si>
  <si>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</si>
  <si>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</si>
  <si>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</si>
  <si>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</si>
  <si>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</si>
  <si>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</si>
  <si>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</si>
  <si>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</si>
  <si>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</si>
  <si>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</si>
  <si>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</si>
  <si>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</si>
  <si>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</si>
  <si>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</si>
  <si>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</si>
  <si>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</si>
  <si>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</si>
  <si>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</si>
  <si>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</si>
  <si>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</si>
  <si>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</si>
  <si>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</si>
  <si>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</si>
  <si>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</si>
  <si>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</si>
  <si>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</si>
  <si>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</si>
  <si>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</si>
  <si>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</si>
  <si>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</si>
  <si>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</si>
  <si>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</si>
  <si>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</si>
  <si>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</si>
  <si>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</si>
  <si>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</si>
  <si>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</si>
  <si>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</si>
  <si>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</si>
  <si>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</si>
  <si>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</si>
  <si>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</si>
  <si>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</si>
  <si>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</si>
  <si>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</si>
  <si>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</si>
  <si>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</si>
  <si>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</si>
  <si>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</si>
  <si>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</si>
  <si>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</si>
  <si>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</si>
  <si>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</si>
  <si>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</si>
  <si>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</si>
  <si>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</si>
  <si>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</si>
  <si>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</si>
  <si>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</si>
  <si>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</si>
  <si>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</si>
  <si>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</si>
  <si>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</si>
  <si>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</si>
  <si>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</si>
  <si>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</si>
  <si>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</si>
  <si>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</si>
  <si>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</si>
  <si>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</si>
  <si>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</si>
  <si>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</si>
  <si>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</si>
  <si>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</si>
  <si>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</si>
  <si>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</si>
  <si>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</si>
  <si>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</si>
  <si>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</si>
  <si>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</si>
  <si>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</si>
  <si>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</si>
  <si>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</si>
  <si>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</si>
  <si>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</si>
  <si>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</si>
  <si>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</si>
  <si>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</si>
  <si>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</si>
  <si>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</si>
  <si>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</si>
  <si>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</si>
  <si>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</si>
  <si>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</si>
  <si>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</si>
  <si>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</si>
  <si>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</si>
  <si>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</si>
  <si>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</si>
  <si>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</si>
  <si>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</si>
  <si>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</si>
  <si>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</si>
  <si>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</si>
  <si>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</si>
  <si>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</si>
  <si>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</si>
  <si>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</si>
  <si>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</si>
  <si>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</si>
  <si>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</si>
  <si>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</si>
  <si>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</si>
  <si>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</si>
  <si>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</si>
  <si>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</si>
  <si>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</si>
  <si>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</si>
  <si>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</si>
  <si>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</si>
  <si>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</si>
  <si>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</si>
  <si>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</si>
  <si>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</si>
  <si>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</si>
  <si>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</si>
  <si>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</si>
  <si>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</si>
  <si>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</si>
  <si>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</si>
  <si>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</si>
  <si>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</si>
  <si>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</si>
  <si>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</si>
  <si>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</si>
  <si>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</si>
  <si>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</si>
  <si>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</si>
  <si>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</si>
  <si>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</si>
  <si>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</si>
  <si>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</si>
  <si>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</si>
  <si>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</si>
  <si>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</si>
  <si>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</si>
  <si>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</si>
  <si>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</si>
  <si>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</si>
  <si>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</si>
  <si>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</si>
  <si>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</si>
  <si>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</si>
  <si>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</si>
  <si>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</si>
  <si>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</si>
  <si>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</si>
  <si>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</si>
  <si>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</si>
  <si>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</si>
  <si>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</si>
  <si>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</si>
  <si>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</si>
  <si>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</si>
  <si>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</si>
  <si>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</si>
  <si>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</si>
  <si>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</si>
  <si>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</si>
  <si>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</si>
  <si>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</si>
  <si>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</si>
  <si>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</si>
  <si>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</si>
  <si>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</si>
  <si>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</si>
  <si>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</si>
  <si>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</si>
  <si>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</si>
  <si>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</si>
  <si>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</si>
  <si>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</si>
  <si>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</si>
  <si>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</si>
  <si>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</si>
  <si>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</si>
  <si>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</si>
  <si>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</si>
  <si>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</si>
  <si>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</si>
  <si>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</si>
  <si>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</si>
  <si>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</si>
  <si>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</si>
  <si>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</si>
  <si>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</si>
  <si>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</si>
  <si>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</si>
  <si>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</si>
  <si>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</si>
  <si>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</si>
  <si>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</si>
  <si>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</si>
  <si>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</si>
  <si>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</si>
  <si>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</si>
  <si>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</si>
  <si>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</si>
  <si>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</si>
  <si>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</si>
  <si>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</si>
  <si>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</si>
  <si>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</si>
  <si>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</si>
  <si>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</si>
  <si>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</si>
  <si>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</si>
  <si>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</si>
  <si>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</si>
  <si>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</si>
  <si>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</si>
  <si>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</si>
  <si>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</si>
  <si>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</si>
  <si>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</si>
  <si>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</si>
  <si>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</si>
  <si>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</si>
  <si>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</si>
  <si>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</si>
  <si>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</si>
  <si>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</si>
  <si>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</si>
  <si>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</si>
  <si>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</si>
  <si>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</si>
  <si>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</si>
  <si>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</si>
  <si>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</si>
  <si>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</si>
  <si>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</si>
  <si>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</si>
  <si>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</si>
  <si>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</si>
  <si>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</si>
  <si>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</si>
  <si>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</si>
  <si>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</si>
  <si>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</si>
  <si>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</si>
  <si>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</si>
  <si>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</si>
  <si>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</si>
  <si>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</si>
  <si>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</si>
  <si>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</si>
  <si>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</si>
  <si>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</si>
  <si>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</si>
  <si>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</si>
  <si>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</si>
  <si>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</si>
  <si>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</si>
  <si>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</si>
  <si>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</si>
  <si>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</si>
  <si>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</si>
  <si>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</si>
  <si>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</si>
  <si>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</si>
  <si>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</si>
  <si>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</si>
  <si>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</si>
  <si>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</si>
  <si>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</si>
  <si>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</si>
  <si>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</si>
  <si>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</si>
  <si>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</si>
  <si>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</si>
  <si>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</si>
  <si>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</si>
  <si>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</si>
  <si>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</si>
  <si>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</si>
  <si>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</si>
  <si>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</si>
  <si>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</si>
  <si>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</si>
  <si>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</si>
  <si>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</si>
  <si>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</si>
  <si>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</si>
  <si>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</si>
  <si>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</si>
  <si>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</si>
  <si>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</si>
  <si>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</si>
  <si>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</si>
  <si>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</si>
  <si>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</si>
  <si>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</si>
  <si>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</si>
  <si>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</si>
  <si>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</si>
  <si>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</si>
  <si>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</si>
  <si>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</si>
  <si>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</si>
  <si>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</si>
  <si>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</si>
  <si>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</si>
  <si>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</si>
  <si>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</si>
  <si>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</si>
  <si>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</si>
  <si>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</si>
  <si>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</si>
  <si>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</si>
  <si>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</si>
  <si>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</si>
  <si>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</si>
  <si>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</si>
  <si>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</si>
  <si>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</si>
  <si>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</si>
  <si>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</si>
  <si>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</si>
  <si>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</si>
  <si>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</si>
  <si>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</si>
  <si>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</si>
  <si>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</si>
  <si>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</si>
  <si>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</si>
  <si>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</si>
  <si>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</si>
  <si>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</si>
  <si>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</si>
  <si>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</si>
  <si>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</si>
  <si>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</si>
  <si>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</si>
  <si>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</si>
  <si>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</si>
  <si>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</si>
  <si>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</si>
  <si>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</si>
  <si>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</si>
  <si>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</si>
  <si>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</si>
  <si>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</si>
  <si>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</si>
  <si>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</si>
  <si>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</si>
  <si>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</si>
  <si>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</si>
  <si>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</si>
  <si>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</si>
  <si>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</si>
  <si>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</si>
  <si>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</si>
  <si>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</si>
  <si>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</si>
  <si>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</si>
  <si>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</si>
  <si>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</si>
  <si>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</si>
  <si>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</si>
  <si>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</si>
  <si>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</si>
  <si>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</si>
  <si>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</si>
  <si>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</si>
  <si>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</si>
  <si>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</si>
  <si>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</si>
  <si>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</si>
  <si>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</si>
  <si>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</si>
  <si>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</si>
  <si>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</si>
  <si>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</si>
  <si>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</si>
  <si>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</si>
  <si>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</si>
  <si>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</si>
  <si>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</si>
  <si>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</si>
  <si>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</si>
  <si>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</si>
  <si>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</si>
  <si>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</si>
  <si>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</si>
  <si>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</si>
  <si>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</si>
  <si>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</si>
  <si>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</si>
  <si>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</si>
  <si>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</si>
  <si>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</si>
  <si>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</si>
  <si>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</si>
  <si>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</si>
  <si>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</si>
  <si>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</si>
  <si>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</si>
  <si>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</si>
  <si>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</si>
  <si>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</si>
  <si>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</si>
  <si>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</si>
  <si>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</si>
  <si>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</si>
  <si>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</si>
  <si>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</si>
  <si>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</si>
  <si>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</si>
  <si>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</si>
  <si>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</si>
  <si>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</si>
  <si>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</si>
  <si>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</si>
  <si>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</si>
  <si>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</si>
  <si>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</si>
  <si>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</si>
  <si>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</si>
  <si>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</si>
  <si>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</si>
  <si>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</si>
  <si>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</si>
  <si>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</si>
  <si>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</si>
  <si>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</si>
  <si>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</si>
  <si>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</si>
  <si>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</si>
  <si>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</si>
  <si>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</si>
  <si>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</si>
  <si>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</si>
  <si>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</si>
  <si>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</si>
  <si>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</si>
  <si>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</si>
  <si>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</si>
  <si>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</si>
  <si>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</si>
  <si>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</si>
  <si>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</si>
  <si>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</si>
  <si>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</si>
  <si>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</si>
  <si>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</si>
  <si>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</si>
  <si>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</si>
  <si>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</si>
  <si>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</si>
  <si>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</si>
  <si>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</si>
  <si>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</si>
  <si>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</si>
  <si>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</si>
  <si>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</si>
  <si>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</si>
  <si>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</si>
  <si>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</si>
  <si>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</si>
  <si>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</si>
  <si>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</si>
  <si>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</si>
  <si>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</si>
  <si>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</si>
  <si>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</si>
  <si>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</si>
  <si>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</si>
  <si>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</si>
  <si>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</si>
  <si>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</si>
  <si>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</si>
  <si>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</si>
  <si>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</si>
  <si>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</si>
  <si>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</si>
  <si>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</si>
  <si>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</si>
  <si>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</si>
  <si>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</si>
  <si>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</si>
  <si>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</si>
  <si>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</si>
  <si>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</si>
  <si>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</si>
  <si>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</si>
  <si>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</si>
  <si>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</si>
  <si>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</si>
  <si>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</si>
  <si>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</si>
  <si>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</si>
  <si>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</si>
  <si>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</si>
  <si>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</si>
  <si>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</si>
  <si>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</si>
  <si>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</si>
  <si>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</si>
  <si>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</si>
  <si>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</si>
  <si>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</si>
  <si>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</si>
  <si>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</si>
  <si>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</si>
  <si>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</si>
  <si>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</si>
  <si>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</si>
  <si>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</si>
  <si>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</si>
  <si>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</si>
  <si>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</si>
  <si>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</si>
  <si>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</si>
  <si>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</si>
  <si>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</si>
  <si>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</si>
  <si>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</si>
  <si>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</si>
  <si>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</si>
  <si>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</si>
  <si>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</si>
  <si>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</si>
  <si>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</si>
  <si>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</si>
  <si>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</si>
  <si>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</si>
  <si>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</si>
  <si>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</si>
  <si>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</si>
  <si>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</si>
  <si>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</si>
  <si>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</si>
  <si>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</si>
  <si>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</si>
  <si>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</si>
  <si>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</si>
  <si>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</si>
  <si>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</si>
  <si>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</si>
  <si>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</si>
  <si>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</si>
  <si>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</si>
  <si>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</si>
  <si>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</si>
  <si>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</si>
  <si>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</si>
  <si>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</si>
  <si>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</si>
  <si>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</si>
  <si>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</si>
  <si>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</si>
  <si>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</si>
  <si>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</si>
  <si>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</si>
  <si>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</si>
  <si>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</si>
  <si>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</si>
  <si>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</si>
  <si>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</si>
  <si>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</si>
  <si>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</si>
  <si>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</si>
  <si>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</si>
  <si>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</si>
  <si>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</si>
  <si>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</si>
  <si>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</si>
  <si>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</si>
  <si>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</si>
  <si>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</si>
  <si>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</si>
  <si>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</si>
  <si>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</si>
  <si>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</si>
  <si>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</si>
  <si>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</si>
  <si>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</si>
  <si>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</si>
  <si>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</si>
  <si>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</si>
  <si>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</si>
  <si>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</si>
  <si>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</si>
  <si>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</si>
  <si>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</si>
  <si>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</si>
  <si>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</si>
  <si>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</si>
  <si>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</si>
  <si>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</si>
  <si>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</si>
  <si>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</si>
  <si>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</si>
  <si>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</si>
  <si>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</si>
  <si>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</si>
  <si>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</si>
  <si>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</si>
  <si>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</si>
  <si>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</si>
  <si>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</si>
  <si>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</si>
  <si>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</si>
  <si>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</si>
  <si>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</si>
  <si>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</si>
  <si>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</si>
  <si>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</si>
  <si>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</si>
  <si>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</si>
  <si>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</si>
  <si>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</si>
  <si>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</si>
  <si>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</si>
  <si>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</si>
  <si>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</si>
  <si>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</si>
  <si>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</si>
  <si>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</si>
  <si>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</si>
  <si>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</si>
  <si>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</si>
  <si>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</si>
  <si>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</si>
  <si>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</si>
  <si>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</si>
  <si>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</si>
  <si>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</si>
  <si>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</si>
  <si>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</si>
  <si>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</si>
  <si>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</si>
  <si>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</si>
  <si>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</si>
  <si>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</si>
  <si>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</si>
  <si>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</si>
  <si>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</si>
  <si>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</si>
  <si>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</si>
  <si>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</si>
  <si>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</si>
  <si>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</si>
  <si>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</si>
  <si>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</si>
  <si>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</si>
  <si>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</si>
  <si>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</si>
  <si>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</si>
  <si>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</si>
  <si>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</si>
  <si>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</si>
  <si>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</si>
  <si>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</si>
  <si>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</si>
  <si>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</si>
  <si>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</si>
  <si>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</si>
  <si>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</si>
  <si>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</si>
  <si>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</si>
  <si>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</si>
  <si>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</si>
  <si>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</si>
  <si>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</si>
  <si>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</si>
  <si>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</si>
  <si>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</si>
  <si>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</si>
  <si>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</si>
  <si>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</si>
  <si>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</si>
  <si>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</si>
  <si>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</si>
  <si>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</si>
  <si>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</si>
  <si>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</si>
  <si>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</si>
  <si>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</si>
  <si>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</si>
  <si>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</si>
  <si>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</si>
  <si>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</si>
  <si>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</si>
  <si>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</si>
  <si>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</si>
  <si>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</si>
  <si>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</si>
  <si>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</si>
  <si>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</si>
  <si>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</si>
  <si>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</si>
  <si>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</si>
  <si>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</si>
  <si>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</si>
  <si>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</si>
  <si>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</si>
  <si>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</si>
  <si>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</si>
  <si>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</si>
  <si>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</si>
  <si>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</si>
  <si>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</si>
  <si>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</si>
  <si>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</si>
  <si>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</si>
  <si>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</si>
  <si>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</si>
  <si>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</si>
  <si>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</si>
  <si>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</si>
  <si>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</si>
  <si>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</si>
  <si>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</si>
  <si>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</si>
  <si>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</si>
  <si>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</si>
  <si>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</si>
  <si>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</si>
  <si>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</si>
  <si>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</si>
  <si>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</si>
  <si>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</si>
  <si>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</si>
  <si>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</si>
  <si>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</si>
  <si>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</si>
  <si>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</si>
  <si>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</si>
  <si>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</si>
  <si>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</si>
  <si>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</si>
  <si>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</si>
  <si>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</si>
  <si>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</si>
  <si>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</si>
  <si>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</si>
  <si>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</si>
  <si>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</si>
  <si>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</si>
  <si>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</si>
  <si>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</si>
  <si>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</si>
  <si>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</si>
  <si>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</si>
  <si>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</si>
  <si>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</si>
  <si>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</si>
  <si>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</si>
  <si>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</si>
  <si>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</si>
  <si>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</si>
  <si>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</si>
  <si>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</si>
  <si>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</si>
  <si>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</si>
  <si>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</si>
  <si>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</si>
  <si>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</si>
  <si>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</si>
  <si>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</si>
  <si>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</si>
  <si>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</si>
  <si>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</si>
  <si>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</si>
  <si>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</si>
  <si>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</si>
  <si>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</si>
  <si>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</si>
  <si>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</si>
  <si>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</si>
  <si>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</si>
  <si>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</si>
  <si>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</si>
  <si>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</si>
  <si>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</si>
  <si>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</si>
  <si>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</si>
  <si>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</si>
  <si>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</si>
  <si>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</si>
  <si>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</si>
  <si>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</si>
  <si>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</si>
  <si>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</si>
  <si>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</si>
  <si>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</si>
  <si>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</si>
  <si>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</si>
  <si>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</si>
  <si>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</si>
  <si>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</si>
  <si>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</si>
  <si>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</si>
  <si>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</si>
  <si>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</si>
  <si>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</si>
  <si>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</si>
  <si>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</si>
  <si>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</si>
  <si>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</si>
  <si>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</si>
  <si>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</si>
  <si>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</si>
  <si>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</si>
  <si>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</si>
  <si>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</si>
  <si>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</si>
  <si>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</si>
  <si>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</si>
  <si>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</si>
  <si>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</si>
  <si>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</si>
  <si>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</si>
  <si>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</si>
  <si>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</si>
  <si>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</si>
  <si>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</si>
  <si>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</si>
  <si>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</si>
  <si>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</si>
  <si>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</si>
  <si>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</si>
  <si>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</si>
  <si>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</si>
  <si>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</si>
  <si>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</si>
  <si>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</si>
  <si>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</si>
  <si>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</si>
  <si>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</si>
  <si>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</si>
  <si>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</si>
  <si>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</si>
  <si>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</si>
  <si>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</si>
  <si>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</si>
  <si>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</si>
  <si>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</si>
  <si>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</si>
  <si>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</si>
  <si>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</si>
  <si>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</si>
  <si>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</si>
  <si>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</si>
  <si>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</si>
  <si>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</si>
  <si>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</si>
  <si>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</si>
  <si>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</si>
  <si>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</si>
  <si>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</si>
  <si>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</si>
  <si>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</si>
  <si>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</si>
  <si>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</si>
  <si>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</si>
  <si>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</si>
  <si>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</si>
  <si>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</si>
  <si>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</si>
  <si>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</si>
  <si>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</si>
  <si>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</si>
  <si>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</si>
  <si>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</si>
  <si>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</si>
  <si>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</si>
  <si>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</si>
  <si>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</si>
  <si>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</si>
  <si>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</si>
  <si>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</si>
  <si>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</si>
  <si>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</si>
  <si>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</si>
  <si>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</si>
  <si>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</si>
  <si>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</si>
  <si>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</si>
  <si>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</si>
  <si>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</si>
  <si>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</si>
  <si>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</si>
  <si>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</si>
  <si>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</si>
  <si>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</si>
  <si>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</si>
  <si>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</si>
  <si>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</si>
  <si>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</si>
  <si>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</si>
  <si>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</si>
  <si>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</si>
  <si>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</si>
  <si>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</si>
  <si>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</si>
  <si>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</si>
  <si>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</si>
  <si>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</si>
  <si>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</si>
  <si>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</si>
  <si>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</si>
  <si>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</si>
  <si>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</si>
  <si>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</si>
  <si>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</si>
  <si>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</si>
  <si>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</si>
  <si>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</si>
  <si>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</si>
  <si>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</si>
  <si>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</si>
  <si>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</si>
  <si>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</si>
  <si>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</si>
  <si>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</si>
  <si>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</si>
  <si>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</si>
  <si>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</si>
  <si>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</si>
  <si>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</si>
  <si>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</si>
  <si>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</si>
  <si>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</si>
  <si>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</si>
  <si>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</si>
  <si>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</si>
  <si>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</si>
  <si>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</si>
  <si>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</si>
  <si>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</si>
  <si>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</si>
  <si>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</si>
  <si>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</si>
  <si>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</si>
  <si>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</si>
  <si>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</si>
  <si>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</si>
  <si>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</si>
  <si>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</si>
  <si>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</si>
  <si>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</si>
  <si>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</si>
  <si>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</si>
  <si>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</si>
  <si>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</si>
  <si>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</si>
  <si>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</si>
  <si>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</si>
  <si>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</si>
  <si>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</si>
  <si>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</si>
  <si>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</si>
  <si>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</si>
  <si>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</si>
  <si>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</si>
  <si>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</si>
  <si>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</si>
  <si>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</si>
  <si>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</si>
  <si>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</si>
  <si>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</si>
  <si>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</si>
  <si>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</si>
  <si>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</si>
  <si>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</si>
  <si>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</si>
  <si>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</si>
  <si>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</si>
  <si>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</si>
  <si>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</si>
  <si>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</si>
  <si>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</si>
  <si>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</si>
  <si>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</si>
  <si>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</si>
  <si>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</si>
  <si>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</si>
  <si>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</si>
  <si>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</si>
  <si>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</si>
  <si>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</si>
  <si>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</si>
  <si>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</si>
  <si>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</si>
  <si>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</si>
  <si>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</si>
  <si>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</si>
  <si>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</si>
  <si>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</si>
  <si>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</si>
  <si>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</si>
  <si>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</si>
  <si>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</si>
  <si>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</si>
  <si>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</si>
  <si>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</si>
  <si>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</si>
  <si>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</si>
  <si>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</si>
  <si>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</si>
  <si>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</si>
  <si>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</si>
  <si>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</si>
  <si>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</si>
  <si>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</si>
  <si>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</si>
  <si>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</si>
  <si>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</si>
  <si>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</si>
  <si>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</si>
  <si>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</si>
  <si>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</si>
  <si>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</si>
  <si>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</si>
  <si>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</si>
  <si>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</si>
  <si>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</si>
  <si>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</si>
  <si>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</si>
  <si>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</si>
  <si>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</si>
  <si>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</si>
  <si>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</si>
  <si>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</si>
  <si>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</si>
  <si>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</si>
  <si>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</si>
  <si>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</si>
  <si>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</si>
  <si>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</si>
  <si>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</si>
  <si>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</si>
  <si>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</si>
  <si>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</si>
  <si>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</si>
  <si>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</si>
  <si>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</si>
  <si>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</si>
  <si>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</si>
  <si>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</si>
  <si>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</si>
  <si>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</si>
  <si>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</si>
  <si>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</si>
  <si>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</si>
  <si>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</si>
  <si>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</si>
  <si>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</si>
  <si>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</si>
  <si>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</si>
  <si>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</si>
  <si>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</si>
  <si>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</si>
  <si>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</si>
  <si>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</si>
  <si>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</si>
  <si>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</si>
  <si>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</si>
  <si>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</si>
  <si>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</si>
  <si>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</si>
  <si>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</si>
  <si>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</si>
  <si>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</si>
  <si>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</si>
  <si>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</si>
  <si>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</si>
  <si>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</si>
  <si>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</si>
  <si>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</si>
  <si>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</si>
  <si>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</si>
  <si>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</si>
  <si>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</si>
  <si>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</si>
  <si>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</si>
  <si>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</si>
  <si>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</si>
  <si>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</si>
  <si>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</si>
  <si>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</si>
  <si>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</si>
  <si>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</si>
  <si>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</si>
  <si>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</si>
  <si>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</si>
  <si>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</si>
  <si>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</si>
  <si>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</si>
  <si>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</si>
  <si>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</si>
  <si>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</si>
  <si>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</si>
  <si>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</si>
  <si>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</si>
  <si>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</si>
  <si>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</si>
  <si>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</si>
  <si>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</si>
  <si>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</si>
  <si>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</si>
  <si>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</si>
  <si>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</si>
  <si>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</si>
  <si>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</si>
  <si>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</si>
  <si>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</si>
  <si>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</si>
  <si>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</si>
  <si>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</si>
  <si>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</si>
  <si>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</si>
  <si>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</si>
  <si>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</si>
  <si>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</si>
  <si>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</si>
  <si>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</si>
  <si>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</si>
  <si>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</si>
  <si>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</si>
  <si>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</si>
  <si>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</si>
  <si>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</si>
  <si>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</si>
  <si>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</si>
  <si>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</si>
  <si>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</si>
  <si>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</si>
  <si>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</si>
  <si>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</si>
  <si>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</si>
  <si>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</si>
  <si>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</si>
  <si>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</si>
  <si>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</si>
  <si>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</si>
  <si>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</si>
  <si>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</si>
  <si>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</si>
  <si>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</si>
  <si>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</si>
  <si>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</si>
  <si>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</si>
  <si>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</si>
  <si>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</si>
  <si>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</si>
  <si>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</si>
  <si>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</si>
  <si>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</si>
  <si>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</si>
  <si>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</si>
  <si>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</si>
  <si>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</si>
  <si>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</si>
  <si>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</si>
  <si>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</si>
  <si>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</si>
  <si>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</si>
  <si>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</si>
  <si>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</si>
  <si>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</si>
  <si>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</si>
  <si>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</si>
  <si>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</si>
  <si>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</si>
  <si>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</si>
  <si>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</si>
  <si>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</si>
  <si>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</si>
  <si>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</si>
  <si>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</si>
  <si>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</si>
  <si>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</si>
  <si>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</si>
  <si>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</si>
  <si>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</si>
  <si>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</si>
  <si>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</si>
  <si>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</si>
  <si>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</si>
  <si>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</si>
  <si>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</si>
  <si>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</si>
  <si>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</si>
  <si>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</si>
  <si>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</si>
  <si>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</si>
  <si>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</si>
  <si>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</si>
  <si>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</si>
  <si>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</si>
  <si>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</si>
  <si>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</si>
  <si>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</si>
  <si>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</si>
  <si>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</si>
  <si>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</si>
  <si>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</si>
  <si>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</si>
  <si>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</si>
  <si>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</si>
  <si>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</si>
  <si>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</si>
  <si>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</si>
  <si>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</si>
  <si>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</si>
  <si>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</si>
  <si>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</si>
  <si>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</si>
  <si>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</si>
  <si>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</si>
  <si>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</si>
  <si>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</si>
  <si>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</si>
  <si>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</si>
  <si>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</si>
  <si>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</si>
  <si>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</si>
  <si>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</si>
  <si>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</si>
  <si>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</si>
  <si>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</si>
  <si>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</si>
  <si>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</si>
  <si>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</si>
  <si>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</si>
  <si>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</si>
  <si>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</si>
  <si>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</si>
  <si>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</si>
  <si>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</si>
  <si>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</si>
  <si>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</si>
  <si>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</si>
  <si>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</si>
  <si>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</si>
  <si>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</si>
  <si>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</si>
  <si>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</si>
  <si>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</si>
  <si>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</si>
  <si>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</si>
  <si>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</si>
  <si>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</si>
  <si>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</si>
  <si>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</si>
  <si>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</si>
  <si>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</si>
  <si>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</si>
  <si>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</si>
  <si>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</si>
  <si>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</si>
  <si>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</si>
  <si>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</si>
  <si>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</si>
  <si>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</si>
  <si>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</si>
  <si>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</si>
  <si>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</si>
  <si>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</si>
  <si>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</si>
  <si>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</si>
  <si>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</si>
  <si>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</si>
  <si>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</si>
  <si>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</si>
  <si>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</si>
  <si>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</si>
  <si>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</si>
  <si>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</si>
  <si>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</si>
  <si>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</si>
  <si>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</si>
  <si>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</si>
  <si>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</si>
  <si>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</si>
  <si>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</si>
  <si>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</si>
  <si>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</si>
  <si>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</si>
  <si>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</si>
  <si>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</si>
  <si>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</si>
  <si>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</si>
  <si>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</si>
  <si>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</si>
  <si>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</si>
  <si>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</si>
  <si>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</si>
  <si>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</si>
  <si>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</si>
  <si>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</si>
  <si>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</si>
  <si>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</si>
  <si>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</si>
  <si>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</si>
  <si>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</si>
  <si>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</si>
  <si>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</si>
  <si>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</si>
  <si>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</si>
  <si>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</si>
  <si>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</si>
  <si>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</si>
  <si>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</si>
  <si>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</si>
  <si>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</si>
  <si>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</si>
  <si>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</si>
  <si>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</si>
  <si>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</si>
  <si>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</si>
  <si>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</si>
  <si>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</si>
  <si>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</si>
  <si>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</si>
  <si>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</si>
  <si>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</si>
  <si>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</si>
  <si>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</si>
  <si>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</si>
  <si>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</si>
  <si>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</si>
  <si>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</si>
  <si>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</si>
  <si>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</si>
  <si>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</si>
  <si>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</si>
  <si>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</si>
  <si>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</si>
  <si>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</si>
  <si>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</si>
  <si>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</si>
  <si>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</si>
  <si>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</si>
  <si>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</si>
  <si>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</si>
  <si>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</si>
  <si>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</si>
  <si>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</si>
  <si>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</si>
  <si>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</si>
  <si>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</si>
  <si>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</si>
  <si>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</si>
  <si>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</si>
  <si>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</si>
  <si>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</si>
  <si>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</si>
  <si>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</si>
  <si>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</si>
  <si>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</si>
  <si>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</si>
  <si>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</si>
  <si>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</si>
  <si>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</si>
  <si>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</si>
  <si>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</si>
  <si>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</si>
  <si>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</si>
  <si>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</si>
  <si>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</si>
  <si>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</si>
  <si>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</si>
  <si>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</si>
  <si>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</si>
  <si>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</si>
  <si>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</si>
  <si>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</si>
  <si>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</si>
  <si>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</si>
  <si>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</si>
  <si>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</si>
  <si>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</si>
  <si>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</si>
  <si>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</si>
  <si>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</si>
  <si>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</si>
  <si>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</si>
  <si>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</si>
  <si>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</si>
  <si>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</si>
  <si>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</si>
  <si>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</si>
  <si>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</si>
  <si>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</si>
  <si>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</si>
  <si>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</si>
  <si>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</si>
  <si>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</si>
  <si>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</si>
  <si>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</si>
  <si>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</si>
  <si>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</si>
  <si>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</si>
  <si>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</si>
  <si>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</si>
  <si>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</si>
  <si>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</si>
  <si>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</si>
  <si>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</si>
  <si>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</si>
  <si>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</si>
  <si>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</si>
  <si>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</si>
  <si>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</si>
  <si>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</si>
  <si>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</si>
  <si>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</si>
  <si>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</si>
  <si>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</si>
  <si>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</si>
  <si>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</si>
  <si>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</si>
  <si>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</si>
  <si>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</si>
  <si>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</si>
  <si>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</si>
  <si>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</si>
  <si>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</si>
  <si>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</si>
  <si>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</si>
  <si>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</si>
  <si>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</si>
  <si>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</si>
  <si>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</si>
  <si>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</si>
  <si>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</si>
  <si>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</si>
  <si>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</si>
  <si>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</si>
  <si>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</si>
  <si>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</si>
  <si>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</si>
  <si>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</si>
  <si>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</si>
  <si>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</si>
  <si>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</si>
  <si>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</si>
  <si>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</si>
  <si>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</si>
  <si>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</si>
  <si>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</si>
  <si>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</si>
  <si>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</si>
  <si>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</si>
  <si>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</si>
  <si>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</si>
  <si>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</si>
  <si>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</si>
  <si>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</si>
  <si>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</si>
  <si>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</si>
  <si>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</si>
  <si>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</si>
  <si>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</si>
  <si>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</si>
  <si>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</si>
  <si>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</si>
  <si>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</si>
  <si>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</si>
  <si>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</si>
  <si>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</si>
  <si>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</si>
  <si>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</si>
  <si>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</si>
  <si>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</si>
  <si>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</si>
  <si>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</si>
  <si>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</si>
  <si>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</si>
  <si>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</si>
  <si>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</si>
  <si>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</si>
  <si>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</si>
  <si>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</si>
  <si>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</si>
  <si>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</si>
  <si>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</si>
  <si>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</si>
  <si>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</si>
  <si>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</si>
  <si>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</si>
  <si>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</si>
  <si>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</si>
  <si>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</si>
  <si>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</si>
  <si>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</si>
  <si>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</si>
  <si>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</si>
  <si>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</si>
  <si>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</si>
  <si>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</si>
  <si>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</si>
  <si>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</si>
  <si>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</si>
  <si>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</si>
  <si>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</si>
  <si>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</si>
  <si>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</si>
  <si>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</si>
  <si>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</si>
  <si>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</si>
  <si>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</si>
  <si>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</si>
  <si>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</si>
  <si>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</si>
  <si>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</si>
  <si>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</si>
  <si>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</si>
  <si>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</si>
  <si>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</si>
  <si>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</si>
  <si>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</si>
  <si>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</si>
  <si>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</si>
  <si>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</si>
  <si>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</si>
  <si>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</si>
  <si>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</si>
  <si>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</si>
  <si>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</si>
  <si>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</si>
  <si>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</si>
  <si>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</si>
  <si>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</si>
  <si>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</si>
  <si>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</si>
  <si>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</si>
  <si>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</si>
  <si>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</si>
  <si>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</si>
  <si>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</si>
  <si>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</si>
  <si>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</si>
  <si>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</si>
  <si>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</si>
  <si>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</si>
  <si>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</si>
  <si>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</si>
  <si>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</si>
  <si>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</si>
  <si>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</si>
  <si>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</si>
  <si>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</si>
  <si>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</si>
  <si>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</si>
  <si>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</si>
  <si>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</si>
  <si>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</si>
  <si>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</si>
  <si>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</si>
  <si>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</si>
  <si>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</si>
  <si>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</si>
  <si>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</si>
  <si>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</si>
  <si>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</si>
  <si>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</si>
  <si>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</si>
  <si>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</si>
  <si>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</si>
  <si>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</si>
  <si>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</si>
  <si>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</si>
  <si>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</si>
  <si>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</si>
  <si>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</si>
  <si>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</si>
  <si>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</si>
  <si>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</si>
  <si>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</si>
  <si>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</si>
  <si>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</si>
  <si>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</si>
  <si>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</si>
  <si>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</si>
  <si>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</si>
  <si>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</si>
  <si>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</si>
  <si>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</si>
  <si>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</si>
  <si>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</si>
  <si>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</si>
  <si>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</si>
  <si>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</si>
  <si>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</si>
  <si>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</si>
  <si>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</si>
  <si>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</si>
  <si>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</si>
  <si>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</si>
  <si>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</si>
  <si>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</si>
  <si>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</si>
  <si>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</si>
  <si>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</si>
  <si>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</si>
  <si>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</si>
  <si>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</si>
  <si>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</si>
  <si>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</si>
  <si>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</si>
  <si>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</si>
  <si>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</si>
  <si>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</si>
  <si>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</si>
  <si>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</si>
  <si>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</si>
  <si>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</si>
  <si>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</si>
  <si>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</si>
  <si>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</si>
  <si>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</si>
  <si>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</si>
  <si>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</si>
  <si>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</si>
  <si>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</si>
  <si>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</si>
  <si>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</si>
  <si>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</si>
  <si>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</si>
  <si>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</si>
  <si>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</si>
  <si>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</si>
  <si>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</si>
  <si>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</si>
  <si>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</si>
  <si>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</si>
  <si>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</si>
  <si>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</si>
  <si>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</si>
  <si>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</si>
  <si>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</si>
  <si>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</si>
  <si>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</si>
  <si>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</si>
  <si>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</si>
  <si>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</si>
  <si>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</si>
  <si>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</si>
  <si>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</si>
  <si>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</si>
  <si>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</si>
  <si>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</si>
  <si>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</si>
  <si>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</si>
  <si>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</si>
  <si>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</si>
  <si>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</si>
  <si>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</si>
  <si>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</si>
  <si>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</si>
  <si>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</si>
  <si>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</si>
  <si>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</si>
  <si>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</si>
  <si>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</si>
  <si>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</si>
  <si>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</si>
  <si>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</si>
  <si>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</si>
  <si>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</si>
  <si>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</si>
  <si>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</si>
  <si>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</si>
  <si>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</si>
  <si>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</si>
  <si>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</si>
  <si>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</si>
  <si>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</si>
  <si>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</si>
  <si>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</si>
  <si>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</si>
  <si>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</si>
  <si>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</si>
  <si>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</si>
  <si>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</si>
  <si>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</si>
  <si>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</si>
  <si>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</si>
  <si>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</si>
  <si>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</si>
  <si>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</si>
  <si>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</si>
  <si>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</si>
  <si>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</si>
  <si>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</si>
  <si>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</si>
  <si>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</si>
  <si>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</si>
  <si>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</si>
  <si>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</si>
  <si>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</si>
  <si>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</si>
  <si>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</si>
  <si>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</si>
  <si>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</si>
  <si>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</si>
  <si>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</si>
  <si>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</si>
  <si>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</si>
  <si>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</si>
  <si>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</si>
  <si>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</si>
  <si>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</si>
  <si>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</si>
  <si>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</si>
  <si>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</si>
  <si>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</si>
  <si>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</si>
  <si>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</si>
  <si>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</si>
  <si>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</si>
  <si>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</si>
  <si>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</si>
  <si>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</si>
  <si>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</si>
  <si>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</si>
  <si>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</si>
  <si>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</si>
  <si>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</si>
  <si>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</si>
  <si>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</si>
  <si>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</si>
  <si>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</si>
  <si>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</si>
  <si>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</si>
  <si>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</si>
  <si>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</si>
  <si>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</si>
  <si>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</si>
  <si>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</si>
  <si>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</si>
  <si>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</si>
  <si>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</si>
  <si>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</si>
  <si>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</si>
  <si>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</si>
  <si>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</si>
  <si>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</si>
  <si>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</si>
  <si>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</si>
  <si>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</si>
  <si>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</si>
  <si>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</si>
  <si>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</si>
  <si>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</si>
  <si>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</si>
  <si>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</si>
  <si>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</si>
  <si>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</si>
  <si>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</si>
  <si>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</si>
  <si>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</si>
  <si>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</si>
  <si>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</si>
  <si>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</si>
  <si>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</si>
  <si>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</si>
  <si>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</si>
  <si>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</si>
  <si>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</si>
  <si>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</si>
  <si>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</si>
  <si>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</si>
  <si>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</si>
  <si>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</si>
  <si>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</si>
  <si>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</si>
  <si>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</si>
  <si>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</si>
  <si>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</si>
  <si>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</si>
  <si>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</si>
  <si>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</si>
  <si>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</si>
  <si>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</si>
  <si>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</si>
  <si>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</si>
  <si>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</si>
  <si>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</si>
  <si>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</si>
  <si>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</si>
  <si>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</si>
  <si>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</si>
  <si>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</si>
  <si>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</si>
  <si>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</si>
  <si>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</si>
  <si>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</si>
  <si>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</si>
  <si>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</si>
  <si>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</si>
  <si>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</si>
  <si>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</si>
  <si>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</si>
  <si>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</si>
  <si>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</si>
  <si>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</si>
  <si>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</si>
  <si>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</si>
  <si>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</si>
  <si>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</si>
  <si>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</si>
  <si>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</si>
  <si>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</si>
  <si>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</si>
  <si>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</si>
  <si>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</si>
  <si>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</si>
  <si>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</si>
  <si>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</si>
  <si>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</si>
  <si>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</si>
  <si>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</si>
  <si>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</si>
  <si>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</si>
  <si>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</si>
  <si>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</si>
  <si>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</si>
  <si>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</si>
  <si>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</si>
  <si>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</si>
  <si>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</si>
  <si>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</si>
  <si>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</si>
  <si>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</si>
  <si>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</si>
  <si>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</si>
  <si>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</si>
  <si>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</si>
  <si>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</si>
  <si>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</si>
  <si>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</si>
  <si>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</si>
  <si>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</si>
  <si>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</si>
  <si>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</si>
  <si>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</si>
  <si>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</si>
  <si>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</si>
  <si>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</si>
  <si>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</si>
  <si>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</si>
  <si>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</si>
  <si>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</si>
  <si>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</si>
  <si>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</si>
  <si>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</si>
  <si>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</si>
  <si>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</si>
  <si>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</si>
  <si>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</si>
  <si>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</si>
  <si>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</si>
  <si>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</si>
  <si>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</si>
  <si>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</si>
  <si>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</si>
  <si>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</si>
  <si>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</si>
  <si>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</si>
  <si>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</si>
  <si>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</si>
  <si>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</si>
  <si>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</si>
  <si>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</si>
  <si>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</si>
  <si>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</si>
  <si>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</si>
  <si>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</si>
  <si>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</si>
  <si>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</si>
  <si>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</si>
  <si>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</si>
  <si>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</si>
  <si>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</si>
  <si>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</si>
  <si>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</si>
  <si>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</si>
  <si>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</si>
  <si>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</si>
  <si>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</si>
  <si>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</si>
  <si>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</si>
  <si>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</si>
  <si>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</si>
  <si>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</si>
  <si>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</si>
  <si>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</si>
  <si>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</si>
  <si>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</si>
  <si>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</si>
  <si>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</si>
  <si>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</si>
  <si>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</si>
  <si>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</si>
  <si>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</si>
  <si>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</si>
  <si>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</si>
  <si>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</si>
  <si>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</si>
  <si>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</si>
  <si>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</si>
  <si>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</si>
  <si>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</si>
  <si>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</si>
  <si>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</si>
  <si>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</si>
  <si>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</si>
  <si>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</si>
  <si>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</si>
  <si>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</si>
  <si>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</si>
  <si>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</si>
  <si>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</si>
  <si>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</si>
  <si>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</si>
  <si>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</si>
  <si>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</si>
  <si>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</si>
  <si>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</si>
  <si>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</si>
  <si>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</si>
  <si>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</si>
  <si>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</si>
  <si>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</si>
  <si>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</si>
  <si>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</si>
  <si>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</si>
  <si>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</si>
  <si>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</si>
  <si>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</si>
  <si>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</si>
  <si>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</si>
  <si>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</si>
  <si>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</si>
  <si>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</si>
  <si>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</si>
  <si>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</si>
  <si>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</si>
  <si>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</si>
  <si>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</si>
  <si>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</si>
  <si>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</si>
  <si>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</si>
  <si>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</si>
  <si>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</si>
  <si>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</si>
  <si>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</si>
  <si>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</si>
  <si>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</si>
  <si>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</si>
  <si>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</si>
  <si>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</si>
  <si>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</si>
  <si>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</si>
  <si>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</si>
  <si>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</si>
  <si>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</si>
  <si>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</si>
  <si>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</si>
  <si>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</si>
  <si>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</si>
  <si>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</si>
  <si>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</si>
  <si>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</si>
  <si>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</si>
  <si>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</si>
  <si>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</si>
  <si>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</si>
  <si>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</si>
  <si>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</si>
  <si>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</si>
  <si>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</si>
  <si>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</si>
  <si>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</si>
  <si>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</si>
  <si>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</si>
  <si>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</si>
  <si>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</si>
  <si>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</si>
  <si>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</si>
  <si>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</si>
  <si>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</si>
  <si>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</si>
  <si>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</si>
  <si>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</si>
  <si>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</si>
  <si>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</si>
  <si>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</si>
  <si>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</si>
  <si>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</si>
  <si>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</si>
  <si>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</si>
  <si>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</si>
  <si>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</si>
  <si>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</si>
  <si>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</si>
  <si>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</si>
  <si>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</si>
  <si>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</si>
  <si>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</si>
  <si>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</si>
  <si>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</si>
  <si>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</si>
  <si>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</si>
  <si>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</si>
  <si>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</si>
  <si>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</si>
  <si>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</si>
  <si>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</si>
  <si>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</si>
  <si>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</si>
  <si>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</si>
  <si>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</si>
  <si>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</si>
  <si>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</si>
  <si>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</si>
  <si>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</si>
  <si>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</si>
  <si>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</si>
  <si>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</si>
  <si>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</si>
  <si>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</si>
  <si>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</si>
  <si>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</si>
  <si>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</si>
  <si>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</si>
  <si>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</si>
  <si>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</si>
  <si>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</si>
  <si>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</si>
  <si>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</si>
  <si>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</si>
  <si>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</si>
  <si>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</si>
  <si>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</si>
  <si>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</si>
  <si>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</si>
  <si>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</si>
  <si>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</si>
  <si>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</si>
  <si>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</si>
  <si>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</si>
  <si>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</si>
  <si>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</si>
  <si>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</si>
  <si>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</si>
  <si>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</si>
  <si>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</si>
  <si>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</si>
  <si>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</si>
  <si>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</si>
  <si>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</si>
  <si>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</si>
  <si>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</si>
  <si>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</si>
  <si>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</si>
  <si>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</si>
  <si>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</si>
  <si>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</si>
  <si>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</si>
  <si>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</si>
  <si>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</si>
  <si>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</si>
  <si>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</si>
  <si>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</si>
  <si>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</si>
  <si>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</si>
  <si>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</si>
  <si>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</si>
  <si>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</si>
  <si>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</si>
  <si>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</si>
  <si>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</si>
  <si>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</si>
  <si>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</si>
  <si>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</si>
  <si>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</si>
  <si>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</si>
  <si>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</si>
  <si>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</si>
  <si>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</si>
  <si>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</si>
  <si>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</si>
  <si>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</si>
  <si>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</si>
  <si>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</si>
  <si>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</si>
  <si>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</si>
  <si>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</si>
  <si>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</si>
  <si>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</si>
  <si>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</si>
  <si>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</si>
  <si>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</si>
  <si>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</si>
  <si>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</si>
  <si>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</si>
  <si>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</si>
  <si>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</si>
  <si>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</si>
  <si>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</si>
  <si>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</si>
  <si>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</si>
  <si>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</si>
  <si>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</si>
  <si>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</si>
  <si>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</si>
  <si>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</si>
  <si>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</si>
  <si>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</si>
  <si>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</si>
  <si>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</si>
  <si>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</si>
  <si>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</si>
  <si>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</si>
  <si>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</si>
  <si>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</si>
  <si>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</si>
  <si>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</si>
  <si>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</si>
  <si>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</si>
  <si>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</si>
  <si>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</si>
  <si>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</si>
  <si>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</si>
  <si>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</si>
  <si>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</si>
  <si>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</si>
  <si>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</si>
  <si>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</si>
  <si>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</si>
  <si>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</si>
  <si>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</si>
  <si>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</si>
  <si>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</si>
  <si>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</si>
  <si>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</si>
  <si>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</si>
  <si>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</si>
  <si>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</si>
  <si>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</si>
  <si>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</si>
  <si>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</si>
  <si>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</si>
  <si>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</si>
  <si>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</si>
  <si>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</si>
  <si>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</si>
  <si>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</si>
  <si>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</si>
  <si>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</si>
  <si>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</si>
  <si>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</si>
  <si>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</si>
  <si>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</si>
  <si>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</si>
  <si>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</si>
  <si>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</si>
  <si>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</si>
  <si>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</si>
  <si>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</si>
  <si>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</si>
  <si>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</si>
  <si>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</si>
  <si>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</si>
  <si>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</si>
  <si>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</si>
  <si>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</si>
  <si>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</si>
  <si>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</si>
  <si>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</si>
  <si>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</si>
  <si>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</si>
  <si>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</si>
  <si>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</si>
  <si>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</si>
  <si>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</si>
  <si>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</si>
  <si>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</si>
  <si>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</si>
  <si>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</si>
  <si>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</si>
  <si>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</si>
  <si>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</si>
  <si>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</si>
  <si>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</si>
  <si>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</si>
  <si>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</si>
  <si>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</si>
  <si>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</si>
  <si>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</si>
  <si>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</si>
  <si>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</si>
  <si>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</si>
  <si>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</si>
  <si>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</si>
  <si>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</si>
  <si>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</si>
  <si>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</si>
  <si>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</si>
  <si>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</si>
  <si>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</si>
  <si>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</si>
  <si>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</si>
  <si>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</si>
  <si>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</si>
  <si>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</si>
  <si>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</si>
  <si>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</si>
  <si>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</si>
  <si>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</si>
  <si>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</si>
  <si>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</si>
  <si>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</si>
  <si>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</si>
  <si>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</si>
  <si>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</si>
  <si>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</si>
  <si>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</si>
  <si>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</si>
  <si>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</si>
  <si>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</si>
  <si>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</si>
  <si>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</si>
  <si>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</si>
  <si>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</si>
  <si>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</si>
  <si>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</si>
  <si>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</si>
  <si>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</si>
  <si>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</si>
  <si>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</si>
  <si>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</si>
  <si>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</si>
  <si>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</si>
  <si>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</si>
  <si>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</si>
  <si>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</si>
  <si>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</si>
  <si>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</si>
  <si>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</si>
  <si>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</si>
  <si>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</si>
  <si>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</si>
  <si>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</si>
  <si>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</si>
  <si>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</si>
  <si>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</si>
  <si>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</si>
  <si>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</si>
  <si>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</si>
  <si>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</si>
  <si>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</si>
  <si>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</si>
  <si>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</si>
  <si>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</si>
  <si>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</si>
  <si>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</si>
  <si>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</si>
  <si>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</si>
  <si>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</si>
  <si>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</si>
  <si>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</si>
  <si>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</si>
  <si>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</si>
  <si>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</si>
  <si>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</si>
  <si>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</si>
  <si>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</si>
  <si>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</si>
  <si>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</si>
  <si>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</si>
  <si>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</si>
  <si>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</si>
  <si>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</si>
  <si>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</si>
  <si>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</si>
  <si>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</si>
  <si>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</si>
  <si>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</si>
  <si>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</si>
  <si>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</si>
  <si>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</si>
  <si>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</si>
  <si>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</si>
  <si>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</si>
  <si>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</si>
  <si>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</si>
  <si>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</si>
  <si>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</si>
  <si>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</si>
  <si>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</si>
  <si>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</si>
  <si>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</si>
  <si>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</si>
  <si>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</si>
  <si>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</si>
  <si>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</si>
  <si>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</si>
  <si>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</si>
  <si>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</si>
  <si>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</si>
  <si>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</si>
  <si>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</si>
  <si>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</si>
  <si>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</si>
  <si>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</si>
  <si>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</si>
  <si>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</si>
  <si>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</si>
  <si>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</si>
  <si>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</si>
  <si>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</si>
  <si>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</si>
  <si>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</si>
  <si>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</si>
  <si>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</si>
  <si>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</si>
  <si>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</si>
  <si>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</si>
  <si>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</si>
  <si>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</si>
  <si>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</si>
  <si>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</si>
  <si>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</si>
  <si>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</si>
  <si>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</si>
  <si>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</si>
  <si>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</si>
  <si>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</si>
  <si>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</si>
  <si>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</si>
  <si>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</si>
  <si>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</si>
  <si>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</si>
  <si>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</si>
  <si>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</si>
  <si>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</si>
  <si>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</si>
  <si>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</si>
  <si>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</si>
  <si>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</si>
  <si>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</si>
  <si>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</si>
  <si>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</si>
  <si>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</si>
  <si>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</si>
  <si>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</si>
  <si>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</si>
  <si>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</si>
  <si>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</si>
  <si>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</si>
  <si>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</si>
  <si>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</si>
  <si>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</si>
  <si>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</si>
  <si>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</si>
  <si>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</si>
  <si>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</si>
  <si>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</si>
  <si>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</si>
  <si>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</si>
  <si>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</si>
  <si>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</si>
  <si>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</si>
  <si>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</si>
  <si>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</si>
  <si>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</si>
  <si>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</si>
  <si>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</si>
  <si>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</si>
  <si>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</si>
  <si>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</si>
  <si>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</si>
  <si>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</si>
  <si>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</si>
  <si>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</si>
  <si>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</si>
  <si>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</si>
  <si>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</si>
  <si>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</si>
  <si>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</si>
  <si>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</si>
  <si>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</si>
  <si>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</si>
  <si>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</si>
  <si>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</si>
  <si>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</si>
  <si>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</si>
  <si>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</si>
  <si>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</si>
  <si>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</si>
  <si>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</si>
  <si>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</si>
  <si>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</si>
  <si>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</si>
  <si>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</si>
  <si>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</si>
  <si>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</si>
  <si>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</si>
  <si>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</si>
  <si>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</si>
  <si>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</si>
  <si>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</si>
  <si>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</si>
  <si>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</si>
  <si>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</si>
  <si>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</si>
  <si>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</si>
  <si>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</si>
  <si>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</si>
  <si>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</si>
  <si>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</si>
  <si>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</si>
  <si>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</si>
  <si>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</si>
  <si>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</si>
  <si>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</si>
  <si>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</si>
  <si>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</si>
  <si>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</si>
  <si>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</si>
  <si>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</si>
  <si>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</si>
  <si>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</si>
  <si>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</si>
  <si>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</si>
  <si>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</si>
  <si>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</si>
  <si>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</si>
  <si>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</si>
  <si>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</si>
  <si>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</si>
  <si>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</si>
  <si>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</si>
  <si>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</si>
  <si>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</si>
  <si>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</si>
  <si>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</si>
  <si>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</si>
  <si>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</si>
  <si>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</si>
  <si>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</si>
  <si>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</si>
  <si>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</si>
  <si>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</si>
  <si>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</si>
  <si>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</si>
  <si>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</si>
  <si>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</si>
  <si>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</si>
  <si>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</si>
  <si>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</si>
  <si>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</si>
  <si>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</si>
  <si>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</si>
  <si>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</si>
  <si>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</si>
  <si>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</si>
  <si>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</si>
  <si>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</si>
  <si>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</si>
  <si>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</si>
  <si>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</si>
  <si>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</si>
  <si>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</si>
  <si>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</si>
  <si>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</si>
  <si>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</si>
  <si>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</si>
  <si>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</si>
  <si>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</si>
  <si>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</si>
  <si>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</si>
  <si>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</si>
  <si>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</si>
  <si>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</si>
  <si>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</si>
  <si>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</si>
  <si>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</si>
  <si>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</si>
  <si>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</si>
  <si>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</si>
  <si>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</si>
  <si>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</si>
  <si>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</si>
  <si>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</si>
  <si>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</si>
  <si>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</si>
  <si>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</si>
  <si>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</si>
  <si>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</si>
  <si>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</si>
  <si>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</si>
  <si>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</si>
  <si>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</si>
  <si>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</si>
  <si>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</si>
  <si>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</si>
  <si>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</si>
  <si>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</si>
  <si>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</si>
  <si>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</si>
  <si>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</si>
  <si>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</si>
  <si>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</si>
  <si>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</si>
  <si>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</si>
  <si>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</si>
  <si>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</si>
  <si>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</si>
  <si>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</si>
  <si>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</si>
  <si>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</si>
  <si>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</si>
  <si>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</si>
  <si>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</si>
  <si>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</si>
  <si>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</si>
  <si>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</si>
  <si>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</si>
  <si>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</si>
  <si>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</si>
  <si>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</si>
  <si>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</si>
  <si>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</si>
  <si>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</si>
  <si>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</si>
  <si>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</si>
  <si>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</si>
  <si>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</si>
  <si>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</si>
  <si>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</si>
  <si>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</si>
  <si>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</si>
  <si>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</si>
  <si>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</si>
  <si>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</si>
  <si>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</si>
  <si>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</si>
  <si>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</si>
  <si>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</si>
  <si>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</si>
  <si>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</si>
  <si>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</si>
  <si>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</si>
  <si>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</si>
  <si>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</si>
  <si>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</si>
  <si>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</si>
  <si>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</si>
  <si>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</si>
  <si>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</si>
  <si>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农产品批发市场</t>
    <phoneticPr fontId="5" type="noConversion"/>
  </si>
  <si>
    <t>经市政府批准的一级农产品批发市场用地</t>
    <phoneticPr fontId="5" type="noConversion"/>
  </si>
  <si>
    <t>商务金融用地</t>
  </si>
  <si>
    <t>城镇住宅用地</t>
  </si>
  <si>
    <t>M4科研用地</t>
  </si>
  <si>
    <t>农产品批发市场</t>
  </si>
  <si>
    <t>经市政府批准的一级农产品批发市场用地</t>
  </si>
  <si>
    <t>2025-3</t>
    <phoneticPr fontId="5" type="noConversion"/>
  </si>
  <si>
    <t>2025-2</t>
    <phoneticPr fontId="5" type="noConversion"/>
  </si>
  <si>
    <t>2025-3</t>
    <phoneticPr fontId="5" type="noConversion"/>
  </si>
  <si>
    <t>抵押</t>
  </si>
  <si>
    <t>房地产抵押价值</t>
  </si>
  <si>
    <t>北京市</t>
  </si>
  <si>
    <t>企业</t>
  </si>
  <si>
    <t>现房</t>
  </si>
  <si>
    <t>是</t>
  </si>
  <si>
    <t>地上</t>
  </si>
  <si>
    <t>后沙峪镇</t>
    <phoneticPr fontId="5" type="noConversion"/>
  </si>
  <si>
    <t>成新度</t>
  </si>
  <si>
    <t>建成年代</t>
    <phoneticPr fontId="5" type="noConversion"/>
  </si>
  <si>
    <t>收益法 (元)</t>
  </si>
  <si>
    <t>押一</t>
  </si>
  <si>
    <t>钢混</t>
  </si>
  <si>
    <t>非生产用房</t>
  </si>
  <si>
    <t>否</t>
  </si>
  <si>
    <t>单套模式</t>
  </si>
  <si>
    <t>售价</t>
  </si>
  <si>
    <t>自定义容积率</t>
  </si>
  <si>
    <t>不临65条商业街</t>
  </si>
  <si>
    <t>与级别开发程度一致</t>
  </si>
  <si>
    <t>按公示增长率计算</t>
  </si>
  <si>
    <t>中心城区以外</t>
  </si>
  <si>
    <t>楼层修正</t>
  </si>
  <si>
    <t>较好</t>
  </si>
  <si>
    <t>一般</t>
  </si>
  <si>
    <t>较差</t>
  </si>
  <si>
    <t>好</t>
  </si>
  <si>
    <t>未包含在土地购买价格中</t>
  </si>
  <si>
    <t>已包含在土地取得成本中</t>
  </si>
  <si>
    <t>楼面单价</t>
  </si>
  <si>
    <t>自定义</t>
  </si>
  <si>
    <r>
      <t>我爱我家1</t>
    </r>
    <r>
      <rPr>
        <sz val="11"/>
        <color theme="1"/>
        <rFont val="宋体"/>
        <family val="2"/>
        <scheme val="minor"/>
      </rPr>
      <t>3699275080</t>
    </r>
    <phoneticPr fontId="136" type="noConversion"/>
  </si>
  <si>
    <r>
      <t>裕庆路一层商业租金6</t>
    </r>
    <r>
      <rPr>
        <sz val="11"/>
        <color theme="1"/>
        <rFont val="宋体"/>
        <family val="2"/>
        <scheme val="minor"/>
      </rPr>
      <t>-6.5元，银行租再高一点</t>
    </r>
    <phoneticPr fontId="136" type="noConversion"/>
  </si>
  <si>
    <r>
      <t>现有祥云小镇一层4</t>
    </r>
    <r>
      <rPr>
        <sz val="11"/>
        <color theme="1"/>
        <rFont val="宋体"/>
        <family val="2"/>
        <scheme val="minor"/>
      </rPr>
      <t>00平左右，租金10块</t>
    </r>
    <phoneticPr fontId="136" type="noConversion"/>
  </si>
  <si>
    <r>
      <t>银行现在正在谈租金8</t>
    </r>
    <r>
      <rPr>
        <sz val="11"/>
        <color theme="1"/>
        <rFont val="宋体"/>
        <family val="3"/>
        <charset val="134"/>
        <scheme val="minor"/>
      </rPr>
      <t>-10元</t>
    </r>
    <phoneticPr fontId="136" type="noConversion"/>
  </si>
  <si>
    <t>2025年9月给银行报价银行网点租金8元</t>
    <phoneticPr fontId="136" type="noConversion"/>
  </si>
  <si>
    <t>报价</t>
    <phoneticPr fontId="10" type="noConversion"/>
  </si>
  <si>
    <t>28000-30000</t>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</si>
  <si>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</si>
  <si>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t>顺义区裕庆路空港段 22 号院一区 1 号楼 6 层 602</t>
  </si>
  <si>
    <t>顺义区裕庆路空港段 22 号院一区 1 号楼 7 层 701</t>
  </si>
  <si>
    <t>顺义区裕庆路空港段 22 号院一区 1 号楼 7 层 702</t>
  </si>
  <si>
    <t>顺义区裕庆路空港段 22 号院一区 1 号楼 8 层 801</t>
  </si>
  <si>
    <t>顺义区裕庆路空港段 22 号院一区 1 号楼 7 层 703</t>
  </si>
  <si>
    <t>顺义区裕庆路空港段 22 号院一区 1 号楼 8 层 802</t>
  </si>
  <si>
    <t>顺义区裕庆路空港段 22 号院一区 1 号楼 9 层 901</t>
  </si>
  <si>
    <t>顺义区裕庆路空港段 22 号院一区 1 号楼 6 层 603</t>
  </si>
  <si>
    <t>顺义区裕庆路空港段 22 号院一区 1 号楼 6 层 601</t>
  </si>
  <si>
    <t>顺义区裕庆路空港段 22 号院一区 1 号楼 9 层 902</t>
  </si>
  <si>
    <t>顺义区裕庆路空港段 22 号院一区 1 号楼 8 层 803</t>
  </si>
  <si>
    <t>办公</t>
    <phoneticPr fontId="9" type="noConversion"/>
  </si>
  <si>
    <t>比较法-办公</t>
  </si>
  <si>
    <t>项目模式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</si>
</sst>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cellStyleXfs>
  <cellXfs count="3519">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0" fontId="109" fillId="6" borderId="7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32" xfId="0" applyFont="1" applyFill="1" applyBorder="1" applyAlignment="1">
      <alignment horizontal="left" vertical="center"/>
    </xf>
    <xf numFmtId="0" fontId="109" fillId="6" borderId="75" xfId="0" applyFont="1" applyFill="1" applyBorder="1" applyAlignment="1">
      <alignment horizontal="left" vertical="center"/>
    </xf>
    <xf numFmtId="0" fontId="109" fillId="6" borderId="73" xfId="0" applyFont="1" applyFill="1" applyBorder="1" applyAlignment="1">
      <alignment horizontal="left" vertical="center"/>
    </xf>
    <xf numFmtId="0" fontId="109" fillId="6" borderId="76" xfId="0" applyFont="1" applyFill="1" applyBorder="1" applyAlignment="1">
      <alignment horizontal="left" vertical="center"/>
    </xf>
    <xf numFmtId="0" fontId="109" fillId="6" borderId="9" xfId="0" applyFont="1" applyFill="1" applyBorder="1" applyAlignment="1">
      <alignment horizontal="left" vertical="center"/>
    </xf>
    <xf numFmtId="179" fontId="130" fillId="12" borderId="0" xfId="0" applyNumberFormat="1" applyFont="1" applyFill="1" applyProtection="1">
      <alignment vertical="center"/>
      <protection locked="0"/>
    </xf>
    <xf numFmtId="0" fontId="79" fillId="12" borderId="0" xfId="0" applyFont="1" applyFill="1" applyProtection="1">
      <alignment vertical="center"/>
      <protection locked="0"/>
    </xf>
    <xf numFmtId="0" fontId="2" fillId="12" borderId="0" xfId="12" applyFont="1" applyFill="1" applyAlignment="1" applyProtection="1">
      <alignment horizontal="left"/>
      <protection locked="0"/>
    </xf>
    <xf numFmtId="0" fontId="79" fillId="6" borderId="0" xfId="0" applyFont="1" applyFill="1" applyProtection="1">
      <alignment vertical="center"/>
      <protection locked="0"/>
    </xf>
    <xf numFmtId="0" fontId="273" fillId="6" borderId="0" xfId="0" applyFont="1" applyFill="1" applyProtection="1">
      <alignment vertical="center"/>
      <protection locked="0"/>
    </xf>
    <xf numFmtId="179" fontId="46" fillId="22" borderId="23" xfId="0" applyNumberFormat="1" applyFont="1" applyFill="1" applyBorder="1" applyAlignment="1" applyProtection="1">
      <alignment horizontal="center" vertical="center"/>
      <protection locked="0"/>
    </xf>
    <xf numFmtId="0" fontId="46" fillId="6" borderId="0" xfId="0" applyFont="1" applyFill="1" applyAlignment="1">
      <alignment horizontal="left" vertical="center" wrapText="1"/>
    </xf>
    <xf numFmtId="179" fontId="50" fillId="6" borderId="0" xfId="0" applyNumberFormat="1" applyFont="1" applyFill="1" applyAlignment="1">
      <alignment horizontal="left" vertical="center" wrapText="1"/>
    </xf>
    <xf numFmtId="176" fontId="49" fillId="6" borderId="54" xfId="0" applyNumberFormat="1" applyFont="1" applyFill="1" applyBorder="1" applyAlignment="1">
      <alignment horizontal="left" vertical="center" wrapText="1"/>
    </xf>
    <xf numFmtId="0" fontId="49" fillId="6" borderId="58" xfId="0" applyFont="1" applyFill="1" applyBorder="1" applyAlignment="1">
      <alignment horizontal="left" vertical="center" wrapText="1"/>
    </xf>
    <xf numFmtId="0" fontId="49" fillId="0" borderId="1" xfId="0" applyFont="1" applyBorder="1" applyAlignment="1" applyProtection="1">
      <alignment horizontal="left" vertical="center" wrapText="1"/>
      <protection locked="0"/>
    </xf>
    <xf numFmtId="0" fontId="46" fillId="0" borderId="1" xfId="0" applyFont="1" applyBorder="1" applyAlignment="1" applyProtection="1">
      <alignment horizontal="left" vertical="center" wrapText="1"/>
      <protection locked="0"/>
    </xf>
    <xf numFmtId="0" fontId="46" fillId="0" borderId="0" xfId="0" applyFont="1" applyAlignment="1">
      <alignment horizontal="left" vertical="center" wrapText="1"/>
    </xf>
    <xf numFmtId="0" fontId="51" fillId="0" borderId="0" xfId="0" applyFont="1" applyAlignment="1">
      <alignment horizontal="left"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9"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37"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9" xfId="0" applyFont="1" applyFill="1" applyBorder="1" applyAlignment="1">
      <alignment horizontal="left" vertical="center"/>
    </xf>
    <xf numFmtId="0" fontId="109" fillId="6" borderId="32"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337084</xdr:colOff>
      <xdr:row>39</xdr:row>
      <xdr:rowOff>87657</xdr:rowOff>
    </xdr:to>
    <xdr:pic>
      <xdr:nvPicPr>
        <xdr:cNvPr id="2" name="图片 1">
          <a:extLst>
            <a:ext uri="{FF2B5EF4-FFF2-40B4-BE49-F238E27FC236}">
              <a16:creationId xmlns:a16="http://schemas.microsoft.com/office/drawing/2014/main" id="{30A78F93-0A7F-9B44-7122-94C18F524782}"/>
            </a:ext>
          </a:extLst>
        </xdr:cNvPr>
        <xdr:cNvPicPr>
          <a:picLocks noChangeAspect="1"/>
        </xdr:cNvPicPr>
      </xdr:nvPicPr>
      <xdr:blipFill>
        <a:blip xmlns:r="http://schemas.openxmlformats.org/officeDocument/2006/relationships" r:embed="rId1"/>
        <a:stretch>
          <a:fillRect/>
        </a:stretch>
      </xdr:blipFill>
      <xdr:spPr>
        <a:xfrm>
          <a:off x="0" y="0"/>
          <a:ext cx="8871484" cy="7021857"/>
        </a:xfrm>
        <a:prstGeom prst="rect">
          <a:avLst/>
        </a:prstGeom>
      </xdr:spPr>
    </xdr:pic>
    <xdr:clientData/>
  </xdr:twoCellAnchor>
  <xdr:twoCellAnchor editAs="oneCell">
    <xdr:from>
      <xdr:col>4</xdr:col>
      <xdr:colOff>19050</xdr:colOff>
      <xdr:row>24</xdr:row>
      <xdr:rowOff>101600</xdr:rowOff>
    </xdr:from>
    <xdr:to>
      <xdr:col>15</xdr:col>
      <xdr:colOff>453923</xdr:colOff>
      <xdr:row>53</xdr:row>
      <xdr:rowOff>138471</xdr:rowOff>
    </xdr:to>
    <xdr:pic>
      <xdr:nvPicPr>
        <xdr:cNvPr id="3" name="图片 2">
          <a:extLst>
            <a:ext uri="{FF2B5EF4-FFF2-40B4-BE49-F238E27FC236}">
              <a16:creationId xmlns:a16="http://schemas.microsoft.com/office/drawing/2014/main" id="{676179CE-6139-6F13-5C83-987C04D3EC77}"/>
            </a:ext>
          </a:extLst>
        </xdr:cNvPr>
        <xdr:cNvPicPr>
          <a:picLocks noChangeAspect="1"/>
        </xdr:cNvPicPr>
      </xdr:nvPicPr>
      <xdr:blipFill>
        <a:blip xmlns:r="http://schemas.openxmlformats.org/officeDocument/2006/relationships" r:embed="rId2"/>
        <a:stretch>
          <a:fillRect/>
        </a:stretch>
      </xdr:blipFill>
      <xdr:spPr>
        <a:xfrm>
          <a:off x="2457450" y="4368800"/>
          <a:ext cx="7140473" cy="5193071"/>
        </a:xfrm>
        <a:prstGeom prst="rect">
          <a:avLst/>
        </a:prstGeom>
      </xdr:spPr>
    </xdr:pic>
    <xdr:clientData/>
  </xdr:twoCellAnchor>
  <xdr:twoCellAnchor editAs="oneCell">
    <xdr:from>
      <xdr:col>16</xdr:col>
      <xdr:colOff>88900</xdr:colOff>
      <xdr:row>16</xdr:row>
      <xdr:rowOff>151667</xdr:rowOff>
    </xdr:from>
    <xdr:to>
      <xdr:col>32</xdr:col>
      <xdr:colOff>160378</xdr:colOff>
      <xdr:row>41</xdr:row>
      <xdr:rowOff>40593</xdr:rowOff>
    </xdr:to>
    <xdr:pic>
      <xdr:nvPicPr>
        <xdr:cNvPr id="4" name="图片 3">
          <a:extLst>
            <a:ext uri="{FF2B5EF4-FFF2-40B4-BE49-F238E27FC236}">
              <a16:creationId xmlns:a16="http://schemas.microsoft.com/office/drawing/2014/main" id="{D358F92C-C53E-1374-1240-C7CBDF64426B}"/>
            </a:ext>
          </a:extLst>
        </xdr:cNvPr>
        <xdr:cNvPicPr>
          <a:picLocks noChangeAspect="1"/>
        </xdr:cNvPicPr>
      </xdr:nvPicPr>
      <xdr:blipFill>
        <a:blip xmlns:r="http://schemas.openxmlformats.org/officeDocument/2006/relationships" r:embed="rId3"/>
        <a:stretch>
          <a:fillRect/>
        </a:stretch>
      </xdr:blipFill>
      <xdr:spPr>
        <a:xfrm>
          <a:off x="9842500" y="2996467"/>
          <a:ext cx="9825078" cy="43339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估价对象为北京市房地产，为所有。根据《国有土地使用证》[]，估价对象（分摊）出让国有建设用地使用权面积为0平方米，建筑面积为9456.5平方米。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估价对象为北京市房地产,属开发建设的，该项目尚在开发建设中。根据《国有土地使用证》[]，估价对象（分摊）出让国有建设用地使用权面积为0平方米，规划建筑面积为9456.5平方米。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2025年12月22日</v>
      </c>
    </row>
    <row r="13" spans="1:2">
      <c r="A13" s="1119" t="s">
        <v>529</v>
      </c>
      <c r="B13" s="1120" t="str">
        <f>'预评函-1'!A18</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0</v>
      </c>
    </row>
    <row r="21" spans="1:2">
      <c r="A21" s="1119" t="s">
        <v>537</v>
      </c>
      <c r="B21" s="1120">
        <f ca="1">'预评函-2'!D7</f>
        <v>19139</v>
      </c>
    </row>
    <row r="22" spans="1:2">
      <c r="A22" s="1119" t="s">
        <v>538</v>
      </c>
      <c r="B22" s="1120" t="str">
        <f ca="1">'预评函-2'!D6</f>
        <v>零元整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0</v>
      </c>
    </row>
    <row r="31" spans="1:2">
      <c r="A31" s="1119" t="s">
        <v>576</v>
      </c>
      <c r="B31" s="1120">
        <f ca="1">'预评函-2'!D15</f>
        <v>19139</v>
      </c>
    </row>
    <row r="32" spans="1:2">
      <c r="A32" s="1119" t="s">
        <v>543</v>
      </c>
      <c r="B32" s="1120" t="str">
        <f ca="1">'预评函-2'!D14</f>
        <v>零元整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9456.5000000000018</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3408</v>
      </c>
      <c r="Z2" s="1445" t="s">
        <v>2452</v>
      </c>
      <c r="AA2" s="1445" t="s">
        <v>3409</v>
      </c>
      <c r="AB2" s="1445" t="s">
        <v>2479</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3339</v>
      </c>
      <c r="X7" s="1445" t="s">
        <v>2449</v>
      </c>
      <c r="Z7" s="1445" t="s">
        <v>2462</v>
      </c>
      <c r="AB7" s="1445" t="s">
        <v>2488</v>
      </c>
    </row>
    <row r="8" spans="1:28">
      <c r="A8" s="1441" t="s">
        <v>1026</v>
      </c>
      <c r="B8" s="1441" t="s">
        <v>1027</v>
      </c>
      <c r="C8" s="1442" t="s">
        <v>319</v>
      </c>
      <c r="F8" s="1443" t="s">
        <v>1028</v>
      </c>
      <c r="H8" s="1443" t="s">
        <v>2577</v>
      </c>
      <c r="I8" s="1443" t="s">
        <v>3340</v>
      </c>
      <c r="X8" s="1445" t="s">
        <v>3411</v>
      </c>
      <c r="Z8" s="1445" t="s">
        <v>2464</v>
      </c>
      <c r="AB8" s="1445" t="s">
        <v>2490</v>
      </c>
    </row>
    <row r="9" spans="1:28">
      <c r="A9" s="1441" t="s">
        <v>1029</v>
      </c>
      <c r="B9" s="1441" t="s">
        <v>1030</v>
      </c>
      <c r="C9" s="1442" t="s">
        <v>320</v>
      </c>
      <c r="F9" s="1443" t="s">
        <v>1031</v>
      </c>
      <c r="H9" s="1443"/>
      <c r="I9" s="1445" t="s">
        <v>3341</v>
      </c>
      <c r="X9" s="1445" t="s">
        <v>3412</v>
      </c>
      <c r="Z9" s="1445" t="s">
        <v>2466</v>
      </c>
      <c r="AB9" s="1445" t="s">
        <v>2492</v>
      </c>
    </row>
    <row r="10" spans="1:28">
      <c r="A10" s="1441" t="s">
        <v>1032</v>
      </c>
      <c r="B10" s="1441" t="s">
        <v>1033</v>
      </c>
      <c r="C10" s="1442" t="s">
        <v>321</v>
      </c>
      <c r="F10" s="1443" t="s">
        <v>2578</v>
      </c>
      <c r="I10" s="1445" t="s">
        <v>3342</v>
      </c>
      <c r="Z10" s="1445" t="s">
        <v>2468</v>
      </c>
      <c r="AB10" s="1445" t="s">
        <v>2494</v>
      </c>
    </row>
    <row r="11" spans="1:28">
      <c r="A11" s="1441" t="s">
        <v>1034</v>
      </c>
      <c r="B11" s="1441" t="s">
        <v>1035</v>
      </c>
      <c r="C11" s="1442" t="s">
        <v>322</v>
      </c>
      <c r="F11" s="1443" t="s">
        <v>13</v>
      </c>
      <c r="I11" s="1445" t="s">
        <v>3343</v>
      </c>
      <c r="Z11" s="1445" t="s">
        <v>2470</v>
      </c>
      <c r="AB11" s="1445" t="s">
        <v>2496</v>
      </c>
    </row>
    <row r="12" spans="1:28">
      <c r="A12" s="1441" t="s">
        <v>1036</v>
      </c>
      <c r="B12" s="1441" t="s">
        <v>1037</v>
      </c>
      <c r="C12" s="1442" t="s">
        <v>323</v>
      </c>
      <c r="I12" s="1445" t="s">
        <v>3344</v>
      </c>
      <c r="Z12" s="1445" t="s">
        <v>2472</v>
      </c>
      <c r="AB12" s="1445" t="s">
        <v>2498</v>
      </c>
    </row>
    <row r="13" spans="1:28">
      <c r="A13" s="1441" t="s">
        <v>1038</v>
      </c>
      <c r="B13" s="1441" t="s">
        <v>1039</v>
      </c>
      <c r="C13" s="1442" t="s">
        <v>324</v>
      </c>
      <c r="I13" s="1445" t="s">
        <v>3345</v>
      </c>
      <c r="Z13" s="1445" t="s">
        <v>2474</v>
      </c>
    </row>
    <row r="14" spans="1:28">
      <c r="A14" s="1441" t="s">
        <v>1040</v>
      </c>
      <c r="B14" s="1441" t="s">
        <v>1041</v>
      </c>
      <c r="C14" s="1443" t="s">
        <v>13</v>
      </c>
      <c r="I14" s="1445" t="s">
        <v>3346</v>
      </c>
      <c r="Z14" s="1445" t="s">
        <v>2476</v>
      </c>
    </row>
    <row r="15" spans="1:28">
      <c r="A15" s="1441" t="s">
        <v>1042</v>
      </c>
      <c r="B15" s="1441" t="s">
        <v>1043</v>
      </c>
      <c r="C15" s="1442"/>
      <c r="I15" s="1445" t="s">
        <v>3347</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7" t="s">
        <v>385</v>
      </c>
      <c r="C54" s="1445" t="s">
        <v>583</v>
      </c>
    </row>
    <row r="55" spans="1:4">
      <c r="A55" s="3222"/>
      <c r="B55" s="1447" t="s">
        <v>386</v>
      </c>
      <c r="C55" s="1445" t="s">
        <v>584</v>
      </c>
    </row>
    <row r="56" spans="1:4">
      <c r="A56" s="3222"/>
      <c r="B56" s="1447" t="s">
        <v>387</v>
      </c>
      <c r="C56" s="1445" t="s">
        <v>588</v>
      </c>
    </row>
    <row r="57" spans="1:4">
      <c r="A57" s="32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3" t="s">
        <v>2580</v>
      </c>
      <c r="J2" s="3223"/>
      <c r="K2" s="3223"/>
      <c r="L2" s="3223"/>
      <c r="M2" s="3223"/>
      <c r="N2" s="3223"/>
      <c r="O2" s="3223"/>
      <c r="P2" s="3223"/>
      <c r="Q2" s="3223"/>
      <c r="R2" s="3223"/>
    </row>
    <row r="3" spans="1:18">
      <c r="A3" s="2761" t="s">
        <v>2501</v>
      </c>
      <c r="B3" s="2762">
        <f>项目基本情况!D3</f>
        <v>46013</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0.99</v>
      </c>
      <c r="D5" s="2766">
        <f>IF(ISERROR(ROUND(POWER(1+E5,A5-C5)*(POWER(1+E5,C5)-1)/(POWER(1+E5,A5)-1),3)),0,ROUND(POWER(1+E5,A5-C5)*(POWER(1+E5,C5)-1)/(POWER(1+E5,A5)-1),4))</f>
        <v>4.8099999999999997E-2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v>
      </c>
      <c r="D6" s="2766">
        <f>IF(ISERROR(ROUND(POWER(1+E6,A6-C6)*(POWER(1+E6,C6)-1)/(POWER(1+E6,A6)-1),3)),0,ROUND(POWER(1+E6,A6-C6)*(POWER(1+E6,C6)-1)/(POWER(1+E6,A6)-1),4))</f>
        <v>0.4078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31.01</v>
      </c>
      <c r="D7" s="2766">
        <f>IF(ISERROR(ROUND(POWER(1+E7,A7-C7)*(POWER(1+E7,C7)-1)/(POWER(1+E7,A7)-1),3)),0,ROUND(POWER(1+E7,A7-C7)*(POWER(1+E7,C7)-1)/(POWER(1+E7,A7)-1),4))</f>
        <v>0.75190000000000001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3384</v>
      </c>
    </row>
    <row r="50" spans="1:4">
      <c r="A50" s="3143" t="s">
        <v>3385</v>
      </c>
      <c r="B50" s="3143" t="s">
        <v>3386</v>
      </c>
      <c r="C50" s="3143" t="s">
        <v>3387</v>
      </c>
      <c r="D50" s="3143" t="s">
        <v>3388</v>
      </c>
    </row>
    <row r="51" spans="1:4">
      <c r="A51" s="3143" t="s">
        <v>3389</v>
      </c>
      <c r="B51" s="2763">
        <f>B52+B53</f>
        <v>15000</v>
      </c>
      <c r="C51" s="3144">
        <f>D51/B51</f>
        <v>2666.6666666666665</v>
      </c>
      <c r="D51" s="2763">
        <f>D52+D53</f>
        <v>40000000</v>
      </c>
    </row>
    <row r="52" spans="1:4">
      <c r="A52" s="3145" t="s">
        <v>3390</v>
      </c>
      <c r="B52" s="3146">
        <v>10000</v>
      </c>
      <c r="C52" s="3146">
        <v>1500</v>
      </c>
      <c r="D52" s="3147">
        <f>C52*B52</f>
        <v>15000000</v>
      </c>
    </row>
    <row r="53" spans="1:4">
      <c r="A53" s="3145" t="s">
        <v>3391</v>
      </c>
      <c r="B53" s="3146">
        <v>5000</v>
      </c>
      <c r="C53" s="3146">
        <v>5000</v>
      </c>
      <c r="D53" s="3147">
        <f>C53*B53</f>
        <v>25000000</v>
      </c>
    </row>
    <row r="54" spans="1:4">
      <c r="A54" s="3143" t="s">
        <v>3392</v>
      </c>
      <c r="B54" s="2763">
        <f>B51</f>
        <v>15000</v>
      </c>
      <c r="C54" s="2769">
        <v>700</v>
      </c>
      <c r="D54" s="2763">
        <f t="shared" ref="D54:D55" si="5">C54*B54</f>
        <v>10500000</v>
      </c>
    </row>
    <row r="55" spans="1:4">
      <c r="A55" s="3143" t="s">
        <v>3393</v>
      </c>
      <c r="B55" s="2763">
        <f>B51</f>
        <v>15000</v>
      </c>
      <c r="C55" s="2769">
        <v>1500</v>
      </c>
      <c r="D55" s="2763">
        <f t="shared" si="5"/>
        <v>22500000</v>
      </c>
    </row>
    <row r="56" spans="1:4">
      <c r="A56" s="3143" t="s">
        <v>3394</v>
      </c>
      <c r="B56" s="2763">
        <f>B51</f>
        <v>15000</v>
      </c>
      <c r="C56" s="3148">
        <f>C51+C54+C55</f>
        <v>4866.6666666666661</v>
      </c>
      <c r="D56" s="2763">
        <f>D51+D54+D55</f>
        <v>73000000</v>
      </c>
    </row>
    <row r="58" spans="1:4">
      <c r="A58" s="3143" t="s">
        <v>3395</v>
      </c>
      <c r="B58" s="3149">
        <v>0.05</v>
      </c>
      <c r="C58" s="2763">
        <f>C56*(1+B58)</f>
        <v>5110</v>
      </c>
      <c r="D58" s="2763">
        <f>D56*B58</f>
        <v>3650000</v>
      </c>
    </row>
    <row r="60" spans="1:4">
      <c r="A60" s="3143" t="s">
        <v>3396</v>
      </c>
      <c r="B60" s="2769">
        <v>3500</v>
      </c>
      <c r="C60" s="2769">
        <f>C53</f>
        <v>5000</v>
      </c>
      <c r="D60" s="2763">
        <f>C60*B60</f>
        <v>17500000</v>
      </c>
    </row>
    <row r="62" spans="1:4">
      <c r="A62" s="3143" t="s">
        <v>3397</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D4" sqref="D4"/>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8"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9" t="s">
        <v>2168</v>
      </c>
      <c r="B1" s="3231" t="str">
        <f>IF(B10="北京市","北京市",C10)&amp;F10&amp;IF(结果表!G1="在建","出让国有建设用地使用权及在建建筑物",IF(结果表!G1="土地","出让国有建设用地使用权",))&amp;B9&amp;"预评估"</f>
        <v>北京市房地产抵押价值预评估</v>
      </c>
      <c r="C1" s="3232"/>
      <c r="D1" s="3232"/>
      <c r="E1" s="3232"/>
      <c r="F1" s="3232"/>
      <c r="G1" s="3232"/>
      <c r="H1" s="3232"/>
      <c r="I1" s="3233"/>
      <c r="J1" s="2243"/>
      <c r="K1" s="2181"/>
      <c r="L1" s="2182"/>
      <c r="M1" s="2182"/>
      <c r="N1" s="2180"/>
      <c r="O1" s="1466"/>
      <c r="P1" s="2180"/>
      <c r="Q1" s="2180"/>
      <c r="R1" s="2180"/>
      <c r="S1" s="1559" t="str">
        <f>IF(B10="北京市","北京市",C10)&amp;F10&amp;IF(结果表!G1="在建","出让国有建设用地使用权及在建建筑物房地产抵押价值",IF(结果表!G1="土地","出让国有建设用地使用权抵押价值",B9))</f>
        <v>北京市房地产抵押价值</v>
      </c>
      <c r="T1" s="1616"/>
      <c r="U1" s="1616"/>
      <c r="V1" s="1616"/>
      <c r="W1" s="1616"/>
      <c r="X1" s="1616"/>
      <c r="Y1" s="1616"/>
      <c r="Z1" s="1616"/>
      <c r="AA1" s="1616"/>
      <c r="AB1" s="1616"/>
    </row>
    <row r="2" spans="1:30">
      <c r="A2" s="2180" t="s">
        <v>2169</v>
      </c>
      <c r="B2" s="122"/>
      <c r="D2" s="2446"/>
      <c r="E2" s="2439"/>
      <c r="F2" s="2439"/>
      <c r="G2" s="2440"/>
      <c r="H2" s="2440"/>
      <c r="I2" s="2440"/>
      <c r="J2" s="2243"/>
      <c r="K2" s="2181"/>
      <c r="L2" s="2182"/>
      <c r="M2" s="2182"/>
      <c r="N2" s="2180"/>
      <c r="O2" s="1466"/>
      <c r="P2" s="2180"/>
      <c r="Q2" s="2180"/>
      <c r="R2" s="2180"/>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4" t="s">
        <v>2170</v>
      </c>
      <c r="B3" s="2183"/>
      <c r="C3" s="2184" t="s">
        <v>2171</v>
      </c>
      <c r="D3" s="2183">
        <v>46013</v>
      </c>
      <c r="E3" s="2440"/>
      <c r="F3" s="2440"/>
      <c r="G3" s="2440"/>
      <c r="H3" s="2440"/>
      <c r="I3" s="2440"/>
      <c r="J3" s="2243"/>
      <c r="K3" s="2181"/>
      <c r="L3" s="2182"/>
      <c r="M3" s="2182"/>
      <c r="N3" s="2180"/>
      <c r="O3" s="1466"/>
      <c r="P3" s="2180"/>
      <c r="Q3" s="2180"/>
      <c r="R3" s="2180"/>
      <c r="S3" s="1559"/>
      <c r="T3" s="1616"/>
      <c r="U3" s="1616"/>
      <c r="V3" s="1616"/>
      <c r="W3" s="1616"/>
      <c r="X3" s="1616"/>
      <c r="Y3" s="1616"/>
      <c r="Z3" s="1616"/>
      <c r="AA3" s="1616"/>
      <c r="AB3" s="1616"/>
    </row>
    <row r="4" spans="1:30" ht="13.8"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59"/>
      <c r="T4" s="1616"/>
      <c r="U4" s="1616"/>
      <c r="V4" s="1616"/>
      <c r="W4" s="1616"/>
      <c r="X4" s="1616"/>
      <c r="Y4" s="1616"/>
      <c r="Z4" s="1616"/>
      <c r="AA4" s="1616"/>
      <c r="AB4" s="1616"/>
    </row>
    <row r="5" spans="1:30" ht="13.8"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6"/>
      <c r="T5" s="1616"/>
      <c r="U5" s="1616"/>
      <c r="V5" s="1616"/>
      <c r="W5" s="1616"/>
      <c r="X5" s="1616"/>
      <c r="Y5" s="1616"/>
      <c r="Z5" s="1616"/>
      <c r="AA5" s="1616"/>
      <c r="AB5" s="1616"/>
    </row>
    <row r="6" spans="1:30">
      <c r="A6" s="2192" t="s">
        <v>2174</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2175</v>
      </c>
      <c r="B7" s="2196"/>
      <c r="C7" s="2194"/>
      <c r="D7" s="2195"/>
      <c r="E7" s="2439"/>
      <c r="F7" s="2440"/>
      <c r="G7" s="2440"/>
      <c r="H7" s="2440"/>
      <c r="I7" s="2440"/>
      <c r="J7" s="2243"/>
      <c r="K7" s="2400"/>
      <c r="L7" s="2397"/>
      <c r="M7" s="2397"/>
      <c r="N7" s="2243"/>
      <c r="O7" s="1668"/>
      <c r="P7" s="2243"/>
      <c r="Q7" s="2243"/>
      <c r="R7" s="2243"/>
    </row>
    <row r="8" spans="1:30">
      <c r="A8" s="2197" t="s">
        <v>2176</v>
      </c>
      <c r="B8" s="2198" t="s">
        <v>3416</v>
      </c>
      <c r="C8" s="2199"/>
      <c r="D8" s="3234" t="s">
        <v>2177</v>
      </c>
      <c r="E8" s="2200" t="s">
        <v>3417</v>
      </c>
      <c r="F8" s="2201"/>
      <c r="G8" s="2440"/>
      <c r="H8" s="2440"/>
      <c r="I8" s="2440"/>
      <c r="J8" s="2243"/>
      <c r="K8" s="2398"/>
      <c r="L8" s="2397"/>
      <c r="M8" s="2397"/>
      <c r="N8" s="2243"/>
      <c r="O8" s="1668"/>
      <c r="P8" s="2243"/>
      <c r="Q8" s="2243"/>
      <c r="R8" s="2243"/>
    </row>
    <row r="9" spans="1:30" ht="13.8" thickBot="1">
      <c r="A9" s="2202" t="s">
        <v>2178</v>
      </c>
      <c r="B9" s="2203" t="s">
        <v>3417</v>
      </c>
      <c r="C9" s="2204"/>
      <c r="D9" s="3235"/>
      <c r="E9" s="2203"/>
      <c r="F9" s="2205"/>
      <c r="G9" s="2441"/>
      <c r="H9" s="2441"/>
      <c r="I9" s="2441"/>
      <c r="J9" s="2243"/>
      <c r="K9" s="2400"/>
      <c r="L9" s="2397"/>
      <c r="M9" s="2397"/>
      <c r="N9" s="2243"/>
      <c r="O9" s="1668"/>
      <c r="P9" s="2243"/>
      <c r="Q9" s="2243"/>
      <c r="R9" s="2243"/>
    </row>
    <row r="10" spans="1:30" ht="13.8" thickTop="1">
      <c r="A10" s="2206" t="s">
        <v>2179</v>
      </c>
      <c r="B10" s="2207" t="s">
        <v>3418</v>
      </c>
      <c r="C10" s="2208"/>
      <c r="D10" s="2191"/>
      <c r="E10" s="2209" t="s">
        <v>2180</v>
      </c>
      <c r="F10" s="2442"/>
      <c r="G10" s="2443"/>
      <c r="H10" s="2444"/>
      <c r="I10" s="2445"/>
      <c r="J10" s="2243"/>
      <c r="K10" s="2400"/>
      <c r="L10" s="2397"/>
      <c r="M10" s="2397"/>
      <c r="N10" s="2243"/>
      <c r="O10" s="1668"/>
      <c r="P10" s="2243"/>
      <c r="Q10" s="2243"/>
      <c r="R10" s="2243"/>
    </row>
    <row r="11" spans="1:30">
      <c r="A11" s="2210" t="s">
        <v>2181</v>
      </c>
      <c r="B11" s="2211" t="s">
        <v>3419</v>
      </c>
      <c r="C11" s="2212"/>
      <c r="D11" s="2213"/>
      <c r="E11" s="2180"/>
      <c r="F11" s="2180"/>
      <c r="G11" s="2180"/>
      <c r="H11" s="2180"/>
      <c r="I11" s="2180"/>
      <c r="J11" s="2800"/>
      <c r="K11" s="2397"/>
      <c r="L11" s="2397"/>
      <c r="M11" s="2397"/>
      <c r="N11" s="2243"/>
      <c r="O11" s="1668"/>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2576</v>
      </c>
      <c r="J12" s="2801"/>
      <c r="K12" s="2397"/>
      <c r="L12" s="2397"/>
      <c r="M12" s="2243"/>
      <c r="N12" s="1668"/>
      <c r="O12" s="2243"/>
      <c r="P12" s="2243"/>
      <c r="Q12" s="2243"/>
      <c r="AD12" s="1616"/>
    </row>
    <row r="13" spans="1:30">
      <c r="A13" s="3120" t="s">
        <v>3330</v>
      </c>
      <c r="B13" s="2216" t="s">
        <v>2190</v>
      </c>
      <c r="C13" s="803"/>
      <c r="D13" s="803"/>
      <c r="E13" s="803">
        <v>60810</v>
      </c>
      <c r="F13" s="803"/>
      <c r="G13" s="803"/>
      <c r="H13" s="803"/>
      <c r="I13" s="803"/>
      <c r="J13" s="2801"/>
      <c r="K13" s="2397"/>
      <c r="L13" s="2397"/>
      <c r="M13" s="2243"/>
      <c r="N13" s="1668"/>
      <c r="O13" s="2243"/>
      <c r="P13" s="2243"/>
      <c r="Q13" s="2243"/>
      <c r="AD13" s="1616"/>
    </row>
    <row r="14" spans="1:30">
      <c r="A14" s="1018"/>
      <c r="B14" s="2216" t="s">
        <v>2191</v>
      </c>
      <c r="C14" s="2217"/>
      <c r="D14" s="2217"/>
      <c r="E14" s="2217">
        <v>50</v>
      </c>
      <c r="F14" s="2217"/>
      <c r="G14" s="2217"/>
      <c r="H14" s="2217"/>
      <c r="I14" s="2217"/>
      <c r="J14" s="2802"/>
      <c r="K14" s="2397"/>
      <c r="L14" s="2397"/>
      <c r="M14" s="2243"/>
      <c r="N14" s="1668"/>
      <c r="O14" s="2243"/>
      <c r="P14" s="2243"/>
      <c r="Q14" s="2243"/>
      <c r="AD14" s="1616"/>
    </row>
    <row r="15" spans="1:30">
      <c r="A15" s="312"/>
      <c r="B15" s="2218" t="s">
        <v>2192</v>
      </c>
      <c r="C15" s="2219" t="str">
        <f>IF(A13="出让",IF(C13="","",ROUNDDOWN(MIN((C13-$D$3)/365,C14),2)),C14)</f>
        <v/>
      </c>
      <c r="D15" s="2219" t="str">
        <f>IF(A13="出让",IF(D13="","",ROUNDDOWN(MIN((D13-$D$3)/365,D14),2)),D14)</f>
        <v/>
      </c>
      <c r="E15" s="2219">
        <f>IF(A13="出让",IF(E13="","",ROUNDDOWN(MIN((E13-$D$3)/365,E14),2)),E14)</f>
        <v>40.53</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8"/>
      <c r="L15" s="1668"/>
      <c r="M15" s="2243"/>
      <c r="N15" s="1668"/>
      <c r="O15" s="2243"/>
      <c r="P15" s="2243"/>
      <c r="Q15" s="2243"/>
      <c r="AD15" s="1616"/>
    </row>
    <row r="16" spans="1:30">
      <c r="A16" s="2209" t="s">
        <v>2193</v>
      </c>
      <c r="B16" s="3241"/>
      <c r="C16" s="3242"/>
      <c r="D16" s="3243"/>
      <c r="E16" s="2220" t="s">
        <v>2194</v>
      </c>
      <c r="F16" s="3244"/>
      <c r="G16" s="3245"/>
      <c r="H16" s="3245"/>
      <c r="I16" s="3246"/>
      <c r="J16" s="2243"/>
      <c r="K16" s="2401"/>
      <c r="L16" s="1668"/>
      <c r="M16" s="1668"/>
      <c r="N16" s="2243"/>
      <c r="O16" s="1668"/>
      <c r="P16" s="2243"/>
      <c r="Q16" s="2243"/>
      <c r="R16" s="2243"/>
    </row>
    <row r="17" spans="1:28">
      <c r="A17" s="305" t="s">
        <v>2195</v>
      </c>
      <c r="B17" s="294" t="s">
        <v>2196</v>
      </c>
      <c r="C17" s="8">
        <f>'数据-汇总表'!E3</f>
        <v>9456.5000000000018</v>
      </c>
      <c r="D17" s="1256" t="s">
        <v>2197</v>
      </c>
      <c r="E17" s="3247" t="s">
        <v>2198</v>
      </c>
      <c r="F17" s="3248"/>
      <c r="G17" s="3248"/>
      <c r="H17" s="3248"/>
      <c r="I17" s="3249"/>
      <c r="J17" s="2243"/>
      <c r="K17" s="2402"/>
      <c r="L17" s="1668"/>
      <c r="M17" s="1668"/>
      <c r="N17" s="2243"/>
      <c r="O17" s="1668"/>
      <c r="P17" s="2243"/>
      <c r="Q17" s="2243"/>
      <c r="R17" s="2243"/>
      <c r="S17" s="2243"/>
      <c r="T17" s="2243"/>
      <c r="U17" s="2243"/>
      <c r="V17" s="2243"/>
    </row>
    <row r="18" spans="1:28" ht="24.6" thickBot="1">
      <c r="A18" s="2221" t="s">
        <v>2199</v>
      </c>
      <c r="B18" s="1027" t="s">
        <v>2200</v>
      </c>
      <c r="C18" s="2222">
        <f>'数据-汇总表'!D3</f>
        <v>0</v>
      </c>
      <c r="D18" s="1029" t="s">
        <v>2201</v>
      </c>
      <c r="E18" s="3250" t="s">
        <v>2202</v>
      </c>
      <c r="F18" s="3251"/>
      <c r="G18" s="3251"/>
      <c r="H18" s="3251"/>
      <c r="I18" s="3252"/>
      <c r="J18" s="2243"/>
      <c r="K18" s="2402"/>
      <c r="L18" s="1668"/>
      <c r="M18" s="1668"/>
      <c r="N18" s="2243"/>
      <c r="O18" s="1668"/>
      <c r="P18" s="2243"/>
      <c r="Q18" s="2243"/>
      <c r="R18" s="2243"/>
      <c r="S18" s="2243"/>
      <c r="T18" s="2243"/>
      <c r="U18" s="2243"/>
      <c r="V18" s="2243"/>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68"/>
      <c r="P19" s="2243"/>
      <c r="Q19" s="2243"/>
      <c r="R19" s="2243"/>
      <c r="S19" s="2243"/>
      <c r="T19" s="2243"/>
      <c r="U19" s="2243"/>
      <c r="V19" s="2243"/>
    </row>
    <row r="20" spans="1:28">
      <c r="A20" s="2415" t="s">
        <v>2205</v>
      </c>
      <c r="B20" s="3237" t="s">
        <v>2206</v>
      </c>
      <c r="C20" s="3238"/>
      <c r="D20" s="3239" t="s">
        <v>2207</v>
      </c>
      <c r="E20" s="3240"/>
      <c r="F20" s="2428" t="s">
        <v>1056</v>
      </c>
      <c r="G20" s="2440"/>
      <c r="H20" s="2440"/>
      <c r="I20" s="2440"/>
      <c r="J20" s="2243"/>
      <c r="K20" s="323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6"/>
      <c r="X20" s="1616"/>
      <c r="Y20" s="1616"/>
      <c r="Z20" s="1616"/>
      <c r="AA20" s="1616"/>
      <c r="AB20" s="1616"/>
    </row>
    <row r="21" spans="1:28" ht="36.6" thickBot="1">
      <c r="A21" s="2415"/>
      <c r="B21" s="2416" t="s">
        <v>2209</v>
      </c>
      <c r="C21" s="2294" t="s">
        <v>1057</v>
      </c>
      <c r="D21" s="1460" t="s">
        <v>2210</v>
      </c>
      <c r="E21" s="2417" t="s">
        <v>1057</v>
      </c>
      <c r="F21" s="2429"/>
      <c r="G21" s="2440"/>
      <c r="H21" s="2440"/>
      <c r="I21" s="2440"/>
      <c r="J21" s="2243"/>
      <c r="K21" s="32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6"/>
      <c r="X21" s="1616"/>
      <c r="Y21" s="1616"/>
      <c r="Z21" s="1616"/>
      <c r="AA21" s="1616"/>
      <c r="AB21" s="1616"/>
    </row>
    <row r="22" spans="1:28" ht="36.6" thickBot="1">
      <c r="A22" s="2415"/>
      <c r="B22" s="2418" t="s">
        <v>2211</v>
      </c>
      <c r="C22" s="2294" t="s">
        <v>1058</v>
      </c>
      <c r="D22" s="2440"/>
      <c r="E22" s="2440"/>
      <c r="F22" s="2440"/>
      <c r="G22" s="2440"/>
      <c r="H22" s="2440"/>
      <c r="I22" s="2440"/>
      <c r="J22" s="2243"/>
      <c r="K22" s="32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6"/>
      <c r="X22" s="1616"/>
      <c r="Y22" s="1616"/>
      <c r="Z22" s="1616"/>
      <c r="AA22" s="1616"/>
      <c r="AB22" s="1616"/>
    </row>
    <row r="23" spans="1:28">
      <c r="A23" s="2419" t="s">
        <v>2212</v>
      </c>
      <c r="B23" s="2291" t="s">
        <v>2213</v>
      </c>
      <c r="C23" s="2420"/>
      <c r="D23" s="2421" t="s">
        <v>2213</v>
      </c>
      <c r="E23" s="2422"/>
      <c r="F23" s="2440"/>
      <c r="G23" s="2440"/>
      <c r="H23" s="2440"/>
      <c r="I23" s="2440"/>
      <c r="J23" s="2243"/>
      <c r="K23" s="2399"/>
      <c r="L23" s="121"/>
      <c r="M23" s="2397"/>
      <c r="N23" s="2243"/>
      <c r="O23" s="1668"/>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8"/>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68"/>
      <c r="P26" s="2243"/>
      <c r="Q26" s="2243"/>
      <c r="R26" s="2243"/>
      <c r="S26" s="2243"/>
      <c r="T26" s="2243"/>
      <c r="U26" s="2243"/>
      <c r="V26" s="2243"/>
    </row>
    <row r="27" spans="1:28" ht="13.8" thickTop="1">
      <c r="A27" s="3225" t="s">
        <v>2214</v>
      </c>
      <c r="B27" s="312" t="s">
        <v>2215</v>
      </c>
      <c r="C27" s="2223"/>
      <c r="D27" s="2224"/>
      <c r="E27" s="2440"/>
      <c r="F27" s="2440"/>
      <c r="G27" s="2440"/>
      <c r="H27" s="2440"/>
      <c r="I27" s="2440"/>
      <c r="J27" s="2243"/>
      <c r="K27" s="2401"/>
      <c r="L27" s="1668"/>
      <c r="M27" s="1668"/>
      <c r="N27" s="2243"/>
      <c r="O27" s="1668"/>
      <c r="P27" s="2243"/>
      <c r="Q27" s="2243"/>
      <c r="R27" s="2243"/>
      <c r="S27" s="2243"/>
      <c r="T27" s="2243"/>
      <c r="U27" s="2243"/>
      <c r="V27" s="2243"/>
    </row>
    <row r="28" spans="1:28">
      <c r="A28" s="3225"/>
      <c r="B28" s="294" t="s">
        <v>2216</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225"/>
      <c r="B29" s="294" t="s">
        <v>2217</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226"/>
      <c r="B30" s="294" t="s">
        <v>2218</v>
      </c>
      <c r="C30" s="3227"/>
      <c r="D30" s="3228"/>
      <c r="E30" s="2440"/>
      <c r="F30" s="2440"/>
      <c r="G30" s="2440"/>
      <c r="H30" s="2440"/>
      <c r="I30" s="2440"/>
      <c r="J30" s="2243"/>
      <c r="K30" s="2400"/>
      <c r="L30" s="2397"/>
      <c r="M30" s="2397"/>
      <c r="N30" s="2243"/>
      <c r="O30" s="1668"/>
      <c r="P30" s="2243"/>
      <c r="Q30" s="2243"/>
      <c r="R30" s="2243"/>
      <c r="S30" s="2243"/>
      <c r="T30" s="2243"/>
      <c r="U30" s="2243"/>
      <c r="V30" s="2243"/>
    </row>
    <row r="31" spans="1:28">
      <c r="A31" s="3229" t="s">
        <v>2219</v>
      </c>
      <c r="B31" s="2229" t="s">
        <v>3420</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68"/>
      <c r="P31" s="2243"/>
      <c r="Q31" s="2243"/>
      <c r="R31" s="2243"/>
      <c r="S31" s="2243"/>
      <c r="T31" s="2243"/>
      <c r="U31" s="2243"/>
      <c r="V31" s="2243"/>
    </row>
    <row r="32" spans="1:28">
      <c r="A32" s="3230"/>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68"/>
      <c r="P32" s="2243"/>
      <c r="Q32" s="2243"/>
      <c r="R32" s="2243"/>
      <c r="S32" s="2243"/>
      <c r="T32" s="2243"/>
      <c r="U32" s="2243"/>
      <c r="V32" s="2243"/>
    </row>
    <row r="33" spans="1:30">
      <c r="A33" s="3230"/>
      <c r="B33" s="2232"/>
      <c r="C33" s="1476" t="str">
        <f>IF(B33="现房","成新及维护状况是否正常",IF(B33="在建","工程状态是否正常",IF(B33="土地","是否闲置","-")))</f>
        <v>-</v>
      </c>
      <c r="D33" s="1274"/>
      <c r="E33" s="2233"/>
      <c r="F33" s="2440"/>
      <c r="G33" s="2440"/>
      <c r="H33" s="2440"/>
      <c r="I33" s="2440"/>
      <c r="J33" s="2243"/>
      <c r="K33" s="2400"/>
      <c r="L33" s="2397"/>
      <c r="M33" s="2397"/>
      <c r="N33" s="2243"/>
      <c r="O33" s="1668"/>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24" t="s">
        <v>2228</v>
      </c>
      <c r="T34" s="315" t="str">
        <f>NUMBERSTRING(7-K34,1)&amp;"通"</f>
        <v>七通</v>
      </c>
      <c r="U34" s="2243"/>
      <c r="V34" s="2243"/>
    </row>
    <row r="35" spans="1:30">
      <c r="A35" s="2234"/>
      <c r="B35" s="3224" t="s">
        <v>2229</v>
      </c>
      <c r="C35" s="3224"/>
      <c r="D35" s="3224"/>
      <c r="E35" s="3224"/>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4"/>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2579</v>
      </c>
      <c r="G36" s="2440"/>
      <c r="H36" s="2440"/>
      <c r="I36" s="2440"/>
      <c r="J36" s="2243"/>
      <c r="K36" s="2400"/>
      <c r="L36" s="2397"/>
      <c r="M36" s="2397"/>
      <c r="N36" s="2243"/>
      <c r="O36" s="1668"/>
      <c r="P36" s="2243"/>
      <c r="Q36" s="2243"/>
      <c r="R36" s="2243"/>
      <c r="S36" s="2243"/>
      <c r="T36" s="2243"/>
      <c r="U36" s="2243"/>
      <c r="V36" s="2243"/>
    </row>
    <row r="37" spans="1:30">
      <c r="A37" s="2413" t="s">
        <v>2230</v>
      </c>
      <c r="B37" s="2235" t="s">
        <v>29</v>
      </c>
      <c r="C37" s="2235"/>
      <c r="D37" s="2235"/>
      <c r="E37" s="2235"/>
      <c r="F37" s="2235"/>
      <c r="G37" s="2440"/>
      <c r="H37" s="2440"/>
      <c r="I37" s="2440"/>
      <c r="J37" s="2243"/>
      <c r="K37" s="2400"/>
      <c r="L37" s="2397"/>
      <c r="M37" s="2397"/>
      <c r="N37" s="2243"/>
      <c r="O37" s="1668"/>
      <c r="P37" s="2243"/>
      <c r="Q37" s="2243"/>
      <c r="R37" s="2243"/>
      <c r="S37" s="2243"/>
      <c r="T37" s="2243"/>
      <c r="U37" s="2243"/>
      <c r="V37" s="2243"/>
    </row>
    <row r="38" spans="1:30" ht="13.8" thickBot="1">
      <c r="A38" s="2414" t="s">
        <v>2231</v>
      </c>
      <c r="B38" s="2236" t="s">
        <v>2965</v>
      </c>
      <c r="C38" s="2236"/>
      <c r="D38" s="2236"/>
      <c r="E38" s="2236"/>
      <c r="F38" s="2236"/>
      <c r="G38" s="2441"/>
      <c r="H38" s="2441"/>
      <c r="I38" s="2441"/>
      <c r="J38" s="2243"/>
      <c r="K38" s="2400"/>
      <c r="L38" s="2397"/>
      <c r="M38" s="2397"/>
      <c r="N38" s="2243"/>
      <c r="O38" s="1668"/>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68"/>
      <c r="M40" s="1668"/>
      <c r="N40" s="2243"/>
      <c r="O40" s="1668"/>
      <c r="P40" s="2243"/>
      <c r="Q40" s="2243"/>
      <c r="R40" s="2243"/>
      <c r="S40" s="2243"/>
      <c r="T40" s="2243"/>
      <c r="U40" s="2243"/>
      <c r="V40" s="2243"/>
    </row>
    <row r="41" spans="1:30">
      <c r="A41" s="2240" t="s">
        <v>2233</v>
      </c>
      <c r="B41" s="1625"/>
      <c r="C41" s="1281"/>
      <c r="D41" s="2180"/>
      <c r="E41" s="2180"/>
      <c r="F41" s="2180"/>
      <c r="G41" s="2180"/>
      <c r="H41" s="2180"/>
      <c r="I41" s="1466"/>
      <c r="J41" s="2243"/>
      <c r="K41" s="2400"/>
      <c r="L41" s="2397"/>
      <c r="M41" s="2397"/>
      <c r="N41" s="2243"/>
      <c r="O41" s="1668"/>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4"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4"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4"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4"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4"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4"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4"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4"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4" customFormat="1">
      <c r="A51" s="1462"/>
      <c r="B51" s="1462"/>
      <c r="C51" s="628"/>
      <c r="D51" s="628"/>
      <c r="E51" s="628"/>
      <c r="F51" s="628"/>
      <c r="G51" s="628"/>
      <c r="H51" s="628"/>
      <c r="I51" s="628"/>
      <c r="J51" s="2241"/>
      <c r="K51" s="2242"/>
      <c r="L51" s="2242"/>
      <c r="M51" s="628"/>
      <c r="N51" s="628"/>
      <c r="O51" s="628"/>
      <c r="P51" s="628"/>
      <c r="Q51" s="628"/>
      <c r="R51" s="628"/>
    </row>
    <row r="52" spans="1:22" s="1614" customFormat="1">
      <c r="A52" s="1462"/>
      <c r="B52" s="1462"/>
      <c r="C52" s="1462"/>
      <c r="D52" s="1462"/>
      <c r="E52" s="1462"/>
      <c r="F52" s="628"/>
      <c r="G52" s="1462"/>
      <c r="H52" s="1462"/>
      <c r="I52" s="1462"/>
      <c r="J52" s="2244"/>
      <c r="K52" s="2242"/>
      <c r="L52" s="2242"/>
      <c r="M52" s="2242"/>
      <c r="N52" s="1462"/>
      <c r="O52" s="1462"/>
      <c r="P52" s="1462"/>
      <c r="Q52" s="1462"/>
      <c r="R52" s="1462"/>
    </row>
    <row r="53" spans="1:22" s="1614" customFormat="1">
      <c r="A53" s="1462"/>
      <c r="B53" s="1462"/>
      <c r="C53" s="1462"/>
      <c r="D53" s="1462"/>
      <c r="E53" s="1462"/>
      <c r="F53" s="628"/>
      <c r="G53" s="1462"/>
      <c r="H53" s="1462"/>
      <c r="I53" s="1462"/>
      <c r="J53" s="2244"/>
      <c r="K53" s="2242"/>
      <c r="L53" s="2242"/>
      <c r="M53" s="2242"/>
      <c r="N53" s="1462"/>
      <c r="O53" s="1462"/>
      <c r="P53" s="1462"/>
      <c r="Q53" s="1462"/>
      <c r="R53" s="1462"/>
    </row>
    <row r="54" spans="1:22" s="1614" customFormat="1">
      <c r="A54" s="1462"/>
      <c r="B54" s="1462"/>
      <c r="C54" s="1462"/>
      <c r="D54" s="1462"/>
      <c r="E54" s="1462"/>
      <c r="F54" s="628"/>
      <c r="G54" s="1462"/>
      <c r="H54" s="1462"/>
      <c r="I54" s="1462"/>
      <c r="J54" s="2244"/>
      <c r="K54" s="2242"/>
      <c r="L54" s="2242"/>
      <c r="M54" s="2242"/>
      <c r="N54" s="1462"/>
      <c r="O54" s="1462"/>
      <c r="P54" s="1462"/>
      <c r="Q54" s="1462"/>
      <c r="R54" s="1462"/>
    </row>
    <row r="55" spans="1:22" s="1614" customFormat="1">
      <c r="A55" s="1462"/>
      <c r="B55" s="1462"/>
      <c r="C55" s="1462"/>
      <c r="D55" s="1462"/>
      <c r="E55" s="1462"/>
      <c r="F55" s="628"/>
      <c r="G55" s="1462"/>
      <c r="H55" s="1462"/>
      <c r="I55" s="1462"/>
      <c r="J55" s="2244"/>
      <c r="K55" s="2242"/>
      <c r="L55" s="2242"/>
      <c r="M55" s="2242"/>
      <c r="N55" s="1462"/>
      <c r="O55" s="1462"/>
      <c r="P55" s="1462"/>
      <c r="Q55" s="1462"/>
      <c r="R55" s="1462"/>
    </row>
    <row r="56" spans="1:22" s="1614"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8671875" defaultRowHeight="13.8"/>
  <cols>
    <col min="1" max="1" width="10.6640625" style="1463" customWidth="1"/>
    <col min="2" max="2" width="11" style="1463" customWidth="1"/>
    <col min="3" max="3" width="47.6640625" style="3180"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3174"/>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1256"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9456.5000000000018</v>
      </c>
      <c r="C3" s="1278"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69"/>
      <c r="B4" s="1470"/>
      <c r="C4" s="3175"/>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1"/>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5"/>
      <c r="D5" s="1260"/>
      <c r="E5" s="13" t="s">
        <v>0</v>
      </c>
      <c r="F5" s="13">
        <f>SUM(F13:F587)</f>
        <v>0</v>
      </c>
      <c r="G5" s="13">
        <f>SUM(G13:G587)</f>
        <v>9456.5000000000018</v>
      </c>
      <c r="H5" s="13">
        <f t="shared" ref="H5:AT5" si="0">SUM(H13:H656)</f>
        <v>9456.5000000000018</v>
      </c>
      <c r="I5" s="13">
        <f t="shared" si="0"/>
        <v>9456.5000000000018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9456.5000000000018</v>
      </c>
      <c r="BA5" s="15">
        <f t="shared" si="1"/>
        <v>9456.5000000000018</v>
      </c>
      <c r="BB5" s="15">
        <f t="shared" si="1"/>
        <v>9456.5000000000018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3176"/>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3177" t="s">
        <v>1075</v>
      </c>
      <c r="D7" s="1461" t="s">
        <v>1076</v>
      </c>
      <c r="E7" s="1461" t="s">
        <v>1077</v>
      </c>
      <c r="F7" s="1461"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60"/>
      <c r="AU7" s="1477" t="s">
        <v>1080</v>
      </c>
      <c r="AV7" s="20" t="s">
        <v>1081</v>
      </c>
      <c r="AW7" s="1466" t="s">
        <v>1082</v>
      </c>
      <c r="AX7" s="20" t="s">
        <v>1075</v>
      </c>
      <c r="AY7" s="1259"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2187"/>
      <c r="D8" s="1480"/>
      <c r="E8" s="1480"/>
      <c r="F8" s="1480"/>
      <c r="G8" s="1481" t="s">
        <v>1084</v>
      </c>
      <c r="H8" s="1482" t="s">
        <v>1085</v>
      </c>
      <c r="I8" s="1483"/>
      <c r="J8" s="1269"/>
      <c r="K8" s="1269"/>
      <c r="L8" s="1269"/>
      <c r="M8" s="1269"/>
      <c r="N8" s="1269"/>
      <c r="O8" s="1269"/>
      <c r="P8" s="1269"/>
      <c r="Q8" s="1269"/>
      <c r="R8" s="1269"/>
      <c r="S8" s="1269"/>
      <c r="T8" s="1269"/>
      <c r="U8" s="1269"/>
      <c r="V8" s="1484"/>
      <c r="W8" s="1269"/>
      <c r="X8" s="1269"/>
      <c r="Y8" s="1269"/>
      <c r="Z8" s="1269"/>
      <c r="AA8" s="1484"/>
      <c r="AB8" s="1485"/>
      <c r="AC8" s="761" t="s">
        <v>1086</v>
      </c>
      <c r="AD8" s="1486"/>
      <c r="AE8" s="1478"/>
      <c r="AF8" s="1269"/>
      <c r="AG8" s="1269"/>
      <c r="AH8" s="1269"/>
      <c r="AI8" s="1269"/>
      <c r="AJ8" s="1269"/>
      <c r="AK8" s="1269"/>
      <c r="AL8" s="1269"/>
      <c r="AM8" s="1269"/>
      <c r="AN8" s="1269"/>
      <c r="AO8" s="1269"/>
      <c r="AP8" s="1269"/>
      <c r="AQ8" s="1269"/>
      <c r="AR8" s="1269"/>
      <c r="AS8" s="1269"/>
      <c r="AT8" s="1007" t="s">
        <v>1087</v>
      </c>
      <c r="AU8" s="1480"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7" customFormat="1" ht="13.2">
      <c r="A9" s="1480"/>
      <c r="B9" s="1480"/>
      <c r="C9" s="2187"/>
      <c r="D9" s="1480"/>
      <c r="E9" s="1480"/>
      <c r="F9" s="1480"/>
      <c r="G9" s="1007"/>
      <c r="H9" s="1488" t="s">
        <v>1091</v>
      </c>
      <c r="I9" s="1489" t="s">
        <v>3422</v>
      </c>
      <c r="J9" s="761"/>
      <c r="K9" s="1489"/>
      <c r="L9" s="761"/>
      <c r="M9" s="1489"/>
      <c r="N9" s="761"/>
      <c r="O9" s="1489"/>
      <c r="P9" s="761"/>
      <c r="Q9" s="1489"/>
      <c r="R9" s="761"/>
      <c r="S9" s="1489"/>
      <c r="T9" s="761"/>
      <c r="U9" s="1489"/>
      <c r="V9" s="761"/>
      <c r="W9" s="1489"/>
      <c r="X9" s="1490"/>
      <c r="Y9" s="1489"/>
      <c r="Z9" s="761"/>
      <c r="AA9" s="1489"/>
      <c r="AB9" s="761"/>
      <c r="AC9" s="1481"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1"/>
      <c r="AT9" s="1480"/>
      <c r="AU9" s="1480" t="s">
        <v>1094</v>
      </c>
      <c r="AV9" s="1007"/>
      <c r="AW9" s="1467"/>
      <c r="AX9" s="1007"/>
      <c r="AY9" s="25"/>
      <c r="AZ9" s="25" t="s">
        <v>1084</v>
      </c>
      <c r="BA9" s="1492" t="s">
        <v>1095</v>
      </c>
      <c r="BB9" s="1493"/>
      <c r="BC9" s="1025"/>
      <c r="BD9" s="1025"/>
      <c r="BE9" s="1025"/>
      <c r="BF9" s="1025"/>
      <c r="BG9" s="1025"/>
      <c r="BH9" s="1025"/>
      <c r="BI9" s="1025"/>
      <c r="BJ9" s="1025"/>
      <c r="BK9" s="1494"/>
      <c r="BL9" s="12" t="s">
        <v>1096</v>
      </c>
      <c r="BM9" s="1269"/>
      <c r="BN9" s="1483"/>
      <c r="BO9" s="1269"/>
      <c r="BP9" s="1269"/>
      <c r="BQ9" s="1269"/>
      <c r="BR9" s="1269"/>
      <c r="BS9" s="1269"/>
      <c r="BT9" s="23"/>
    </row>
    <row r="10" spans="1:72" s="1487" customFormat="1" ht="13.2">
      <c r="A10" s="1480"/>
      <c r="B10" s="1480"/>
      <c r="C10" s="2187"/>
      <c r="D10" s="1480"/>
      <c r="E10" s="1480"/>
      <c r="F10" s="1480"/>
      <c r="G10" s="1007"/>
      <c r="H10" s="25"/>
      <c r="I10" s="1489" t="s">
        <v>21</v>
      </c>
      <c r="J10" s="761"/>
      <c r="K10" s="1495"/>
      <c r="L10" s="761"/>
      <c r="M10" s="1495"/>
      <c r="N10" s="761"/>
      <c r="O10" s="1495"/>
      <c r="P10" s="761"/>
      <c r="Q10" s="1495"/>
      <c r="R10" s="761"/>
      <c r="S10" s="1495"/>
      <c r="T10" s="761"/>
      <c r="U10" s="1495"/>
      <c r="V10" s="761"/>
      <c r="W10" s="1495"/>
      <c r="X10" s="761"/>
      <c r="Y10" s="1495"/>
      <c r="Z10" s="761"/>
      <c r="AA10" s="1495"/>
      <c r="AB10" s="761"/>
      <c r="AC10" s="1007"/>
      <c r="AD10" s="12" t="s">
        <v>1097</v>
      </c>
      <c r="AE10" s="1496"/>
      <c r="AF10" s="12" t="s">
        <v>1097</v>
      </c>
      <c r="AG10" s="1496"/>
      <c r="AH10" s="12" t="s">
        <v>1098</v>
      </c>
      <c r="AI10" s="1496"/>
      <c r="AJ10" s="12" t="s">
        <v>1098</v>
      </c>
      <c r="AK10" s="1496"/>
      <c r="AL10" s="12" t="s">
        <v>1099</v>
      </c>
      <c r="AM10" s="1013"/>
      <c r="AN10" s="12" t="s">
        <v>1099</v>
      </c>
      <c r="AO10" s="1013"/>
      <c r="AP10" s="12" t="s">
        <v>1100</v>
      </c>
      <c r="AQ10" s="1013"/>
      <c r="AR10" s="12" t="s">
        <v>1100</v>
      </c>
      <c r="AS10" s="1013"/>
      <c r="AT10" s="1480"/>
      <c r="AU10" s="1480"/>
      <c r="AV10" s="1007"/>
      <c r="AW10" s="1467"/>
      <c r="AX10" s="1007"/>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499" t="str">
        <f>AR9</f>
        <v>地下</v>
      </c>
    </row>
    <row r="11" spans="1:72" s="1487" customFormat="1" ht="13.2">
      <c r="A11" s="1480"/>
      <c r="B11" s="1480"/>
      <c r="C11" s="2187"/>
      <c r="D11" s="1480"/>
      <c r="E11" s="1480"/>
      <c r="F11" s="1480"/>
      <c r="G11" s="1007"/>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7"/>
      <c r="AD11" s="1502" t="s">
        <v>1101</v>
      </c>
      <c r="AE11" s="1270"/>
      <c r="AF11" s="1502" t="s">
        <v>1101</v>
      </c>
      <c r="AG11" s="1270"/>
      <c r="AH11" s="1502" t="s">
        <v>1102</v>
      </c>
      <c r="AI11" s="1503"/>
      <c r="AJ11" s="1502" t="s">
        <v>1102</v>
      </c>
      <c r="AK11" s="1270"/>
      <c r="AL11" s="1268"/>
      <c r="AM11" s="1270"/>
      <c r="AN11" s="1268"/>
      <c r="AO11" s="1270"/>
      <c r="AP11" s="1268"/>
      <c r="AQ11" s="1270"/>
      <c r="AR11" s="1268"/>
      <c r="AS11" s="1270"/>
      <c r="AT11" s="1467"/>
      <c r="AU11" s="1480"/>
      <c r="AV11" s="1007"/>
      <c r="AW11" s="1467"/>
      <c r="AX11" s="1007"/>
      <c r="AY11" s="25"/>
      <c r="AZ11" s="25"/>
      <c r="BA11" s="25"/>
      <c r="BB11" s="1485" t="str">
        <f>I10</f>
        <v>办公</v>
      </c>
      <c r="BC11" s="1485">
        <f>K10</f>
        <v>0</v>
      </c>
      <c r="BD11" s="1485">
        <f>M10</f>
        <v>0</v>
      </c>
      <c r="BE11" s="1485">
        <f>O10</f>
        <v>0</v>
      </c>
      <c r="BF11" s="1485">
        <f>Q10</f>
        <v>0</v>
      </c>
      <c r="BG11" s="1485">
        <f>S10</f>
        <v>0</v>
      </c>
      <c r="BH11" s="1485">
        <f>U10</f>
        <v>0</v>
      </c>
      <c r="BI11" s="1485">
        <f>W10</f>
        <v>0</v>
      </c>
      <c r="BJ11" s="1485">
        <f>Y10</f>
        <v>0</v>
      </c>
      <c r="BK11" s="1485">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8" customFormat="1" ht="13.2">
      <c r="A12" s="1505"/>
      <c r="B12" s="1505"/>
      <c r="C12" s="1032"/>
      <c r="D12" s="1505"/>
      <c r="E12" s="1505"/>
      <c r="F12" s="1505"/>
      <c r="G12" s="27"/>
      <c r="H12" s="1506"/>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7"/>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6"/>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4">
        <f>AR11</f>
        <v>0</v>
      </c>
    </row>
    <row r="13" spans="1:72" s="1468" customFormat="1" ht="15" customHeight="1">
      <c r="A13" s="628"/>
      <c r="B13" s="628"/>
      <c r="C13" s="3178" t="s">
        <v>3455</v>
      </c>
      <c r="D13" s="1511" t="s">
        <v>3421</v>
      </c>
      <c r="E13" s="13">
        <f>IF($C$3="是",ROUND($A$3*G13/$B$3,2),ROUND($A$3*(G13-AT13)/$B$3,2))</f>
        <v>0</v>
      </c>
      <c r="F13" s="29"/>
      <c r="G13" s="30">
        <f>H13+AC13+AT13</f>
        <v>959.68</v>
      </c>
      <c r="H13" s="17">
        <f>SUMIF(I$12:AB$12,"总值",I13:AB13)</f>
        <v>959.68</v>
      </c>
      <c r="I13" s="1512">
        <v>959.68</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3"/>
      <c r="AV13" s="8">
        <f t="shared" ref="AV13:AX17" si="6">A13</f>
        <v>0</v>
      </c>
      <c r="AW13" s="8">
        <f t="shared" si="6"/>
        <v>0</v>
      </c>
      <c r="AX13" s="8" t="str">
        <f t="shared" si="6"/>
        <v>顺义区裕庆路空港段 22 号院一区 1 号楼 6 层 602</v>
      </c>
      <c r="AY13" s="1260">
        <f>ROUND($AY$6*AZ13/$AZ$5,2)</f>
        <v>0</v>
      </c>
      <c r="AZ13" s="13">
        <f>BA13+BL13</f>
        <v>959.68</v>
      </c>
      <c r="BA13" s="13">
        <f>SUM(BB13:BK13)</f>
        <v>959.68</v>
      </c>
      <c r="BB13" s="13">
        <f>IF($D13="是",I13-J13,0)</f>
        <v>959.68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5" customHeight="1">
      <c r="A14" s="628"/>
      <c r="B14" s="628"/>
      <c r="C14" s="3178" t="s">
        <v>3456</v>
      </c>
      <c r="D14" s="1511" t="s">
        <v>3421</v>
      </c>
      <c r="E14" s="13">
        <f>IF($C$3="是",ROUND($A$3*G14/$B$3,2),ROUND($A$3*(G14-AT14)/$B$3,2))</f>
        <v>0</v>
      </c>
      <c r="F14" s="29"/>
      <c r="G14" s="30">
        <f>H14+AC14+AT14</f>
        <v>845.37</v>
      </c>
      <c r="H14" s="17">
        <f>SUMIF(I$12:AB$12,"总值",I14:AB14)</f>
        <v>845.37</v>
      </c>
      <c r="I14" s="1512">
        <v>845.37</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3"/>
      <c r="AV14" s="8">
        <f t="shared" si="6"/>
        <v>0</v>
      </c>
      <c r="AW14" s="8">
        <f t="shared" si="6"/>
        <v>0</v>
      </c>
      <c r="AX14" s="8" t="str">
        <f t="shared" si="6"/>
        <v>顺义区裕庆路空港段 22 号院一区 1 号楼 7 层 701</v>
      </c>
      <c r="AY14" s="1260">
        <f>ROUND($AY$6*AZ14/$AZ$5,2)</f>
        <v>0</v>
      </c>
      <c r="AZ14" s="13">
        <f>BA14+BL14</f>
        <v>845.37</v>
      </c>
      <c r="BA14" s="13">
        <f>SUM(BB14:BK14)</f>
        <v>845.37</v>
      </c>
      <c r="BB14" s="13">
        <f>IF($D14="是",I14-J14,0)</f>
        <v>845.37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5" customHeight="1">
      <c r="A15" s="628"/>
      <c r="B15" s="628"/>
      <c r="C15" s="3178" t="s">
        <v>3457</v>
      </c>
      <c r="D15" s="1511" t="s">
        <v>3421</v>
      </c>
      <c r="E15" s="13">
        <f>IF($C$3="是",ROUND($A$3*G15/$B$3,2),ROUND($A$3*(G15-AT15)/$B$3,2))</f>
        <v>0</v>
      </c>
      <c r="F15" s="29"/>
      <c r="G15" s="30">
        <f>H15+AC15+AT15</f>
        <v>959.68</v>
      </c>
      <c r="H15" s="17">
        <f>SUMIF(I$12:AB$12,"总值",I15:AB15)</f>
        <v>959.68</v>
      </c>
      <c r="I15" s="1512">
        <v>959.68</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3"/>
      <c r="AV15" s="8">
        <f t="shared" si="6"/>
        <v>0</v>
      </c>
      <c r="AW15" s="8">
        <f t="shared" si="6"/>
        <v>0</v>
      </c>
      <c r="AX15" s="8" t="str">
        <f t="shared" si="6"/>
        <v>顺义区裕庆路空港段 22 号院一区 1 号楼 7 层 702</v>
      </c>
      <c r="AY15" s="1260">
        <f>ROUND($AY$6*AZ15/$AZ$5,2)</f>
        <v>0</v>
      </c>
      <c r="AZ15" s="13">
        <f>BA15+BL15</f>
        <v>959.68</v>
      </c>
      <c r="BA15" s="13">
        <f>SUM(BB15:BK15)</f>
        <v>959.68</v>
      </c>
      <c r="BB15" s="13">
        <f>IF($D15="是",I15-J15,0)</f>
        <v>959.68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5" customHeight="1">
      <c r="A16" s="628"/>
      <c r="B16" s="628"/>
      <c r="C16" s="3178" t="s">
        <v>3458</v>
      </c>
      <c r="D16" s="1511" t="s">
        <v>3421</v>
      </c>
      <c r="E16" s="13">
        <f>IF($C$3="是",ROUND($A$3*G16/$B$3,2),ROUND($A$3*(G16-AT16)/$B$3,2))</f>
        <v>0</v>
      </c>
      <c r="F16" s="29"/>
      <c r="G16" s="30">
        <f>H16+AC16+AT16</f>
        <v>845.37</v>
      </c>
      <c r="H16" s="17">
        <f>SUMIF(I$12:AB$12,"总值",I16:AB16)</f>
        <v>845.37</v>
      </c>
      <c r="I16" s="1512">
        <v>845.37</v>
      </c>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3"/>
      <c r="AV16" s="8">
        <f t="shared" si="6"/>
        <v>0</v>
      </c>
      <c r="AW16" s="8">
        <f t="shared" si="6"/>
        <v>0</v>
      </c>
      <c r="AX16" s="8" t="str">
        <f t="shared" si="6"/>
        <v>顺义区裕庆路空港段 22 号院一区 1 号楼 8 层 801</v>
      </c>
      <c r="AY16" s="1260">
        <f>ROUND($AY$6*AZ16/$AZ$5,2)</f>
        <v>0</v>
      </c>
      <c r="AZ16" s="13">
        <f>BA16+BL16</f>
        <v>845.37</v>
      </c>
      <c r="BA16" s="13">
        <f>SUM(BB16:BK16)</f>
        <v>845.37</v>
      </c>
      <c r="BB16" s="13">
        <f>IF($D16="是",I16-J16,0)</f>
        <v>845.37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5" customHeight="1">
      <c r="A17" s="628"/>
      <c r="B17" s="628"/>
      <c r="C17" s="3178" t="s">
        <v>3459</v>
      </c>
      <c r="D17" s="1511" t="s">
        <v>3421</v>
      </c>
      <c r="E17" s="13">
        <f>IF($C$3="是",ROUND($A$3*G17/$B$3,2),ROUND($A$3*(G17-AT17)/$B$3,2))</f>
        <v>0</v>
      </c>
      <c r="F17" s="29"/>
      <c r="G17" s="30">
        <f>H17+AC17+AT17</f>
        <v>671.87</v>
      </c>
      <c r="H17" s="17">
        <f>SUMIF(I$12:AB$12,"总值",I17:AB17)</f>
        <v>671.87</v>
      </c>
      <c r="I17" s="1512">
        <v>671.87</v>
      </c>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3"/>
      <c r="AV17" s="8">
        <f t="shared" si="6"/>
        <v>0</v>
      </c>
      <c r="AW17" s="8">
        <f t="shared" si="6"/>
        <v>0</v>
      </c>
      <c r="AX17" s="8" t="str">
        <f t="shared" si="6"/>
        <v>顺义区裕庆路空港段 22 号院一区 1 号楼 7 层 703</v>
      </c>
      <c r="AY17" s="1260">
        <f>ROUND($AY$6*AZ17/$AZ$5,2)</f>
        <v>0</v>
      </c>
      <c r="AZ17" s="13">
        <f>BA17+BL17</f>
        <v>671.87</v>
      </c>
      <c r="BA17" s="13">
        <f>SUM(BB17:BK17)</f>
        <v>671.87</v>
      </c>
      <c r="BB17" s="13">
        <f>IF($D17="是",I17-J17,0)</f>
        <v>671.87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5" customHeight="1">
      <c r="A18" s="6"/>
      <c r="B18" s="31"/>
      <c r="C18" s="457" t="s">
        <v>3460</v>
      </c>
      <c r="D18" s="1511" t="s">
        <v>3421</v>
      </c>
      <c r="E18" s="32">
        <f t="shared" ref="E18:E112" si="7">IF($C$3="是",ROUND($A$3*G18/$B$3,2),ROUND($A$3*(G18-AT18)/$B$3,2))</f>
        <v>0</v>
      </c>
      <c r="F18" s="33"/>
      <c r="G18" s="34">
        <f t="shared" ref="G18:G109" si="8">H18+AC18+AT18</f>
        <v>959.68</v>
      </c>
      <c r="H18" s="35">
        <f t="shared" ref="H18:H109" si="9">SUMIF(I$12:AB$12,"总值",I18:AB18)</f>
        <v>959.68</v>
      </c>
      <c r="I18" s="36">
        <v>959.68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t="str">
        <f t="shared" ref="AX18:AX112" si="13">C18</f>
        <v>顺义区裕庆路空港段 22 号院一区 1 号楼 8 层 802</v>
      </c>
      <c r="AY18" s="38">
        <f t="shared" ref="AY18:AY109" si="14">ROUND($AY$6*AZ18/$AZ$5,2)</f>
        <v>0</v>
      </c>
      <c r="AZ18" s="32">
        <f t="shared" ref="AZ18:AZ109" si="15">BA18+BL18</f>
        <v>959.68</v>
      </c>
      <c r="BA18" s="32">
        <f t="shared" ref="BA18:BA109" si="16">SUM(BB18:BK18)</f>
        <v>959.68</v>
      </c>
      <c r="BB18" s="32">
        <f t="shared" ref="BB18:BB109" si="17">IF($D18="是",I18-J18,0)</f>
        <v>959.68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15" customHeight="1">
      <c r="A19" s="6"/>
      <c r="B19" s="31"/>
      <c r="C19" s="457" t="s">
        <v>3461</v>
      </c>
      <c r="D19" s="1511" t="s">
        <v>3421</v>
      </c>
      <c r="E19" s="32">
        <f t="shared" si="7"/>
        <v>0</v>
      </c>
      <c r="F19" s="33"/>
      <c r="G19" s="34">
        <f t="shared" si="8"/>
        <v>1025.18</v>
      </c>
      <c r="H19" s="35">
        <f t="shared" si="9"/>
        <v>1025.18</v>
      </c>
      <c r="I19" s="36">
        <v>1025.18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t="str">
        <f t="shared" si="13"/>
        <v>顺义区裕庆路空港段 22 号院一区 1 号楼 9 层 901</v>
      </c>
      <c r="AY19" s="38">
        <f t="shared" si="14"/>
        <v>0</v>
      </c>
      <c r="AZ19" s="32">
        <f t="shared" si="15"/>
        <v>1025.18</v>
      </c>
      <c r="BA19" s="32">
        <f t="shared" si="16"/>
        <v>1025.18</v>
      </c>
      <c r="BB19" s="32">
        <f t="shared" si="17"/>
        <v>1025.18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ht="15" customHeight="1">
      <c r="A20" s="6"/>
      <c r="B20" s="31"/>
      <c r="C20" s="457" t="s">
        <v>3462</v>
      </c>
      <c r="D20" s="1511" t="s">
        <v>3421</v>
      </c>
      <c r="E20" s="32">
        <f t="shared" si="7"/>
        <v>0</v>
      </c>
      <c r="F20" s="33"/>
      <c r="G20" s="34">
        <f t="shared" si="8"/>
        <v>671.87</v>
      </c>
      <c r="H20" s="35">
        <f t="shared" si="9"/>
        <v>671.87</v>
      </c>
      <c r="I20" s="36">
        <v>671.87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t="str">
        <f t="shared" si="13"/>
        <v>顺义区裕庆路空港段 22 号院一区 1 号楼 6 层 603</v>
      </c>
      <c r="AY20" s="38">
        <f t="shared" si="14"/>
        <v>0</v>
      </c>
      <c r="AZ20" s="32">
        <f t="shared" si="15"/>
        <v>671.87</v>
      </c>
      <c r="BA20" s="32">
        <f t="shared" si="16"/>
        <v>671.87</v>
      </c>
      <c r="BB20" s="32">
        <f t="shared" si="17"/>
        <v>671.87</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ht="15" customHeight="1">
      <c r="A21" s="6"/>
      <c r="B21" s="31"/>
      <c r="C21" s="457" t="s">
        <v>3463</v>
      </c>
      <c r="D21" s="1511" t="s">
        <v>3421</v>
      </c>
      <c r="E21" s="32">
        <f t="shared" si="7"/>
        <v>0</v>
      </c>
      <c r="F21" s="33"/>
      <c r="G21" s="34">
        <f t="shared" si="8"/>
        <v>845.37</v>
      </c>
      <c r="H21" s="35">
        <f t="shared" si="9"/>
        <v>845.37</v>
      </c>
      <c r="I21" s="36">
        <v>845.37</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t="str">
        <f t="shared" si="13"/>
        <v>顺义区裕庆路空港段 22 号院一区 1 号楼 6 层 601</v>
      </c>
      <c r="AY21" s="38">
        <f t="shared" si="14"/>
        <v>0</v>
      </c>
      <c r="AZ21" s="32">
        <f t="shared" si="15"/>
        <v>845.37</v>
      </c>
      <c r="BA21" s="32">
        <f t="shared" si="16"/>
        <v>845.37</v>
      </c>
      <c r="BB21" s="32">
        <f t="shared" si="17"/>
        <v>845.37</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ht="15" customHeight="1">
      <c r="A22" s="6"/>
      <c r="B22" s="31"/>
      <c r="C22" s="457" t="s">
        <v>3464</v>
      </c>
      <c r="D22" s="1511" t="s">
        <v>3421</v>
      </c>
      <c r="E22" s="32">
        <f t="shared" si="7"/>
        <v>0</v>
      </c>
      <c r="F22" s="33"/>
      <c r="G22" s="34">
        <f t="shared" si="8"/>
        <v>1000.56</v>
      </c>
      <c r="H22" s="35">
        <f t="shared" si="9"/>
        <v>1000.56</v>
      </c>
      <c r="I22" s="36">
        <v>1000.56</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t="str">
        <f t="shared" si="13"/>
        <v>顺义区裕庆路空港段 22 号院一区 1 号楼 9 层 902</v>
      </c>
      <c r="AY22" s="38">
        <f t="shared" si="14"/>
        <v>0</v>
      </c>
      <c r="AZ22" s="32">
        <f t="shared" si="15"/>
        <v>1000.56</v>
      </c>
      <c r="BA22" s="32">
        <f t="shared" si="16"/>
        <v>1000.56</v>
      </c>
      <c r="BB22" s="32">
        <f t="shared" si="17"/>
        <v>1000.56</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ht="15" customHeight="1">
      <c r="A23" s="6"/>
      <c r="B23" s="31"/>
      <c r="C23" s="457" t="s">
        <v>3465</v>
      </c>
      <c r="D23" s="1511" t="s">
        <v>3421</v>
      </c>
      <c r="E23" s="32">
        <f t="shared" si="7"/>
        <v>0</v>
      </c>
      <c r="F23" s="33"/>
      <c r="G23" s="34">
        <f t="shared" si="8"/>
        <v>671.87</v>
      </c>
      <c r="H23" s="35">
        <f t="shared" si="9"/>
        <v>671.87</v>
      </c>
      <c r="I23" s="36">
        <v>671.87</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t="str">
        <f t="shared" si="13"/>
        <v>顺义区裕庆路空港段 22 号院一区 1 号楼 8 层 803</v>
      </c>
      <c r="AY23" s="38">
        <f t="shared" si="14"/>
        <v>0</v>
      </c>
      <c r="AZ23" s="32">
        <f t="shared" si="15"/>
        <v>671.87</v>
      </c>
      <c r="BA23" s="32">
        <f t="shared" si="16"/>
        <v>671.87</v>
      </c>
      <c r="BB23" s="32">
        <f t="shared" si="17"/>
        <v>671.87</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ht="15" customHeight="1">
      <c r="A24" s="6"/>
      <c r="B24" s="31"/>
      <c r="C24" s="457"/>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ht="15" customHeight="1">
      <c r="A25" s="6"/>
      <c r="B25" s="31"/>
      <c r="C25" s="457"/>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ht="15" customHeight="1">
      <c r="A26" s="6"/>
      <c r="B26" s="31"/>
      <c r="C26" s="457"/>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ht="15" customHeight="1">
      <c r="A27" s="6"/>
      <c r="B27" s="31"/>
      <c r="C27" s="457"/>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ht="15" customHeight="1">
      <c r="A28" s="6"/>
      <c r="B28" s="31"/>
      <c r="C28" s="457"/>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ht="15" customHeight="1">
      <c r="A29" s="6"/>
      <c r="B29" s="31"/>
      <c r="C29" s="457"/>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ht="15" customHeight="1">
      <c r="A30" s="6"/>
      <c r="B30" s="31"/>
      <c r="C30" s="457"/>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ht="15" customHeight="1">
      <c r="A31" s="6"/>
      <c r="B31" s="31"/>
      <c r="C31" s="457"/>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ht="15" customHeight="1">
      <c r="A32" s="6"/>
      <c r="B32" s="31"/>
      <c r="C32" s="457"/>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ht="15" customHeight="1">
      <c r="A33" s="6"/>
      <c r="B33" s="31"/>
      <c r="C33" s="457"/>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457"/>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457"/>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457"/>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457"/>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457"/>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457"/>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457"/>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457"/>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457"/>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457"/>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457"/>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457"/>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457"/>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457"/>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457"/>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457"/>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457"/>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457"/>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457"/>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457"/>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457"/>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457"/>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457"/>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457"/>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457"/>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457"/>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457"/>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457"/>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457"/>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457"/>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457"/>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457"/>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457"/>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457"/>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457"/>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457"/>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457"/>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457"/>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457"/>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457"/>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457"/>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457"/>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457"/>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457"/>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457"/>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457"/>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457"/>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457"/>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457"/>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457"/>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457"/>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457"/>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457"/>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457"/>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457"/>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457"/>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457"/>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457"/>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457"/>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457"/>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457"/>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457"/>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457"/>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457"/>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457"/>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457"/>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457"/>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457"/>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457"/>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457"/>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457"/>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457"/>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457"/>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457"/>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457"/>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457"/>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3179"/>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3179"/>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3179"/>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457"/>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457"/>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457"/>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457"/>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457"/>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457"/>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457"/>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457"/>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457"/>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457"/>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457"/>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457"/>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457"/>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457"/>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457"/>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457"/>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457"/>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457"/>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457"/>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457"/>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457"/>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457"/>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457"/>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457"/>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457"/>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457"/>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457"/>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457"/>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457"/>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457"/>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457"/>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457"/>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457"/>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457"/>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457"/>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457"/>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457"/>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457"/>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457"/>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457"/>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457"/>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457"/>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457"/>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457"/>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457"/>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457"/>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457"/>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457"/>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457"/>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457"/>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457"/>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457"/>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457"/>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457"/>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457"/>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457"/>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457"/>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457"/>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457"/>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457"/>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457"/>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457"/>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457"/>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457"/>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457"/>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457"/>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457"/>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457"/>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457"/>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457"/>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457"/>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457"/>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457"/>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457"/>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457"/>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457"/>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457"/>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457"/>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457"/>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457"/>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457"/>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457"/>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457"/>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457"/>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457"/>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457"/>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457"/>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457"/>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457"/>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457"/>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457"/>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457"/>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3179"/>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3179"/>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3179"/>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457"/>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457"/>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457"/>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457"/>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457"/>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457"/>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457"/>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457"/>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457"/>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457"/>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457"/>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457"/>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457"/>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457"/>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457"/>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457"/>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457"/>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457"/>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457"/>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457"/>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457"/>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457"/>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457"/>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457"/>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457"/>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457"/>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457"/>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457"/>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457"/>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457"/>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457"/>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457"/>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457"/>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457"/>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457"/>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457"/>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457"/>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457"/>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457"/>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457"/>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457"/>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457"/>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457"/>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457"/>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457"/>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457"/>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457"/>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457"/>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457"/>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457"/>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457"/>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457"/>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457"/>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457"/>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457"/>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457"/>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457"/>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457"/>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457"/>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457"/>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457"/>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457"/>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457"/>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457"/>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457"/>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457"/>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457"/>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457"/>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457"/>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457"/>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457"/>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457"/>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457"/>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457"/>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457"/>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457"/>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457"/>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457"/>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457"/>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457"/>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457"/>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457"/>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457"/>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457"/>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457"/>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457"/>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457"/>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457"/>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457"/>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457"/>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457"/>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457"/>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3179"/>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3179"/>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3179"/>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457"/>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457"/>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457"/>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457"/>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457"/>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457"/>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457"/>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457"/>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457"/>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457"/>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457"/>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457"/>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457"/>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457"/>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457"/>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457"/>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457"/>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457"/>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457"/>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457"/>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457"/>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457"/>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457"/>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457"/>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457"/>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457"/>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457"/>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457"/>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457"/>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457"/>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457"/>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457"/>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457"/>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457"/>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457"/>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457"/>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457"/>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457"/>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457"/>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457"/>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457"/>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457"/>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457"/>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457"/>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457"/>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457"/>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457"/>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457"/>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457"/>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457"/>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457"/>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457"/>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457"/>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457"/>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457"/>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457"/>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457"/>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457"/>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457"/>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457"/>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457"/>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457"/>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457"/>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457"/>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457"/>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457"/>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457"/>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457"/>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457"/>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457"/>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457"/>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457"/>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457"/>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457"/>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457"/>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457"/>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457"/>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457"/>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457"/>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457"/>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457"/>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457"/>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457"/>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457"/>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457"/>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457"/>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457"/>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457"/>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457"/>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457"/>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457"/>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457"/>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3179"/>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3179"/>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3179"/>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457"/>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457"/>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457"/>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457"/>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457"/>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457"/>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457"/>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457"/>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457"/>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457"/>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457"/>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457"/>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457"/>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457"/>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457"/>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457"/>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457"/>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457"/>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457"/>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457"/>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457"/>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457"/>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457"/>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457"/>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457"/>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457"/>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457"/>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457"/>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457"/>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457"/>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457"/>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457"/>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457"/>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457"/>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457"/>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457"/>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457"/>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457"/>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457"/>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457"/>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457"/>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457"/>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457"/>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457"/>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457"/>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457"/>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457"/>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457"/>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457"/>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457"/>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457"/>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457"/>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457"/>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457"/>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457"/>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457"/>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457"/>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457"/>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457"/>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457"/>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457"/>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457"/>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457"/>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457"/>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457"/>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457"/>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457"/>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457"/>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457"/>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457"/>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457"/>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457"/>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457"/>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457"/>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457"/>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457"/>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457"/>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457"/>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457"/>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457"/>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457"/>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457"/>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457"/>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457"/>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457"/>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457"/>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457"/>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457"/>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457"/>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457"/>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457"/>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457"/>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3179"/>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3179"/>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3179"/>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457"/>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457"/>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457"/>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457"/>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457"/>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457"/>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457"/>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457"/>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457"/>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457"/>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457"/>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457"/>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457"/>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457"/>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457"/>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457"/>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457"/>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457"/>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457"/>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457"/>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457"/>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457"/>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457"/>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457"/>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457"/>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457"/>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457"/>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457"/>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457"/>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457"/>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457"/>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457"/>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457"/>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457"/>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457"/>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457"/>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457"/>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457"/>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457"/>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457"/>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457"/>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457"/>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457"/>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457"/>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457"/>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457"/>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457"/>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457"/>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457"/>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457"/>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457"/>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457"/>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457"/>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457"/>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457"/>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457"/>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457"/>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457"/>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457"/>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457"/>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457"/>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457"/>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457"/>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457"/>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457"/>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457"/>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457"/>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457"/>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457"/>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457"/>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457"/>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457"/>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457"/>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457"/>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457"/>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457"/>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457"/>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457"/>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457"/>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457"/>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457"/>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457"/>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457"/>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457"/>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457"/>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457"/>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457"/>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457"/>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457"/>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457"/>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457"/>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457"/>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3179"/>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3179"/>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3179"/>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3181"/>
      <c r="D589" s="1518"/>
    </row>
    <row r="590" spans="1:72" s="1517" customFormat="1">
      <c r="C590" s="3181"/>
      <c r="D590" s="1518"/>
    </row>
    <row r="593" spans="2:2">
      <c r="B593" s="1518"/>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71"/>
      <c r="C1" s="1071"/>
      <c r="D1" s="1071"/>
      <c r="E1" s="1071"/>
      <c r="F1" s="1071"/>
      <c r="G1" s="1071"/>
      <c r="H1" s="1071"/>
      <c r="I1" s="1071"/>
      <c r="J1" s="1071"/>
      <c r="K1" s="1071"/>
      <c r="L1" s="1071"/>
      <c r="M1" s="1071"/>
      <c r="N1" s="1071"/>
      <c r="O1" s="1071"/>
      <c r="P1" s="1071"/>
    </row>
    <row r="2" spans="1:16" ht="14.4">
      <c r="A2" s="3262" t="s">
        <v>1131</v>
      </c>
      <c r="B2" s="3262"/>
      <c r="C2" s="3262"/>
      <c r="D2" s="748" t="s">
        <v>1107</v>
      </c>
      <c r="E2" s="1521" t="s">
        <v>1108</v>
      </c>
      <c r="F2" s="2437"/>
      <c r="G2" s="2430"/>
      <c r="H2" s="2431"/>
      <c r="I2" s="2144" t="s">
        <v>1132</v>
      </c>
      <c r="J2" s="2437"/>
      <c r="K2" s="2437"/>
      <c r="L2" s="2437"/>
      <c r="M2" s="2437"/>
      <c r="N2" s="2438"/>
      <c r="O2" s="2437"/>
      <c r="P2" s="2437"/>
    </row>
    <row r="3" spans="1:16" ht="15" thickBot="1">
      <c r="A3" s="3263" t="s">
        <v>1105</v>
      </c>
      <c r="B3" s="3263"/>
      <c r="C3" s="3263"/>
      <c r="D3" s="41">
        <f>'数据-基础表'!AY6</f>
        <v>0</v>
      </c>
      <c r="E3" s="41">
        <f>'数据-基础表'!AZ5</f>
        <v>9456.5000000000018</v>
      </c>
      <c r="F3" s="2437"/>
      <c r="G3" s="42"/>
      <c r="H3" s="43" t="s">
        <v>1106</v>
      </c>
      <c r="I3" s="802" t="e">
        <f>ROUND('数据-基础表'!B3/'数据-基础表'!A3,2)</f>
        <v>#DIV/0!</v>
      </c>
      <c r="J3" s="2437"/>
      <c r="K3" s="2437"/>
      <c r="L3" s="2437"/>
      <c r="M3" s="2437"/>
      <c r="N3" s="2438"/>
      <c r="O3" s="2437"/>
      <c r="P3" s="2437"/>
    </row>
    <row r="4" spans="1:16" ht="14.4">
      <c r="A4" s="3264"/>
      <c r="B4" s="3265"/>
      <c r="C4" s="3266"/>
      <c r="D4" s="1522" t="s">
        <v>1107</v>
      </c>
      <c r="E4" s="1523"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7" t="s">
        <v>1110</v>
      </c>
      <c r="C5" s="3267"/>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5"/>
      <c r="B6" s="3267" t="s">
        <v>1111</v>
      </c>
      <c r="C6" s="3267"/>
      <c r="D6" s="43">
        <f>ROUND($D$3*E6/$E$3,2)</f>
        <v>0</v>
      </c>
      <c r="E6" s="44">
        <f>E3-E5</f>
        <v>9456.5000000000018</v>
      </c>
      <c r="F6" s="2437"/>
      <c r="G6" s="1527" t="s">
        <v>1112</v>
      </c>
      <c r="H6" s="45" t="s">
        <v>1113</v>
      </c>
      <c r="I6" s="2433" t="e">
        <f>ROUND(F31/D31,2)</f>
        <v>#DIV/0!</v>
      </c>
      <c r="J6" s="2437"/>
      <c r="K6" s="2437"/>
      <c r="L6" s="2437"/>
      <c r="M6" s="2437"/>
      <c r="N6" s="2437"/>
      <c r="O6" s="2437"/>
      <c r="P6" s="2437"/>
    </row>
    <row r="7" spans="1:16" ht="15" thickBot="1">
      <c r="A7" s="3259"/>
      <c r="B7" s="3260"/>
      <c r="C7" s="3261"/>
      <c r="D7" s="1522" t="s">
        <v>1107</v>
      </c>
      <c r="E7" s="1526"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9456.5000000000018</v>
      </c>
      <c r="F8" s="2437"/>
      <c r="G8" s="2437"/>
      <c r="H8" s="2437"/>
      <c r="I8" s="2437"/>
      <c r="J8" s="2437"/>
      <c r="K8" s="2437"/>
      <c r="L8" s="2437"/>
      <c r="M8" s="2437"/>
      <c r="N8" s="2437"/>
      <c r="O8" s="2437"/>
      <c r="P8" s="2437"/>
    </row>
    <row r="9" spans="1:16" ht="14.4">
      <c r="A9" s="1527"/>
      <c r="B9" s="1528"/>
      <c r="C9" s="43" t="s">
        <v>1119</v>
      </c>
      <c r="D9" s="43">
        <f t="shared" si="0"/>
        <v>0</v>
      </c>
      <c r="E9" s="47">
        <v>0</v>
      </c>
      <c r="F9" s="2437"/>
      <c r="G9" s="2437"/>
      <c r="H9" s="2437"/>
      <c r="I9" s="2437"/>
      <c r="J9" s="2437"/>
      <c r="K9" s="2437"/>
      <c r="L9" s="2437"/>
      <c r="M9" s="2437"/>
      <c r="N9" s="2437"/>
      <c r="O9" s="2437"/>
      <c r="P9" s="2437"/>
    </row>
    <row r="10" spans="1:16" ht="14.4">
      <c r="A10" s="1527"/>
      <c r="B10" s="1528"/>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7"/>
      <c r="B11" s="1528"/>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7"/>
      <c r="B12" s="1528"/>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7"/>
      <c r="B13" s="1528"/>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7"/>
      <c r="B14" s="1528"/>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5"/>
      <c r="B16" s="1528"/>
      <c r="C16" s="45" t="s">
        <v>1123</v>
      </c>
      <c r="D16" s="45">
        <f>SUM(D8:D15)</f>
        <v>0</v>
      </c>
      <c r="E16" s="48">
        <f>SUM(E8:E15)</f>
        <v>9456.5000000000018</v>
      </c>
      <c r="F16" s="2437"/>
      <c r="G16" s="2437"/>
      <c r="H16" s="1529" t="s">
        <v>1135</v>
      </c>
      <c r="I16" s="1530"/>
      <c r="J16" s="1071"/>
      <c r="K16" s="3256" t="s">
        <v>1135</v>
      </c>
      <c r="L16" s="3257"/>
      <c r="M16" s="3257"/>
      <c r="N16" s="3257"/>
      <c r="O16" s="3257"/>
      <c r="P16" s="3258"/>
    </row>
    <row r="17" spans="1:19" ht="14.4">
      <c r="A17" s="1531" t="s">
        <v>1136</v>
      </c>
      <c r="B17" s="1532" t="s">
        <v>1137</v>
      </c>
      <c r="C17" s="1533" t="s">
        <v>1138</v>
      </c>
      <c r="D17" s="1534" t="s">
        <v>1126</v>
      </c>
      <c r="E17" s="1535" t="s">
        <v>1127</v>
      </c>
      <c r="F17" s="1536"/>
      <c r="G17" s="1537"/>
      <c r="H17" s="1538" t="s">
        <v>1139</v>
      </c>
      <c r="I17" s="1539" t="s">
        <v>1124</v>
      </c>
      <c r="J17" s="1071"/>
      <c r="K17" s="3253" t="s">
        <v>1140</v>
      </c>
      <c r="L17" s="3254"/>
      <c r="M17" s="3255"/>
      <c r="N17" s="3253" t="s">
        <v>1141</v>
      </c>
      <c r="O17" s="3254"/>
      <c r="P17" s="3255"/>
      <c r="R17" s="769" t="s">
        <v>1142</v>
      </c>
      <c r="S17" s="54"/>
    </row>
    <row r="18" spans="1:19" ht="14.4">
      <c r="A18" s="1527"/>
      <c r="B18" s="1524"/>
      <c r="C18" s="1540"/>
      <c r="D18" s="1541"/>
      <c r="E18" s="1542" t="s">
        <v>1143</v>
      </c>
      <c r="F18" s="1543" t="s">
        <v>1144</v>
      </c>
      <c r="G18" s="1544" t="s">
        <v>1145</v>
      </c>
      <c r="H18" s="980" t="s">
        <v>1146</v>
      </c>
      <c r="I18" s="1545" t="s">
        <v>1147</v>
      </c>
      <c r="J18" s="1071"/>
      <c r="K18" s="980" t="s">
        <v>1148</v>
      </c>
      <c r="L18" s="1546" t="s">
        <v>1149</v>
      </c>
      <c r="M18" s="802" t="s">
        <v>1150</v>
      </c>
      <c r="N18" s="980" t="s">
        <v>1148</v>
      </c>
      <c r="O18" s="1546" t="s">
        <v>1149</v>
      </c>
      <c r="P18" s="802" t="s">
        <v>1150</v>
      </c>
      <c r="R18" s="43" t="s">
        <v>1151</v>
      </c>
      <c r="S18" s="43" t="s">
        <v>1152</v>
      </c>
    </row>
    <row r="19" spans="1:19" ht="14.4">
      <c r="A19" s="1547"/>
      <c r="B19" s="45" t="s">
        <v>1125</v>
      </c>
      <c r="C19" s="3114" t="s">
        <v>3466</v>
      </c>
      <c r="D19" s="43">
        <f>ROUND($D$3*E19/$E$3,2)</f>
        <v>0</v>
      </c>
      <c r="E19" s="51">
        <f t="shared" ref="E19:E26" si="1">SUM(F19:G19)</f>
        <v>9456.5000000000018</v>
      </c>
      <c r="F19" s="2556">
        <f>'数据-基础表'!I5</f>
        <v>9456.5000000000018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8"/>
      <c r="O19" s="1549"/>
      <c r="P19" s="46">
        <f>N19+O19</f>
        <v>0</v>
      </c>
      <c r="R19" s="43">
        <f t="shared" ref="R19:S26" si="5">D19+H19</f>
        <v>0</v>
      </c>
      <c r="S19" s="51">
        <f t="shared" si="5"/>
        <v>9456.5000000000018</v>
      </c>
    </row>
    <row r="20" spans="1:19" ht="14.4">
      <c r="A20" s="1547"/>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48"/>
      <c r="O21" s="1549"/>
      <c r="P21" s="46">
        <f t="shared" si="9"/>
        <v>0</v>
      </c>
      <c r="R21" s="43">
        <f t="shared" si="5"/>
        <v>0</v>
      </c>
      <c r="S21" s="51">
        <f t="shared" si="5"/>
        <v>0</v>
      </c>
    </row>
    <row r="22" spans="1:19" ht="14.4">
      <c r="A22" s="1547"/>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48"/>
      <c r="O22" s="1549"/>
      <c r="P22" s="46">
        <f t="shared" si="9"/>
        <v>0</v>
      </c>
      <c r="R22" s="43">
        <f t="shared" si="5"/>
        <v>0</v>
      </c>
      <c r="S22" s="51">
        <f t="shared" si="5"/>
        <v>0</v>
      </c>
    </row>
    <row r="23" spans="1:19" ht="14.4">
      <c r="A23" s="1547"/>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48"/>
      <c r="O23" s="1549"/>
      <c r="P23" s="46">
        <f t="shared" si="9"/>
        <v>0</v>
      </c>
      <c r="R23" s="43">
        <f t="shared" si="5"/>
        <v>0</v>
      </c>
      <c r="S23" s="51">
        <f t="shared" si="5"/>
        <v>0</v>
      </c>
    </row>
    <row r="24" spans="1:19" ht="14.4">
      <c r="A24" s="1547"/>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48"/>
      <c r="O24" s="1549"/>
      <c r="P24" s="46">
        <f t="shared" si="9"/>
        <v>0</v>
      </c>
      <c r="R24" s="43">
        <f t="shared" si="5"/>
        <v>0</v>
      </c>
      <c r="S24" s="51">
        <f t="shared" si="5"/>
        <v>0</v>
      </c>
    </row>
    <row r="25" spans="1:19" ht="14.4">
      <c r="A25" s="1547"/>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2">
        <f>SUM(D19:D26)</f>
        <v>0</v>
      </c>
      <c r="E27" s="1073">
        <f>IF(SUM(E19:E26)='数据-基础表'!BA5,SUM(E19:E26),IF(F27="地上面积有误","面积有误","地下面积有误"))</f>
        <v>9456.5000000000018</v>
      </c>
      <c r="F27" s="1072">
        <f>IF(SUM(F19:F26)=E8,SUM(F19:F26),"地上面积有误")</f>
        <v>9456.5000000000018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9456.5000000000018</v>
      </c>
    </row>
    <row r="28" spans="1:19" ht="14.4">
      <c r="A28" s="1547"/>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7"/>
      <c r="B29" s="45" t="s">
        <v>1155</v>
      </c>
      <c r="C29" s="1553"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7"/>
      <c r="B30" s="45"/>
      <c r="C30" s="1554"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5"/>
      <c r="B31" s="96"/>
      <c r="C31" s="785" t="s">
        <v>1158</v>
      </c>
      <c r="D31" s="643">
        <f>D27+D30</f>
        <v>0</v>
      </c>
      <c r="E31" s="643">
        <f>E27+E30</f>
        <v>9456.5000000000018</v>
      </c>
      <c r="F31" s="644">
        <f>F27+F30</f>
        <v>9456.5000000000018</v>
      </c>
      <c r="G31" s="645">
        <f>G27+G30</f>
        <v>0</v>
      </c>
      <c r="H31" s="2437"/>
      <c r="I31" s="2437"/>
      <c r="J31" s="2437"/>
      <c r="K31" s="2437"/>
      <c r="L31" s="2437"/>
      <c r="M31" s="2437"/>
      <c r="N31" s="2437"/>
      <c r="O31" s="2437"/>
      <c r="P31" s="2437"/>
    </row>
    <row r="32" spans="1:19" ht="14.4">
      <c r="A32" s="1524"/>
      <c r="B32" s="1524" t="s">
        <v>1159</v>
      </c>
      <c r="C32" s="1524"/>
      <c r="D32" s="1524"/>
      <c r="E32" s="990">
        <f>SUMIF(C19:C26,"*住宅*",E19:E26)</f>
        <v>0</v>
      </c>
      <c r="F32" s="1524"/>
      <c r="G32" s="1524"/>
      <c r="H32" s="2437"/>
      <c r="I32" s="2437"/>
      <c r="J32" s="2437"/>
      <c r="K32" s="2437"/>
      <c r="L32" s="2437"/>
      <c r="M32" s="2437"/>
      <c r="N32" s="2437"/>
      <c r="O32" s="2437"/>
      <c r="P32" s="2437"/>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11" sqref="U11"/>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0" t="s">
        <v>1161</v>
      </c>
      <c r="B2" s="984">
        <f>项目基本情况!D3</f>
        <v>46013</v>
      </c>
      <c r="C2" s="1071"/>
      <c r="D2" s="1561"/>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51" customFormat="1" ht="14.4" thickBot="1">
      <c r="A3" s="1449"/>
      <c r="B3" s="1540"/>
      <c r="C3" s="1071"/>
      <c r="D3" s="1561"/>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51"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6"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2" customFormat="1" ht="57.6">
      <c r="A5" s="1569" t="s">
        <v>1168</v>
      </c>
      <c r="B5" s="1570" t="s">
        <v>1169</v>
      </c>
      <c r="C5" s="1571" t="s">
        <v>1170</v>
      </c>
      <c r="D5" s="1572" t="s">
        <v>1171</v>
      </c>
      <c r="E5" s="504" t="s">
        <v>1172</v>
      </c>
      <c r="F5" s="1573" t="s">
        <v>1173</v>
      </c>
      <c r="G5" s="504" t="s">
        <v>1174</v>
      </c>
      <c r="H5" s="504" t="s">
        <v>1175</v>
      </c>
      <c r="I5" s="504" t="s">
        <v>1176</v>
      </c>
      <c r="J5" s="1247" t="s">
        <v>1177</v>
      </c>
      <c r="K5" s="1574" t="s">
        <v>1178</v>
      </c>
      <c r="L5" s="1575" t="s">
        <v>1179</v>
      </c>
      <c r="M5" s="1576" t="s">
        <v>1180</v>
      </c>
      <c r="N5" s="1577" t="s">
        <v>3424</v>
      </c>
      <c r="O5" s="1575" t="s">
        <v>1181</v>
      </c>
      <c r="P5" s="1578" t="s">
        <v>1182</v>
      </c>
      <c r="Q5" s="58" t="s">
        <v>1183</v>
      </c>
      <c r="R5" s="1579" t="s">
        <v>1184</v>
      </c>
      <c r="S5" s="1580" t="s">
        <v>1185</v>
      </c>
      <c r="T5" s="1581"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2" t="s">
        <v>1200</v>
      </c>
      <c r="AO5" s="1454" t="s">
        <v>1201</v>
      </c>
      <c r="AP5" s="968"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4" t="str">
        <f>'数据-汇总表'!C19</f>
        <v>办公</v>
      </c>
      <c r="B6" s="1585" t="str">
        <f>IF(A6=0,"","经营性")</f>
        <v>经营性</v>
      </c>
      <c r="C6" s="1586" t="s">
        <v>21</v>
      </c>
      <c r="D6" s="805">
        <f>SUMIF(项目基本情况!C$12:I$12,C6,项目基本情况!C$14:I$14)</f>
        <v>50</v>
      </c>
      <c r="E6" s="804">
        <f>IF(B6="","",SUMIF(项目基本情况!C$12:I$12,C6,项目基本情况!C$13:I$13))</f>
        <v>60810</v>
      </c>
      <c r="F6" s="61">
        <f>SUMIF(项目基本情况!C$12:I$12,C6,项目基本情况!C$15:I$15)</f>
        <v>40.53</v>
      </c>
      <c r="G6" s="62">
        <f>IF(ISERROR(ROUND(POWER(1+H6,D6-F6)*(POWER(1+H6,F6)-1)/(POWER(1+H6,D6)-1),3)),0,ROUND(POWER(1+H6,D6-F6)*(POWER(1+H6,F6)-1)/(POWER(1+H6,D6)-1),3))</f>
        <v>0.94399999999999995</v>
      </c>
      <c r="H6" s="691">
        <v>0.05</v>
      </c>
      <c r="I6" s="691">
        <v>5.5E-2</v>
      </c>
      <c r="J6" s="63">
        <v>7.0000000000000007E-2</v>
      </c>
      <c r="K6" s="970">
        <f>SUMIF('数据-汇总表'!C$19:C$33,A6,'数据-汇总表'!E$19:E$33)</f>
        <v>9456.5000000000018</v>
      </c>
      <c r="L6" s="692">
        <v>4500</v>
      </c>
      <c r="M6" s="64">
        <f t="shared" ref="M6:M14" si="0">ROUND(K6*L6/10000,0)</f>
        <v>4255</v>
      </c>
      <c r="N6" s="690">
        <f>N19</f>
        <v>0.97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73">
        <v>3</v>
      </c>
      <c r="V6" s="67">
        <v>1.4999999999999999E-2</v>
      </c>
      <c r="W6" s="67">
        <v>0.1</v>
      </c>
      <c r="X6" s="979"/>
      <c r="Y6" s="68">
        <f>N6</f>
        <v>0.97</v>
      </c>
      <c r="Z6" s="69"/>
      <c r="AA6" s="63"/>
      <c r="AB6" s="63"/>
      <c r="AC6" s="979"/>
      <c r="AD6" s="70"/>
      <c r="AE6" s="980">
        <f ca="1">IF(AN6="",0,SUMIF(INDIRECT("'"&amp;AN6&amp;"'"&amp;"!E:E"),$AE$5,INDIRECT("'"&amp;AN6&amp;"'"&amp;"!F:F")))</f>
        <v>40.53</v>
      </c>
      <c r="AF6" s="74"/>
      <c r="AG6" s="130">
        <f>IF(AF6="",0,AE6-AF6)</f>
        <v>0</v>
      </c>
      <c r="AH6" s="71"/>
      <c r="AI6" s="73">
        <v>365</v>
      </c>
      <c r="AJ6" s="74"/>
      <c r="AK6" s="75">
        <v>0.01</v>
      </c>
      <c r="AL6" s="76">
        <v>1E-3</v>
      </c>
      <c r="AM6" s="77">
        <v>0.01</v>
      </c>
      <c r="AN6" s="1587" t="s">
        <v>3426</v>
      </c>
      <c r="AO6" s="50">
        <f ca="1">SUMIF(INDIRECT("'"&amp;AN6&amp;"'"&amp;"!A:A"),"总价",INDIRECT("'"&amp;AN6&amp;"'"&amp;"!B:B"))</f>
        <v>13990.656000000001</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51" customFormat="1" ht="13.8">
      <c r="A7" s="1584">
        <f>'数据-汇总表'!C20</f>
        <v>0</v>
      </c>
      <c r="B7" s="1585" t="str">
        <f t="shared" ref="B7:B13" si="1">IF(A7=0,"","经营性")</f>
        <v/>
      </c>
      <c r="C7" s="1586"/>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51" customFormat="1" ht="13.8">
      <c r="A8" s="1584">
        <f>'数据-汇总表'!C21</f>
        <v>0</v>
      </c>
      <c r="B8" s="1585" t="str">
        <f t="shared" si="1"/>
        <v/>
      </c>
      <c r="C8" s="1586"/>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51" customFormat="1" ht="13.8">
      <c r="A9" s="1584">
        <f>'数据-汇总表'!C22</f>
        <v>0</v>
      </c>
      <c r="B9" s="1585" t="str">
        <f t="shared" si="1"/>
        <v/>
      </c>
      <c r="C9" s="1586"/>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51" customFormat="1" ht="13.8">
      <c r="A10" s="1584">
        <f>'数据-汇总表'!C23</f>
        <v>0</v>
      </c>
      <c r="B10" s="1585" t="str">
        <f t="shared" si="1"/>
        <v/>
      </c>
      <c r="C10" s="1586"/>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51" customFormat="1" ht="13.8">
      <c r="A11" s="1584">
        <f>'数据-汇总表'!C24</f>
        <v>0</v>
      </c>
      <c r="B11" s="1585" t="str">
        <f t="shared" si="1"/>
        <v/>
      </c>
      <c r="C11" s="1586"/>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51" customFormat="1" ht="13.8">
      <c r="A12" s="1584">
        <f>'数据-汇总表'!C25</f>
        <v>0</v>
      </c>
      <c r="B12" s="1585" t="str">
        <f t="shared" si="1"/>
        <v/>
      </c>
      <c r="C12" s="1586"/>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51" customFormat="1" ht="13.8">
      <c r="A13" s="1584">
        <f>'数据-汇总表'!C26</f>
        <v>0</v>
      </c>
      <c r="B13" s="1585" t="str">
        <f t="shared" si="1"/>
        <v/>
      </c>
      <c r="C13" s="1586"/>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51" customFormat="1" ht="14.4">
      <c r="A14" s="1589" t="s">
        <v>1205</v>
      </c>
      <c r="B14" s="1585" t="s">
        <v>1206</v>
      </c>
      <c r="C14" s="1590"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51" customFormat="1" ht="28.8">
      <c r="A15" s="1589" t="s">
        <v>1207</v>
      </c>
      <c r="B15" s="1585" t="s">
        <v>1206</v>
      </c>
      <c r="C15" s="1590"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51" customFormat="1" ht="15" thickBot="1">
      <c r="A16" s="1591" t="s">
        <v>1209</v>
      </c>
      <c r="B16" s="82"/>
      <c r="C16" s="783"/>
      <c r="D16" s="1592"/>
      <c r="E16" s="82"/>
      <c r="F16" s="82"/>
      <c r="G16" s="83">
        <f>ROUND(SUMPRODUCT(G6:G13,K6:K13)/SUMPRODUCT((G6:G13&gt;0)*(K6:K13)),3)</f>
        <v>0.94399999999999995</v>
      </c>
      <c r="H16" s="84">
        <f>ROUND(SUMPRODUCT(H6:H13,K6:K13)/SUMPRODUCT((H6:H13&gt;0)*(K6:K13)),3)</f>
        <v>0.05</v>
      </c>
      <c r="I16" s="85"/>
      <c r="J16" s="85"/>
      <c r="K16" s="86">
        <f>SUM(K6:K15)</f>
        <v>9456.5000000000018</v>
      </c>
      <c r="L16" s="87">
        <f>ROUND(M16*10000/SUM(K6:K14),0)</f>
        <v>4500</v>
      </c>
      <c r="M16" s="87">
        <f>SUM(M6:M14)</f>
        <v>4255</v>
      </c>
      <c r="N16" s="88">
        <f>ROUND(SUMPRODUCT(M6:M14,N6:N14)/M16,3)</f>
        <v>0.97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3169" t="s">
        <v>3425</v>
      </c>
      <c r="N18" s="2447">
        <v>2023</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4" t="s">
        <v>1211</v>
      </c>
      <c r="B19" s="97">
        <v>0</v>
      </c>
      <c r="C19" s="2559" t="s">
        <v>2302</v>
      </c>
      <c r="D19" s="2450"/>
      <c r="E19" s="2437"/>
      <c r="F19" s="2437"/>
      <c r="G19" s="2437"/>
      <c r="H19" s="2437"/>
      <c r="I19" s="2437"/>
      <c r="J19" s="2437"/>
      <c r="K19" s="2448"/>
      <c r="L19" s="2448"/>
      <c r="M19" s="2447"/>
      <c r="N19" s="2447">
        <f>ROUND(1-(1-0)*(2025-N18)/60,2)</f>
        <v>0.97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5" t="s">
        <v>1212</v>
      </c>
      <c r="B20" s="98">
        <v>2</v>
      </c>
      <c r="C20" s="2560" t="s">
        <v>2300</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6" t="s">
        <v>1213</v>
      </c>
      <c r="B21" s="98">
        <f>B20</f>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5"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6"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7"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0"/>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0" t="s">
        <v>1217</v>
      </c>
      <c r="B26" s="1598"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599" t="s">
        <v>1220</v>
      </c>
      <c r="B27" s="101">
        <v>160</v>
      </c>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0"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1"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2"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0"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3"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599" t="s">
        <v>1226</v>
      </c>
      <c r="B33" s="640">
        <v>0.05</v>
      </c>
      <c r="C33" s="2563" t="s">
        <v>3380</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0" t="s">
        <v>1227</v>
      </c>
      <c r="B34" s="106">
        <v>0</v>
      </c>
      <c r="C34" s="2563" t="s">
        <v>2295</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0"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1" t="s">
        <v>1229</v>
      </c>
      <c r="B36" s="107">
        <v>0.02</v>
      </c>
      <c r="C36" s="2563" t="s">
        <v>3398</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2" t="s">
        <v>1230</v>
      </c>
      <c r="B37" s="108">
        <v>0.02</v>
      </c>
      <c r="C37" s="2563" t="s">
        <v>3381</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0" t="s">
        <v>1231</v>
      </c>
      <c r="B38" s="106">
        <v>0.02</v>
      </c>
      <c r="C38" s="2563" t="s">
        <v>3382</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3"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3.1300000000000001E-2</v>
      </c>
      <c r="C40" s="2571"/>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599" t="s">
        <v>1233</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4"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4" t="s">
        <v>1235</v>
      </c>
      <c r="B43" s="111">
        <f>B42*(B44+B45+B46)+B47</f>
        <v>5.000000000000001E-3</v>
      </c>
      <c r="C43" s="2452"/>
      <c r="D43" s="3168" t="s">
        <v>3423</v>
      </c>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5" t="s">
        <v>1236</v>
      </c>
      <c r="B44" s="112">
        <v>0.05</v>
      </c>
      <c r="C44" s="2563" t="s">
        <v>3383</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5"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5"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6" t="s">
        <v>1239</v>
      </c>
      <c r="B47" s="113"/>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7"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3"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08"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1"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08"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0" t="s">
        <v>1245</v>
      </c>
      <c r="B53" s="1609"/>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0"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0"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0"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0"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0"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0"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0"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0"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0"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1"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0"/>
  </cols>
  <sheetData>
    <row r="1" spans="1:29" s="2257" customFormat="1" ht="18" thickBot="1">
      <c r="A1" s="3268" t="s">
        <v>2286</v>
      </c>
      <c r="B1" s="3269"/>
      <c r="C1" s="3269"/>
      <c r="D1" s="3269"/>
      <c r="E1" s="3269"/>
      <c r="F1" s="3269"/>
      <c r="G1" s="326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3"/>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2"/>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2"/>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O16" sqref="O16"/>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9456.5000000000018</v>
      </c>
      <c r="C1" s="2460"/>
      <c r="D1" s="2460"/>
      <c r="E1" s="2460"/>
      <c r="F1" s="2460"/>
      <c r="G1" s="2461"/>
      <c r="H1" s="2461"/>
      <c r="I1" s="2461"/>
      <c r="J1" s="2461"/>
      <c r="K1" s="2461"/>
    </row>
    <row r="2" spans="1:11" ht="16.2">
      <c r="A2" s="2298" t="s">
        <v>653</v>
      </c>
      <c r="B2" s="2298">
        <f>SUM(C14:C23)</f>
        <v>0</v>
      </c>
      <c r="C2" s="2460"/>
      <c r="D2" s="2460"/>
      <c r="E2" s="2460"/>
      <c r="F2" s="2460"/>
      <c r="G2" s="2461"/>
      <c r="H2" s="2461"/>
      <c r="I2" s="2461"/>
      <c r="J2" s="2461"/>
      <c r="K2" s="2461"/>
    </row>
    <row r="3" spans="1:11" ht="15.6">
      <c r="A3" s="2298" t="s">
        <v>662</v>
      </c>
      <c r="B3" s="2300">
        <f>项目基本情况!D3</f>
        <v>46013</v>
      </c>
      <c r="C3" s="2460"/>
      <c r="D3" s="2460"/>
      <c r="E3" s="2460"/>
      <c r="F3" s="2460"/>
      <c r="G3" s="2461"/>
      <c r="H3" s="2461"/>
      <c r="I3" s="2461"/>
      <c r="J3" s="2461"/>
      <c r="K3" s="2461"/>
    </row>
    <row r="4" spans="1:11" ht="31.2">
      <c r="A4" s="2298" t="s">
        <v>661</v>
      </c>
      <c r="B4" s="2298" t="s">
        <v>660</v>
      </c>
      <c r="C4" s="2298" t="s">
        <v>659</v>
      </c>
      <c r="D4" s="2298" t="s">
        <v>658</v>
      </c>
      <c r="E4" s="2460"/>
      <c r="F4" s="2461"/>
      <c r="G4" s="2461"/>
      <c r="H4" s="2461"/>
      <c r="I4" s="2461"/>
      <c r="J4" s="2461"/>
      <c r="K4" s="2461"/>
    </row>
    <row r="5" spans="1:11" ht="15.6">
      <c r="A5" s="2298" t="s">
        <v>657</v>
      </c>
      <c r="B5" s="2298">
        <f ca="1">SUM(D14:D23)</f>
        <v>18098</v>
      </c>
      <c r="C5" s="2298">
        <f ca="1">IF(B5=D14,结果表!H102,ROUND(B5*10000/$B$1,0))</f>
        <v>19139</v>
      </c>
      <c r="D5" s="2298" t="e">
        <f ca="1">ROUND(B5*10000/$B$2,0)</f>
        <v>#DIV/0!</v>
      </c>
      <c r="E5" s="2460"/>
      <c r="F5" s="2461"/>
      <c r="G5" s="2461"/>
      <c r="H5" s="2461"/>
      <c r="I5" s="2461"/>
      <c r="J5" s="2461"/>
      <c r="K5" s="2461"/>
    </row>
    <row r="6" spans="1:11" ht="15.6">
      <c r="A6" s="2298" t="s">
        <v>656</v>
      </c>
      <c r="B6" s="2298">
        <f ca="1">SUM(G14:G23)</f>
        <v>18098</v>
      </c>
      <c r="C6" s="2298">
        <f ca="1">IF(B6=G14,结果表!H108,ROUND(B6*10000/$B$1,0))</f>
        <v>19139</v>
      </c>
      <c r="D6" s="2298" t="e">
        <f ca="1">ROUND(B6*10000/$B$2,0)</f>
        <v>#DIV/0!</v>
      </c>
      <c r="E6" s="2460"/>
      <c r="F6" s="2461"/>
      <c r="G6" s="2461"/>
      <c r="H6" s="2461"/>
      <c r="I6" s="2461"/>
      <c r="J6" s="2461"/>
      <c r="K6" s="2461"/>
    </row>
    <row r="7" spans="1:11" ht="15.6">
      <c r="A7" s="2298" t="s">
        <v>664</v>
      </c>
      <c r="B7" s="2298">
        <f>SUM(H14:H23)</f>
        <v>0</v>
      </c>
      <c r="C7" s="2298" t="str">
        <f>IF(B7=H14,结果表!H110,ROUND(B7*10000/$B$1,0))</f>
        <v>——</v>
      </c>
      <c r="D7" s="2298" t="e">
        <f>ROUND(B7*10000/$B$2,0)</f>
        <v>#DIV/0!</v>
      </c>
      <c r="E7" s="2460"/>
      <c r="F7" s="2461"/>
      <c r="G7" s="2461"/>
      <c r="H7" s="2461"/>
      <c r="I7" s="2461"/>
      <c r="J7" s="2461"/>
      <c r="K7" s="2461"/>
    </row>
    <row r="8" spans="1:11" ht="15.6">
      <c r="A8" s="2298" t="s">
        <v>587</v>
      </c>
      <c r="B8" s="2298">
        <f>SUM(I14:I23)</f>
        <v>0</v>
      </c>
      <c r="C8" s="2298" t="str">
        <f>IF(B8=I14,结果表!H112,ROUND(B8*10000/$B$1,0))</f>
        <v>——</v>
      </c>
      <c r="D8" s="2298" t="e">
        <f>ROUND(B8*10000/$B$2,0)</f>
        <v>#DIV/0!</v>
      </c>
      <c r="E8" s="2460"/>
      <c r="F8" s="2461"/>
      <c r="G8" s="2461"/>
      <c r="H8" s="2461"/>
      <c r="I8" s="2461"/>
      <c r="J8" s="2461"/>
      <c r="K8" s="2461"/>
    </row>
    <row r="9" spans="1:11" ht="15.6">
      <c r="A9" s="2298" t="s">
        <v>655</v>
      </c>
      <c r="B9" s="1244"/>
      <c r="C9" s="2460"/>
      <c r="D9" s="2460"/>
      <c r="E9" s="2460"/>
      <c r="F9" s="2461"/>
      <c r="G9" s="2461"/>
      <c r="H9" s="2461"/>
      <c r="I9" s="2461"/>
      <c r="J9" s="2461"/>
      <c r="K9" s="2461"/>
    </row>
    <row r="10" spans="1:11" ht="15.6">
      <c r="A10" s="2298" t="s">
        <v>654</v>
      </c>
      <c r="B10" s="2298">
        <f>IF(E10="",0,ROUND(B1*(E10*365/G10)/10000,0))</f>
        <v>0</v>
      </c>
      <c r="C10" s="2298" t="s">
        <v>3353</v>
      </c>
      <c r="D10" s="2298" t="s">
        <v>3354</v>
      </c>
      <c r="E10" s="3135"/>
      <c r="F10" s="3139" t="s">
        <v>3355</v>
      </c>
      <c r="G10" s="3136"/>
      <c r="H10" s="2461"/>
      <c r="I10" s="2461"/>
      <c r="J10" s="2461"/>
      <c r="K10" s="2461"/>
    </row>
    <row r="11" spans="1:11" ht="15.6">
      <c r="A11" s="2298"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1" t="s">
        <v>669</v>
      </c>
      <c r="B13" s="2302" t="s">
        <v>666</v>
      </c>
      <c r="C13" s="2302" t="s">
        <v>668</v>
      </c>
      <c r="D13" s="2302" t="s">
        <v>667</v>
      </c>
      <c r="E13" s="2298" t="s">
        <v>659</v>
      </c>
      <c r="F13" s="2298" t="s">
        <v>658</v>
      </c>
      <c r="G13" s="2302" t="s">
        <v>652</v>
      </c>
      <c r="H13" s="2302" t="s">
        <v>663</v>
      </c>
      <c r="I13" s="2302" t="s">
        <v>651</v>
      </c>
      <c r="J13" s="2461"/>
      <c r="K13" s="2461"/>
    </row>
    <row r="14" spans="1:11" ht="15.6">
      <c r="A14" s="2303" t="s">
        <v>650</v>
      </c>
      <c r="B14" s="2304">
        <f>'数据-汇总表'!E3</f>
        <v>9456.5000000000018</v>
      </c>
      <c r="C14" s="2304"/>
      <c r="D14" s="2304">
        <f ca="1">结果表!G19</f>
        <v>18098</v>
      </c>
      <c r="E14" s="2304">
        <f ca="1">结果表!I118</f>
        <v>19139</v>
      </c>
      <c r="F14" s="2304" t="e">
        <f ca="1">ROUND(D14*10000/C14,0)</f>
        <v>#DIV/0!</v>
      </c>
      <c r="G14" s="2304">
        <f ca="1">D14</f>
        <v>18098</v>
      </c>
      <c r="H14" s="2304"/>
      <c r="I14" s="2304"/>
      <c r="J14" s="2461"/>
      <c r="K14" s="2461"/>
    </row>
    <row r="15" spans="1:11" ht="15.6">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5.6">
      <c r="A16" s="2303" t="s">
        <v>648</v>
      </c>
      <c r="B16" s="2305"/>
      <c r="C16" s="2305"/>
      <c r="D16" s="2305"/>
      <c r="E16" s="2304" t="e">
        <f t="shared" si="0"/>
        <v>#DIV/0!</v>
      </c>
      <c r="F16" s="2304" t="e">
        <f t="shared" si="1"/>
        <v>#DIV/0!</v>
      </c>
      <c r="G16" s="1244"/>
      <c r="H16" s="1244"/>
      <c r="I16" s="2305"/>
      <c r="J16" s="2461"/>
      <c r="K16" s="2461"/>
    </row>
    <row r="17" spans="1:11" ht="15.6">
      <c r="A17" s="2303" t="s">
        <v>647</v>
      </c>
      <c r="B17" s="2305"/>
      <c r="C17" s="2305"/>
      <c r="D17" s="2305"/>
      <c r="E17" s="2304" t="e">
        <f t="shared" si="0"/>
        <v>#DIV/0!</v>
      </c>
      <c r="F17" s="2304" t="e">
        <f t="shared" si="1"/>
        <v>#DIV/0!</v>
      </c>
      <c r="G17" s="1244"/>
      <c r="H17" s="1244"/>
      <c r="I17" s="2305"/>
      <c r="J17" s="2461"/>
      <c r="K17" s="2461"/>
    </row>
    <row r="18" spans="1:11" ht="15.6">
      <c r="A18" s="2303" t="s">
        <v>646</v>
      </c>
      <c r="B18" s="2305"/>
      <c r="C18" s="2305"/>
      <c r="D18" s="2305"/>
      <c r="E18" s="2304" t="e">
        <f t="shared" si="0"/>
        <v>#DIV/0!</v>
      </c>
      <c r="F18" s="2304" t="e">
        <f t="shared" si="1"/>
        <v>#DIV/0!</v>
      </c>
      <c r="G18" s="2305"/>
      <c r="H18" s="2305"/>
      <c r="I18" s="2305"/>
      <c r="J18" s="2461"/>
      <c r="K18" s="2461"/>
    </row>
    <row r="19" spans="1:11" ht="15.6">
      <c r="A19" s="2303" t="s">
        <v>645</v>
      </c>
      <c r="B19" s="2305"/>
      <c r="C19" s="2305"/>
      <c r="D19" s="2305"/>
      <c r="E19" s="2304" t="e">
        <f t="shared" si="0"/>
        <v>#DIV/0!</v>
      </c>
      <c r="F19" s="2304" t="e">
        <f t="shared" si="1"/>
        <v>#DIV/0!</v>
      </c>
      <c r="G19" s="2305"/>
      <c r="H19" s="2305"/>
      <c r="I19" s="2305"/>
      <c r="J19" s="2461"/>
      <c r="K19" s="2461"/>
    </row>
    <row r="20" spans="1:11" ht="15.6">
      <c r="A20" s="2303" t="s">
        <v>644</v>
      </c>
      <c r="B20" s="2305"/>
      <c r="C20" s="2305"/>
      <c r="D20" s="2305"/>
      <c r="E20" s="2304" t="e">
        <f t="shared" si="0"/>
        <v>#DIV/0!</v>
      </c>
      <c r="F20" s="2304" t="e">
        <f t="shared" si="1"/>
        <v>#DIV/0!</v>
      </c>
      <c r="G20" s="2305"/>
      <c r="H20" s="2305"/>
      <c r="I20" s="2305"/>
      <c r="J20" s="2461"/>
      <c r="K20" s="2461"/>
    </row>
    <row r="21" spans="1:11" ht="15.6">
      <c r="A21" s="2303" t="s">
        <v>643</v>
      </c>
      <c r="B21" s="2305"/>
      <c r="C21" s="2305"/>
      <c r="D21" s="2305"/>
      <c r="E21" s="2304" t="e">
        <f t="shared" si="0"/>
        <v>#DIV/0!</v>
      </c>
      <c r="F21" s="2304" t="e">
        <f t="shared" si="1"/>
        <v>#DIV/0!</v>
      </c>
      <c r="G21" s="2305"/>
      <c r="H21" s="2305"/>
      <c r="I21" s="2305"/>
      <c r="J21" s="2461"/>
      <c r="K21" s="2461"/>
    </row>
    <row r="22" spans="1:11" ht="15.6">
      <c r="A22" s="2303" t="s">
        <v>642</v>
      </c>
      <c r="B22" s="2305"/>
      <c r="C22" s="2305"/>
      <c r="D22" s="2305"/>
      <c r="E22" s="2304" t="e">
        <f t="shared" si="0"/>
        <v>#DIV/0!</v>
      </c>
      <c r="F22" s="2304" t="e">
        <f t="shared" si="1"/>
        <v>#DIV/0!</v>
      </c>
      <c r="G22" s="2305"/>
      <c r="H22" s="2305"/>
      <c r="I22" s="2305"/>
      <c r="J22" s="2461"/>
      <c r="K22" s="2461"/>
    </row>
    <row r="23" spans="1:11" ht="15.6">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13" sqref="G13"/>
    </sheetView>
  </sheetViews>
  <sheetFormatPr defaultColWidth="12.6640625" defaultRowHeight="21.75" customHeight="1"/>
  <cols>
    <col min="1" max="2" width="12.6640625" style="1559"/>
    <col min="3" max="4" width="12.6640625" style="1559" customWidth="1"/>
    <col min="5" max="9" width="12.6640625" style="1559"/>
    <col min="10" max="11" width="12.6640625" style="684" customWidth="1"/>
    <col min="12" max="12" width="12.6640625" style="684"/>
    <col min="13" max="13" width="14.109375" style="684" bestFit="1" customWidth="1"/>
    <col min="14" max="26" width="12.6640625" style="684"/>
    <col min="27" max="35" width="12.6640625" style="1621"/>
    <col min="36" max="16384" width="12.6640625" style="1559"/>
  </cols>
  <sheetData>
    <row r="1" spans="1:12" ht="21.75" customHeight="1" thickBot="1">
      <c r="A1" s="1519" t="s">
        <v>1262</v>
      </c>
      <c r="B1" s="646"/>
      <c r="C1" s="1618" t="s">
        <v>673</v>
      </c>
      <c r="D1" s="646"/>
      <c r="E1" s="646"/>
      <c r="F1" s="1619" t="s">
        <v>1263</v>
      </c>
      <c r="G1" s="1453"/>
      <c r="H1" s="1619" t="str">
        <f>IF(G1="现房","——","估价对象范围")</f>
        <v>估价对象范围</v>
      </c>
      <c r="I1" s="1620"/>
    </row>
    <row r="2" spans="1:12" ht="21.75" customHeight="1" thickBot="1">
      <c r="A2" s="3304" t="str">
        <f>项目基本情况!S2</f>
        <v>北京市房地产</v>
      </c>
      <c r="B2" s="3305"/>
      <c r="C2" s="3305"/>
      <c r="D2" s="3305"/>
      <c r="E2" s="3305"/>
      <c r="F2" s="3305"/>
      <c r="G2" s="3305"/>
      <c r="H2" s="3305"/>
      <c r="I2" s="3306"/>
    </row>
    <row r="3" spans="1:12" ht="13.2">
      <c r="A3" s="3308" t="s">
        <v>1264</v>
      </c>
      <c r="B3" s="3309"/>
      <c r="C3" s="3309"/>
      <c r="D3" s="3309"/>
      <c r="E3" s="3309"/>
      <c r="F3" s="3309"/>
      <c r="G3" s="3309"/>
      <c r="H3" s="3309"/>
      <c r="I3" s="3309"/>
    </row>
    <row r="4" spans="1:12" ht="14.4">
      <c r="A4" s="1622" t="s">
        <v>1265</v>
      </c>
      <c r="B4" s="1623" t="s">
        <v>1266</v>
      </c>
      <c r="C4" s="1624" t="s">
        <v>3467</v>
      </c>
      <c r="D4" s="1624" t="s">
        <v>3426</v>
      </c>
      <c r="E4" s="3310" t="s">
        <v>1267</v>
      </c>
      <c r="F4" s="3311"/>
      <c r="G4" s="3311"/>
      <c r="H4" s="3311"/>
      <c r="I4" s="331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4" t="s">
        <v>1268</v>
      </c>
      <c r="B5" s="3271">
        <v>25</v>
      </c>
      <c r="C5" s="3287"/>
      <c r="D5" s="3307"/>
      <c r="E5" s="123" t="s">
        <v>1269</v>
      </c>
      <c r="F5" s="1625"/>
      <c r="G5" s="1625"/>
      <c r="H5" s="1625"/>
      <c r="I5" s="1281"/>
    </row>
    <row r="6" spans="1:12" ht="13.2">
      <c r="A6" s="3284"/>
      <c r="B6" s="3271"/>
      <c r="C6" s="3288"/>
      <c r="D6" s="3307"/>
      <c r="E6" s="123" t="s">
        <v>1270</v>
      </c>
      <c r="F6" s="1625"/>
      <c r="G6" s="1625"/>
      <c r="H6" s="1625"/>
      <c r="I6" s="1281"/>
    </row>
    <row r="7" spans="1:12" ht="13.2">
      <c r="A7" s="3284"/>
      <c r="B7" s="3271"/>
      <c r="C7" s="3289"/>
      <c r="D7" s="3307"/>
      <c r="E7" s="123" t="s">
        <v>1271</v>
      </c>
      <c r="F7" s="1625"/>
      <c r="G7" s="1625"/>
      <c r="H7" s="1625"/>
      <c r="I7" s="1281"/>
    </row>
    <row r="8" spans="1:12" ht="13.2">
      <c r="A8" s="3284" t="s">
        <v>1272</v>
      </c>
      <c r="B8" s="3271">
        <v>15</v>
      </c>
      <c r="C8" s="3287"/>
      <c r="D8" s="3307"/>
      <c r="E8" s="123" t="s">
        <v>1273</v>
      </c>
      <c r="F8" s="1625"/>
      <c r="G8" s="1625"/>
      <c r="H8" s="1625"/>
      <c r="I8" s="1281"/>
    </row>
    <row r="9" spans="1:12" ht="13.2">
      <c r="A9" s="3284"/>
      <c r="B9" s="3271"/>
      <c r="C9" s="3289"/>
      <c r="D9" s="3307"/>
      <c r="E9" s="123" t="s">
        <v>1274</v>
      </c>
      <c r="F9" s="1625"/>
      <c r="G9" s="1625"/>
      <c r="H9" s="1625"/>
      <c r="I9" s="1281"/>
    </row>
    <row r="10" spans="1:12" ht="13.2">
      <c r="A10" s="3284" t="s">
        <v>1275</v>
      </c>
      <c r="B10" s="3271">
        <v>15</v>
      </c>
      <c r="C10" s="3287"/>
      <c r="D10" s="3307"/>
      <c r="E10" s="123" t="s">
        <v>1276</v>
      </c>
      <c r="F10" s="1625"/>
      <c r="G10" s="1625"/>
      <c r="H10" s="1625"/>
      <c r="I10" s="1281"/>
    </row>
    <row r="11" spans="1:12" ht="13.2">
      <c r="A11" s="3284"/>
      <c r="B11" s="3271"/>
      <c r="C11" s="3289"/>
      <c r="D11" s="3307"/>
      <c r="E11" s="123" t="s">
        <v>1277</v>
      </c>
      <c r="F11" s="1625"/>
      <c r="G11" s="1625"/>
      <c r="H11" s="1625"/>
      <c r="I11" s="1281"/>
    </row>
    <row r="12" spans="1:12" ht="13.2">
      <c r="A12" s="3284" t="s">
        <v>1278</v>
      </c>
      <c r="B12" s="3271">
        <v>15</v>
      </c>
      <c r="C12" s="3287"/>
      <c r="D12" s="3307"/>
      <c r="E12" s="123" t="s">
        <v>1279</v>
      </c>
      <c r="F12" s="1625"/>
      <c r="G12" s="1625"/>
      <c r="H12" s="1625"/>
      <c r="I12" s="1281"/>
    </row>
    <row r="13" spans="1:12" ht="13.2">
      <c r="A13" s="3284"/>
      <c r="B13" s="3271"/>
      <c r="C13" s="3289"/>
      <c r="D13" s="3307"/>
      <c r="E13" s="123" t="s">
        <v>1280</v>
      </c>
      <c r="F13" s="1625"/>
      <c r="G13" s="1625"/>
      <c r="H13" s="1625"/>
      <c r="I13" s="1281"/>
    </row>
    <row r="14" spans="1:12" ht="13.2">
      <c r="A14" s="3284" t="s">
        <v>1281</v>
      </c>
      <c r="B14" s="3271">
        <v>30</v>
      </c>
      <c r="C14" s="3287">
        <v>7</v>
      </c>
      <c r="D14" s="3307">
        <v>3</v>
      </c>
      <c r="E14" s="123" t="s">
        <v>1282</v>
      </c>
      <c r="F14" s="1625"/>
      <c r="G14" s="1625"/>
      <c r="H14" s="1625"/>
      <c r="I14" s="1281"/>
    </row>
    <row r="15" spans="1:12" ht="13.2">
      <c r="A15" s="3284"/>
      <c r="B15" s="3271"/>
      <c r="C15" s="3288"/>
      <c r="D15" s="3307"/>
      <c r="E15" s="123" t="s">
        <v>1283</v>
      </c>
      <c r="F15" s="1625"/>
      <c r="G15" s="1625"/>
      <c r="H15" s="1625"/>
      <c r="I15" s="1281"/>
    </row>
    <row r="16" spans="1:12" ht="13.2">
      <c r="A16" s="3284"/>
      <c r="B16" s="3271"/>
      <c r="C16" s="3289"/>
      <c r="D16" s="3307"/>
      <c r="E16" s="123" t="s">
        <v>1284</v>
      </c>
      <c r="F16" s="1625"/>
      <c r="G16" s="1625"/>
      <c r="H16" s="1625"/>
      <c r="I16" s="1281"/>
    </row>
    <row r="17" spans="1:36" ht="14.4">
      <c r="A17" s="1626" t="s">
        <v>1285</v>
      </c>
      <c r="B17" s="54"/>
      <c r="C17" s="124">
        <f>SUM(C5:C16)</f>
        <v>7</v>
      </c>
      <c r="D17" s="124">
        <f>SUM(D5:D16)</f>
        <v>3</v>
      </c>
      <c r="E17" s="121"/>
      <c r="F17" s="121"/>
      <c r="G17" s="121"/>
      <c r="H17" s="121"/>
      <c r="I17" s="121"/>
      <c r="K17" s="294"/>
      <c r="L17" s="294" t="s">
        <v>1286</v>
      </c>
      <c r="M17" s="294" t="s">
        <v>1287</v>
      </c>
    </row>
    <row r="18" spans="1:36" ht="31.95" customHeight="1" thickBot="1">
      <c r="A18" s="1627" t="s">
        <v>1288</v>
      </c>
      <c r="B18" s="1540"/>
      <c r="C18" s="125">
        <f>ROUND(C17/SUM(C17:D17),2)</f>
        <v>0.7</v>
      </c>
      <c r="D18" s="125">
        <f>1-C18</f>
        <v>0.30000000000000004</v>
      </c>
      <c r="E18" s="3294" t="s">
        <v>2131</v>
      </c>
      <c r="F18" s="3295"/>
      <c r="G18" s="3295"/>
      <c r="H18" s="3295"/>
      <c r="I18" s="3295"/>
      <c r="K18" s="294" t="s">
        <v>1289</v>
      </c>
      <c r="L18" s="294">
        <f>IF(C1="",'数据-汇总表'!E3,SUMIF(项目类型,C1,'数据-汇总表'!E17:E26)+SUMIF(项目类型,C1,'数据-汇总表'!I17:I26))</f>
        <v>0</v>
      </c>
      <c r="M18" s="294">
        <f>IF(C1="",'数据-汇总表'!E3,SUMIF(项目类型,C1,'数据-汇总表'!E17:E26))</f>
        <v>0</v>
      </c>
    </row>
    <row r="19" spans="1:36" ht="14.4">
      <c r="A19" s="1628" t="s">
        <v>1290</v>
      </c>
      <c r="B19" s="1629" t="s">
        <v>1291</v>
      </c>
      <c r="C19" s="126">
        <f ca="1">SUMIF(INDIRECT("'"&amp;C4&amp;"'"&amp;"!A:A"),结果表!B19,INDIRECT("'"&amp;C4&amp;"'"&amp;"!B:B"))</f>
        <v>19859</v>
      </c>
      <c r="D19" s="127">
        <f ca="1">SUMIF(INDIRECT("'"&amp;D4&amp;"'"&amp;"!A:A"),结果表!B19,INDIRECT("'"&amp;D4&amp;"'"&amp;"!B:B"))</f>
        <v>13990.656000000001</v>
      </c>
      <c r="E19" s="1628" t="s">
        <v>1292</v>
      </c>
      <c r="F19" s="1629" t="s">
        <v>1291</v>
      </c>
      <c r="G19" s="128">
        <f ca="1">ROUND(C19*$C$18+D19*$D$18,0)</f>
        <v>18098</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1"/>
      <c r="B20" s="43" t="s">
        <v>1295</v>
      </c>
      <c r="C20" s="129">
        <f ca="1">SUMIF(INDIRECT("'"&amp;C4&amp;"'"&amp;"!A:A"),结果表!B20,INDIRECT("'"&amp;C4&amp;"'"&amp;"!B:B"))</f>
        <v>21000</v>
      </c>
      <c r="D20" s="130">
        <f ca="1">SUMIF(INDIRECT("'"&amp;D4&amp;"'"&amp;"!A:A"),结果表!B20,INDIRECT("'"&amp;D4&amp;"'"&amp;"!B:B"))</f>
        <v>14795</v>
      </c>
      <c r="E20" s="1631"/>
      <c r="F20" s="43" t="s">
        <v>1295</v>
      </c>
      <c r="G20" s="131">
        <f ca="1">ROUND(C20*$C$18+D20*$D$18,0)</f>
        <v>19139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2" t="s">
        <v>1296</v>
      </c>
      <c r="I21" s="121"/>
    </row>
    <row r="22" spans="1:36" ht="15" thickBot="1">
      <c r="A22" s="1562" t="s">
        <v>1298</v>
      </c>
      <c r="B22" s="1633"/>
      <c r="C22" s="1634"/>
      <c r="D22" s="680">
        <f ca="1">IF(C19&lt;D19,D19/C19-1,C19/D19-1)</f>
        <v>0.41944737973687563</v>
      </c>
      <c r="E22" s="121"/>
      <c r="F22" s="121"/>
      <c r="G22" s="121"/>
      <c r="H22" s="121"/>
      <c r="I22" s="121"/>
    </row>
    <row r="23" spans="1:36" ht="13.8" thickBot="1">
      <c r="A23" s="646"/>
      <c r="B23" s="646"/>
      <c r="C23" s="646"/>
      <c r="D23" s="646"/>
      <c r="E23" s="121"/>
      <c r="F23" s="121"/>
      <c r="G23" s="121"/>
      <c r="H23" s="121"/>
      <c r="I23" s="121"/>
    </row>
    <row r="24" spans="1:36" ht="14.4">
      <c r="A24" s="3278" t="s">
        <v>1299</v>
      </c>
      <c r="B24" s="1629" t="s">
        <v>1291</v>
      </c>
      <c r="C24" s="128">
        <f>IF(B30=0,0,D30)</f>
        <v>0</v>
      </c>
      <c r="D24" s="1635"/>
      <c r="E24" s="121"/>
      <c r="F24" s="121"/>
      <c r="G24" s="121"/>
      <c r="H24" s="121"/>
      <c r="I24" s="121"/>
    </row>
    <row r="25" spans="1:36" ht="14.4">
      <c r="A25" s="3279"/>
      <c r="B25" s="43" t="s">
        <v>1295</v>
      </c>
      <c r="C25" s="133">
        <f>IF(B30=0,0,C30)</f>
        <v>0</v>
      </c>
      <c r="D25" s="1636"/>
      <c r="E25" s="121"/>
      <c r="F25" s="121"/>
      <c r="G25" s="3171" t="s">
        <v>3452</v>
      </c>
      <c r="H25" s="121" t="s">
        <v>3453</v>
      </c>
      <c r="I25" s="3172" t="s">
        <v>3454</v>
      </c>
    </row>
    <row r="26" spans="1:36" ht="13.5" customHeight="1">
      <c r="A26" s="1637" t="s">
        <v>1300</v>
      </c>
      <c r="B26" s="134" t="s">
        <v>1301</v>
      </c>
      <c r="C26" s="134" t="s">
        <v>1302</v>
      </c>
      <c r="D26" s="135" t="s">
        <v>1303</v>
      </c>
      <c r="E26" s="121"/>
      <c r="F26" s="121"/>
      <c r="G26" s="121"/>
      <c r="H26" s="121">
        <f>ROUND(2.8*B118,0)</f>
        <v>0</v>
      </c>
      <c r="I26" s="121"/>
    </row>
    <row r="27" spans="1:36" ht="13.8">
      <c r="A27" s="1637"/>
      <c r="B27" s="134">
        <v>0</v>
      </c>
      <c r="C27" s="134">
        <v>0</v>
      </c>
      <c r="D27" s="135">
        <f>ROUND(C27*B27/10000,0)</f>
        <v>0</v>
      </c>
      <c r="E27" s="121"/>
      <c r="F27" s="121"/>
      <c r="G27" s="121"/>
      <c r="H27" s="121">
        <f>ROUND(3*B118,0)</f>
        <v>0</v>
      </c>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5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8" t="s">
        <v>1305</v>
      </c>
      <c r="B32" s="1533"/>
      <c r="C32" s="136">
        <f ca="1">IF(D32="总价",G19-C24,G20-C25)</f>
        <v>19139</v>
      </c>
      <c r="D32" s="1639" t="s">
        <v>3445</v>
      </c>
      <c r="E32" s="121"/>
      <c r="F32" s="121"/>
      <c r="G32" s="121"/>
      <c r="H32" s="121"/>
      <c r="I32" s="121"/>
    </row>
    <row r="33" spans="1:15" ht="14.4">
      <c r="A33" s="740" t="s">
        <v>1306</v>
      </c>
      <c r="B33" s="123"/>
      <c r="C33" s="1640" t="s">
        <v>3446</v>
      </c>
      <c r="D33" s="1641"/>
      <c r="E33" s="1642" t="s">
        <v>1307</v>
      </c>
      <c r="F33" s="1643" t="str">
        <f>IF(D32="楼面单价","取值（单价）","取值（总价）")</f>
        <v>取值（单价）</v>
      </c>
      <c r="G33" s="121"/>
      <c r="H33" s="121"/>
      <c r="I33" s="121"/>
    </row>
    <row r="34" spans="1:15" ht="14.4">
      <c r="A34" s="1644"/>
      <c r="B34" s="1645" t="s">
        <v>1308</v>
      </c>
      <c r="C34" s="140">
        <f>IF(C33="自定义",F34,C32-C35)</f>
        <v>0</v>
      </c>
      <c r="D34" s="808">
        <f ca="1">IF(C33="自定义",ROUND(C34/C32,3),IF(C33="收益比率",SUMIF(INDIRECT("'"&amp;D33&amp;"'"&amp;"!b:b"),"土地收益比率",INDIRECT("'"&amp;D33&amp;"'"&amp;"!c:c")),SUMIF(INDIRECT("'"&amp;D33&amp;"'"&amp;"!b:b"),"土地成本比率",INDIRECT("'"&amp;D33&amp;"'"&amp;"!c:c"))))</f>
        <v>0</v>
      </c>
      <c r="E34" s="1646" t="s">
        <v>1309</v>
      </c>
      <c r="F34" s="1243"/>
      <c r="G34" s="121"/>
      <c r="H34" s="121"/>
      <c r="I34" s="121"/>
    </row>
    <row r="35" spans="1:15" ht="15" thickBot="1">
      <c r="A35" s="1647"/>
      <c r="B35" s="1648"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49" t="s">
        <v>1311</v>
      </c>
      <c r="F35" s="146"/>
      <c r="G35" s="121"/>
      <c r="H35" s="121"/>
      <c r="I35" s="121"/>
    </row>
    <row r="36" spans="1:15" ht="15" thickBot="1">
      <c r="A36" s="3298" t="s">
        <v>1312</v>
      </c>
      <c r="B36" s="1650" t="s">
        <v>1313</v>
      </c>
      <c r="C36" s="137"/>
      <c r="D36" s="1651"/>
      <c r="E36" s="1565"/>
      <c r="F36" s="1652"/>
      <c r="G36" s="121"/>
      <c r="H36" s="121"/>
      <c r="I36" s="121"/>
    </row>
    <row r="37" spans="1:15" ht="15" thickBot="1">
      <c r="A37" s="3299"/>
      <c r="B37" s="1553" t="s">
        <v>1314</v>
      </c>
      <c r="C37" s="139"/>
      <c r="D37" s="1071"/>
      <c r="E37" s="1071"/>
      <c r="F37" s="1652"/>
      <c r="G37" s="121"/>
      <c r="H37" s="121"/>
      <c r="I37" s="121"/>
    </row>
    <row r="38" spans="1:15" ht="15" thickBot="1">
      <c r="A38" s="3300"/>
      <c r="B38" s="1653" t="s">
        <v>1315</v>
      </c>
      <c r="C38" s="641"/>
      <c r="D38" s="1654" t="s">
        <v>1316</v>
      </c>
      <c r="E38" s="1071"/>
      <c r="F38" s="1652"/>
      <c r="G38" s="121"/>
      <c r="H38" s="121"/>
      <c r="I38" s="121"/>
    </row>
    <row r="39" spans="1:15" ht="14.4">
      <c r="A39" s="1631" t="s">
        <v>1317</v>
      </c>
      <c r="B39" s="1655" t="s">
        <v>1318</v>
      </c>
      <c r="C39" s="1656" t="s">
        <v>1319</v>
      </c>
      <c r="D39" s="1656" t="s">
        <v>1320</v>
      </c>
      <c r="E39" s="1657" t="s">
        <v>1321</v>
      </c>
      <c r="F39" s="1652"/>
      <c r="G39" s="121"/>
      <c r="H39" s="121"/>
      <c r="I39" s="121"/>
    </row>
    <row r="40" spans="1:15" ht="13.8">
      <c r="A40" s="1658" t="s">
        <v>1322</v>
      </c>
      <c r="B40" s="141"/>
      <c r="C40" s="142"/>
      <c r="D40" s="142"/>
      <c r="E40" s="143"/>
      <c r="F40" s="1652"/>
      <c r="G40" s="121"/>
      <c r="H40" s="121"/>
      <c r="I40" s="121"/>
    </row>
    <row r="41" spans="1:15" ht="13.8">
      <c r="A41" s="1658" t="s">
        <v>1323</v>
      </c>
      <c r="B41" s="141"/>
      <c r="C41" s="142"/>
      <c r="D41" s="142"/>
      <c r="E41" s="143"/>
      <c r="F41" s="1652"/>
      <c r="G41" s="121"/>
      <c r="H41" s="121"/>
      <c r="I41" s="121"/>
    </row>
    <row r="42" spans="1:15" ht="14.4" thickBot="1">
      <c r="A42" s="1659"/>
      <c r="B42" s="144"/>
      <c r="C42" s="145"/>
      <c r="D42" s="145"/>
      <c r="E42" s="146"/>
      <c r="F42" s="1652"/>
      <c r="G42" s="121"/>
      <c r="H42" s="121"/>
      <c r="I42" s="121"/>
    </row>
    <row r="43" spans="1:15" ht="13.2">
      <c r="A43" s="1467"/>
      <c r="B43" s="1467"/>
      <c r="C43" s="1467"/>
      <c r="D43" s="1467"/>
      <c r="E43" s="1467"/>
      <c r="F43" s="1660"/>
      <c r="G43" s="1660"/>
      <c r="H43" s="1660"/>
      <c r="I43" s="1661"/>
    </row>
    <row r="44" spans="1:15" ht="17.399999999999999">
      <c r="A44" s="1464" t="s">
        <v>1324</v>
      </c>
      <c r="B44" s="1662"/>
      <c r="C44" s="1662"/>
      <c r="D44" s="1663"/>
      <c r="E44" s="1663"/>
      <c r="F44" s="1664"/>
      <c r="G44" s="1664"/>
      <c r="H44" s="1664"/>
      <c r="I44" s="1664"/>
      <c r="J44" s="1665" t="s">
        <v>1325</v>
      </c>
      <c r="K44" s="4"/>
      <c r="L44" s="4"/>
      <c r="M44" s="4"/>
      <c r="N44" s="4"/>
      <c r="O44" s="4"/>
    </row>
    <row r="45" spans="1:15" ht="14.25" customHeight="1" thickBot="1">
      <c r="A45" s="3275" t="s">
        <v>1326</v>
      </c>
      <c r="B45" s="3276"/>
      <c r="C45" s="3277"/>
      <c r="D45" s="147">
        <f ca="1">ROUND(H101*F45,0)</f>
        <v>0</v>
      </c>
      <c r="E45" s="148" t="s">
        <v>1327</v>
      </c>
      <c r="F45" s="149">
        <v>1</v>
      </c>
      <c r="G45" s="150" t="s">
        <v>1328</v>
      </c>
      <c r="H45" s="121"/>
      <c r="I45" s="121"/>
      <c r="J45" s="3353" t="s">
        <v>1329</v>
      </c>
      <c r="K45" s="3353"/>
      <c r="L45" s="3353"/>
      <c r="M45" s="3353"/>
      <c r="N45" s="3353"/>
      <c r="O45" s="3353"/>
    </row>
    <row r="46" spans="1:15" ht="14.25" customHeight="1">
      <c r="A46" s="3272" t="s">
        <v>1330</v>
      </c>
      <c r="B46" s="3273"/>
      <c r="C46" s="3273"/>
      <c r="D46" s="3273"/>
      <c r="E46" s="3273"/>
      <c r="F46" s="3273"/>
      <c r="G46" s="3274"/>
      <c r="H46" s="1666"/>
      <c r="I46" s="151"/>
      <c r="J46" s="2308">
        <v>1</v>
      </c>
      <c r="K46" s="3334" t="s">
        <v>1331</v>
      </c>
      <c r="L46" s="3334"/>
      <c r="M46" s="3354"/>
      <c r="N46" s="3354"/>
      <c r="O46" s="3354"/>
    </row>
    <row r="47" spans="1:15" ht="12" customHeight="1">
      <c r="A47" s="152" t="s">
        <v>1332</v>
      </c>
      <c r="B47" s="153"/>
      <c r="C47" s="154"/>
      <c r="D47" s="1024" t="s">
        <v>1333</v>
      </c>
      <c r="E47" s="294" t="s">
        <v>1334</v>
      </c>
      <c r="F47" s="155" t="s">
        <v>1335</v>
      </c>
      <c r="G47" s="2331" t="s">
        <v>1336</v>
      </c>
      <c r="H47" s="2332"/>
      <c r="I47" s="151"/>
      <c r="J47" s="2308">
        <v>2</v>
      </c>
      <c r="K47" s="3334" t="s">
        <v>1337</v>
      </c>
      <c r="L47" s="3334"/>
      <c r="M47" s="3355">
        <f>'数据-取费表'!B2</f>
        <v>46013</v>
      </c>
      <c r="N47" s="3355"/>
      <c r="O47" s="3355"/>
    </row>
    <row r="48" spans="1:15" ht="26.4">
      <c r="A48" s="3303" t="s">
        <v>1338</v>
      </c>
      <c r="B48" s="3286"/>
      <c r="C48" s="3286"/>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6"/>
      <c r="J48" s="2308">
        <v>3</v>
      </c>
      <c r="K48" s="3334" t="s">
        <v>1340</v>
      </c>
      <c r="L48" s="3334"/>
      <c r="M48" s="3356">
        <f ca="1">H101</f>
        <v>0</v>
      </c>
      <c r="N48" s="3356"/>
      <c r="O48" s="3356"/>
    </row>
    <row r="49" spans="1:35" ht="25.5" customHeight="1">
      <c r="A49" s="2150" t="s">
        <v>1341</v>
      </c>
      <c r="B49" s="3270" t="s">
        <v>1342</v>
      </c>
      <c r="C49" s="3270"/>
      <c r="D49" s="1476">
        <v>0</v>
      </c>
      <c r="E49" s="316" t="s">
        <v>1343</v>
      </c>
      <c r="F49" s="2231" t="s">
        <v>28</v>
      </c>
      <c r="G49" s="3340"/>
      <c r="H49" s="2132" t="s">
        <v>2134</v>
      </c>
      <c r="I49" s="2133"/>
      <c r="J49" s="2308">
        <v>4</v>
      </c>
      <c r="K49" s="3334" t="str">
        <f>IF(项目基本情况!E8="房地产抵押价值","房地产抵押价值","抵押担保权已注销时的房地产抵押价值")</f>
        <v>房地产抵押价值</v>
      </c>
      <c r="L49" s="3334"/>
      <c r="M49" s="3356">
        <f ca="1">IF(项目基本情况!E8="房地产抵押价值",H107,H109)</f>
        <v>0</v>
      </c>
      <c r="N49" s="3356"/>
      <c r="O49" s="3356"/>
    </row>
    <row r="50" spans="1:35" ht="25.5" customHeight="1">
      <c r="A50" s="2336"/>
      <c r="B50" s="3270" t="s">
        <v>1344</v>
      </c>
      <c r="C50" s="3270"/>
      <c r="D50" s="2187"/>
      <c r="E50" s="323"/>
      <c r="F50" s="2231"/>
      <c r="G50" s="3341"/>
      <c r="H50" s="2134" t="s">
        <v>2135</v>
      </c>
      <c r="I50" s="2133"/>
      <c r="J50" s="3353" t="s">
        <v>1345</v>
      </c>
      <c r="K50" s="3353"/>
      <c r="L50" s="3353"/>
      <c r="M50" s="3353"/>
      <c r="N50" s="3353"/>
      <c r="O50" s="3353"/>
    </row>
    <row r="51" spans="1:35" ht="20.55" customHeight="1">
      <c r="A51" s="2337"/>
      <c r="B51" s="3270" t="s">
        <v>1346</v>
      </c>
      <c r="C51" s="3270"/>
      <c r="D51" s="1024"/>
      <c r="E51" s="319"/>
      <c r="F51" s="2231"/>
      <c r="G51" s="3342"/>
      <c r="H51" s="2134" t="s">
        <v>2136</v>
      </c>
      <c r="I51" s="2133"/>
      <c r="J51" s="2309" t="s">
        <v>1347</v>
      </c>
      <c r="K51" s="3334" t="s">
        <v>1348</v>
      </c>
      <c r="L51" s="3334"/>
      <c r="M51" s="2309" t="s">
        <v>1349</v>
      </c>
      <c r="N51" s="2309" t="s">
        <v>1350</v>
      </c>
      <c r="O51" s="2309" t="s">
        <v>1351</v>
      </c>
    </row>
    <row r="52" spans="1:35" ht="24" customHeight="1">
      <c r="A52" s="2151" t="s">
        <v>1352</v>
      </c>
      <c r="B52" s="3270" t="s">
        <v>1353</v>
      </c>
      <c r="C52" s="3270"/>
      <c r="D52" s="1024">
        <f ca="1">ROUND(D45*'数据-取费表'!B41/(1+'数据-取费表'!C42),0)</f>
        <v>0</v>
      </c>
      <c r="E52" s="1256" t="s">
        <v>1354</v>
      </c>
      <c r="F52" s="2338">
        <f>'数据-取费表'!B41</f>
        <v>5.5000000000000007E-2</v>
      </c>
      <c r="G52" s="2339"/>
      <c r="H52" s="2329"/>
      <c r="I52" s="1667"/>
      <c r="J52" s="2308">
        <v>1</v>
      </c>
      <c r="K52" s="3335" t="s">
        <v>1355</v>
      </c>
      <c r="L52" s="3335"/>
      <c r="M52" s="2310" t="b">
        <f>D48</f>
        <v>0</v>
      </c>
      <c r="N52" s="2308" t="str">
        <f>E48</f>
        <v>销售额×税（费）率</v>
      </c>
      <c r="O52" s="2311">
        <f>F48</f>
        <v>5.5000000000000007E-2</v>
      </c>
    </row>
    <row r="53" spans="1:35" ht="12" customHeight="1">
      <c r="A53" s="2151" t="s">
        <v>1356</v>
      </c>
      <c r="B53" s="3296" t="s">
        <v>2291</v>
      </c>
      <c r="C53" s="3297"/>
      <c r="D53" s="1024">
        <f ca="1">ROUND(D45*'数据-取费表'!B41/(1+'数据-取费表'!C42),0)</f>
        <v>0</v>
      </c>
      <c r="E53" s="1256" t="s">
        <v>1354</v>
      </c>
      <c r="F53" s="2338">
        <f>'数据-取费表'!B41</f>
        <v>5.5000000000000007E-2</v>
      </c>
      <c r="G53" s="2339"/>
      <c r="H53" s="2329"/>
      <c r="I53" s="1667"/>
      <c r="J53" s="2308">
        <v>2</v>
      </c>
      <c r="K53" s="3335" t="s">
        <v>1357</v>
      </c>
      <c r="L53" s="3335"/>
      <c r="M53" s="2310">
        <f t="shared" ref="M53:O54" ca="1" si="0">D55</f>
        <v>0</v>
      </c>
      <c r="N53" s="2308" t="str">
        <f t="shared" si="0"/>
        <v>销售额×税（费）率</v>
      </c>
      <c r="O53" s="2311" t="str">
        <f t="shared" si="0"/>
        <v>免征</v>
      </c>
    </row>
    <row r="54" spans="1:35" ht="12" customHeight="1">
      <c r="A54" s="2151" t="s">
        <v>1358</v>
      </c>
      <c r="B54" s="3296" t="s">
        <v>2292</v>
      </c>
      <c r="C54" s="3297"/>
      <c r="D54" s="1024">
        <f ca="1">C68</f>
        <v>0</v>
      </c>
      <c r="E54" s="319" t="s">
        <v>1359</v>
      </c>
      <c r="F54" s="2338">
        <f>'数据-取费表'!B41</f>
        <v>5.5000000000000007E-2</v>
      </c>
      <c r="G54" s="2339"/>
      <c r="H54" s="2340"/>
      <c r="I54" s="1667"/>
      <c r="J54" s="2308">
        <v>3</v>
      </c>
      <c r="K54" s="3335" t="s">
        <v>1360</v>
      </c>
      <c r="L54" s="3335"/>
      <c r="M54" s="2310">
        <f t="shared" ca="1" si="0"/>
        <v>0</v>
      </c>
      <c r="N54" s="2308" t="str">
        <f t="shared" si="0"/>
        <v>增值额×税（费）率</v>
      </c>
      <c r="O54" s="2312" t="str">
        <f t="shared" si="0"/>
        <v>免征</v>
      </c>
    </row>
    <row r="55" spans="1:35" ht="24" customHeight="1">
      <c r="A55" s="3285" t="s">
        <v>1361</v>
      </c>
      <c r="B55" s="3286"/>
      <c r="C55" s="3286"/>
      <c r="D55" s="12">
        <f ca="1">IF(H55="个人住宅",0,ROUND(D45*I55,0))</f>
        <v>0</v>
      </c>
      <c r="E55" s="1256" t="s">
        <v>1362</v>
      </c>
      <c r="F55" s="2338" t="str">
        <f>IF(H55="正常",I55,"免征")</f>
        <v>免征</v>
      </c>
      <c r="G55" s="2339"/>
      <c r="H55" s="2335"/>
      <c r="I55" s="157">
        <f>'数据-取费表'!B49</f>
        <v>5.0000000000000001E-4</v>
      </c>
      <c r="J55" s="2308">
        <f>IF(H59="非个人房产","",4)</f>
        <v>4</v>
      </c>
      <c r="K55" s="3335" t="str">
        <f>IF(H59="非个人房产","——","个人所得税")</f>
        <v>个人所得税</v>
      </c>
      <c r="L55" s="3335"/>
      <c r="M55" s="2313">
        <f ca="1">D59</f>
        <v>0</v>
      </c>
      <c r="N55" s="1881" t="str">
        <f>E59</f>
        <v>差额计税</v>
      </c>
      <c r="O55" s="2314">
        <f>F59</f>
        <v>0.01</v>
      </c>
    </row>
    <row r="56" spans="1:35" ht="25.2">
      <c r="A56" s="3285" t="s">
        <v>1363</v>
      </c>
      <c r="B56" s="3286"/>
      <c r="C56" s="3286"/>
      <c r="D56" s="12">
        <f ca="1">IF(H56="个人住宅",D57,D58)</f>
        <v>0</v>
      </c>
      <c r="E56" s="1256" t="s">
        <v>1364</v>
      </c>
      <c r="F56" s="2338" t="str">
        <f>IF(H56="正常",F58,"免征")</f>
        <v>免征</v>
      </c>
      <c r="G56" s="2341" t="s">
        <v>1365</v>
      </c>
      <c r="H56" s="2342"/>
      <c r="I56" s="1668"/>
      <c r="J56" s="2308" t="str">
        <f>IF(项目基本情况!K6="上海银行",IF(J55="",4,J55+1),"")</f>
        <v/>
      </c>
      <c r="K56" s="3358" t="str">
        <f>IF(项目基本情况!K6="上海银行","其他处置费用","")</f>
        <v/>
      </c>
      <c r="L56" s="3359"/>
      <c r="M56" s="2310" t="str">
        <f>IF(项目基本情况!K6="上海银行",M69,"")</f>
        <v/>
      </c>
      <c r="N56" s="3358" t="str">
        <f>IF(项目基本情况!K6="上海银行","包含处置中涉及的律师、诉讼、拍卖、评估等费用","")</f>
        <v/>
      </c>
      <c r="O56" s="3361"/>
    </row>
    <row r="57" spans="1:35" ht="13.2">
      <c r="A57" s="2151" t="s">
        <v>1341</v>
      </c>
      <c r="B57" s="3296" t="s">
        <v>1366</v>
      </c>
      <c r="C57" s="3297"/>
      <c r="D57" s="1476">
        <v>0</v>
      </c>
      <c r="E57" s="316" t="s">
        <v>1343</v>
      </c>
      <c r="F57" s="294"/>
      <c r="G57" s="2339"/>
      <c r="H57" s="2343"/>
      <c r="I57" s="1668"/>
      <c r="J57" s="3335">
        <f>IF(AND(J55="",J56=""),4,IF(项目基本情况!K6="上海银行",结果表!J56+1,结果表!J55+1))</f>
        <v>5</v>
      </c>
      <c r="K57" s="3335" t="s">
        <v>1367</v>
      </c>
      <c r="L57" s="2315" t="s">
        <v>1368</v>
      </c>
      <c r="M57" s="2316"/>
      <c r="N57" s="2317">
        <f ca="1">SUMIF(M52:M56,"&lt;9e307")</f>
        <v>0</v>
      </c>
      <c r="O57" s="2318"/>
      <c r="P57" s="2463" t="e">
        <f ca="1">N57/M49</f>
        <v>#DIV/0!</v>
      </c>
    </row>
    <row r="58" spans="1:35" ht="25.2">
      <c r="A58" s="2151" t="s">
        <v>1352</v>
      </c>
      <c r="B58" s="3296" t="s">
        <v>1369</v>
      </c>
      <c r="C58" s="3270"/>
      <c r="D58" s="12">
        <f ca="1">IF(H58="转让取得",C81,C97)</f>
        <v>0</v>
      </c>
      <c r="E58" s="1256" t="s">
        <v>1364</v>
      </c>
      <c r="F58" s="294" t="s">
        <v>28</v>
      </c>
      <c r="G58" s="2339"/>
      <c r="H58" s="2342"/>
      <c r="I58" s="1668"/>
      <c r="J58" s="3335"/>
      <c r="K58" s="3335"/>
      <c r="L58" s="2315" t="s">
        <v>1370</v>
      </c>
      <c r="M58" s="2319"/>
      <c r="N58" s="2320" t="str">
        <f ca="1">NUMBERSTRING(INT(N57*10000),2)&amp;"元整"</f>
        <v>零元整</v>
      </c>
      <c r="O58" s="2321"/>
    </row>
    <row r="59" spans="1:35" ht="24.6" thickBot="1">
      <c r="A59" s="3338" t="s">
        <v>1371</v>
      </c>
      <c r="B59" s="3339"/>
      <c r="C59" s="3339"/>
      <c r="D59" s="2344">
        <f ca="1">IF(H59="非个人房产","——",IF(H59="个人住宅（满五唯一有凭证）",0,IF(H59="个人其他（无凭证）",ROUND(D45/(1+'数据-取费表'!C42)*F59,0),ROUND(C67*F59,0))))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36">
        <f>J57+1</f>
        <v>6</v>
      </c>
      <c r="K59" s="3335" t="s">
        <v>1372</v>
      </c>
      <c r="L59" s="2308" t="s">
        <v>1368</v>
      </c>
      <c r="M59" s="2322"/>
      <c r="N59" s="2323">
        <f ca="1">M49-N57</f>
        <v>0</v>
      </c>
      <c r="O59" s="2324"/>
    </row>
    <row r="60" spans="1:35" ht="12" customHeight="1">
      <c r="A60" s="1669"/>
      <c r="B60" s="646"/>
      <c r="C60" s="646"/>
      <c r="D60" s="646"/>
      <c r="E60" s="1466"/>
      <c r="F60" s="1668"/>
      <c r="G60" s="1668"/>
      <c r="H60" s="151"/>
      <c r="I60" s="121"/>
      <c r="J60" s="3337"/>
      <c r="K60" s="3335"/>
      <c r="L60" s="2315" t="s">
        <v>1370</v>
      </c>
      <c r="M60" s="2319"/>
      <c r="N60" s="2320" t="str">
        <f ca="1">NUMBERSTRING(INT(N59*10000),2)&amp;"元整"</f>
        <v>零元整</v>
      </c>
      <c r="O60" s="2321"/>
    </row>
    <row r="61" spans="1:35" ht="13.8" thickBot="1">
      <c r="A61" s="3283" t="s">
        <v>1373</v>
      </c>
      <c r="B61" s="3283"/>
      <c r="C61" s="3283"/>
      <c r="D61" s="3283"/>
      <c r="E61" s="3283"/>
      <c r="F61" s="1668"/>
      <c r="G61" s="1668"/>
      <c r="H61" s="151"/>
      <c r="I61" s="121"/>
      <c r="J61" s="2308">
        <f>J59+1</f>
        <v>7</v>
      </c>
      <c r="K61" s="3335" t="s">
        <v>1374</v>
      </c>
      <c r="L61" s="3335"/>
      <c r="M61" s="2325"/>
      <c r="N61" s="2326">
        <f ca="1">ROUND(N59*10000/'数据-汇总表'!E3,0)</f>
        <v>0</v>
      </c>
      <c r="O61" s="2327"/>
    </row>
    <row r="62" spans="1:35" ht="13.2">
      <c r="A62" s="3301" t="s">
        <v>1375</v>
      </c>
      <c r="B62" s="3302"/>
      <c r="C62" s="1863"/>
      <c r="D62" s="1863" t="s">
        <v>1376</v>
      </c>
      <c r="E62" s="158" t="s">
        <v>1377</v>
      </c>
      <c r="F62" s="1668"/>
      <c r="G62" s="1668"/>
      <c r="H62" s="151"/>
      <c r="I62" s="121"/>
    </row>
    <row r="63" spans="1:35" ht="13.2">
      <c r="A63" s="165" t="s">
        <v>330</v>
      </c>
      <c r="B63" s="159" t="s">
        <v>1378</v>
      </c>
      <c r="C63" s="2348">
        <f ca="1">ROUND((C64+C65)/(1+'数据-取费表'!C42),0)</f>
        <v>0</v>
      </c>
      <c r="D63" s="159"/>
      <c r="E63" s="160"/>
      <c r="F63" s="1668"/>
      <c r="G63" s="1668"/>
      <c r="H63" s="151"/>
      <c r="I63" s="121"/>
      <c r="J63" s="3360" t="s">
        <v>1379</v>
      </c>
      <c r="K63" s="1245" t="s">
        <v>1380</v>
      </c>
      <c r="L63" s="1245">
        <f ca="1">IF(M49&gt;10000,M49*0.5%,IF(AND(M49&gt;1000,M49&lt;=10000),M49*1%,IF(AND(M49&gt;100,M49&lt;=1000),M49*3%,IF(AND(M49&gt;10,M49&lt;=100),M49*5%,M49*8%))))</f>
        <v>0</v>
      </c>
      <c r="M63" s="294">
        <f ca="1">ROUND(L63,1)</f>
        <v>0</v>
      </c>
      <c r="N63" s="2328"/>
      <c r="Z63" s="1621"/>
      <c r="AI63" s="1559"/>
    </row>
    <row r="64" spans="1:35" ht="14.25" customHeight="1">
      <c r="A64" s="161" t="s">
        <v>325</v>
      </c>
      <c r="B64" s="162" t="s">
        <v>1381</v>
      </c>
      <c r="C64" s="2349">
        <f ca="1">D45</f>
        <v>0</v>
      </c>
      <c r="D64" s="162" t="s">
        <v>26</v>
      </c>
      <c r="E64" s="164"/>
      <c r="F64" s="1668"/>
      <c r="G64" s="1668"/>
      <c r="H64" s="151"/>
      <c r="I64" s="121"/>
      <c r="J64" s="3360"/>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1383</v>
      </c>
      <c r="Z64" s="1621"/>
      <c r="AI64" s="1559"/>
    </row>
    <row r="65" spans="1:35" ht="14.25" customHeight="1">
      <c r="A65" s="161" t="s">
        <v>326</v>
      </c>
      <c r="B65" s="162" t="s">
        <v>1384</v>
      </c>
      <c r="C65" s="2350"/>
      <c r="D65" s="162"/>
      <c r="E65" s="164"/>
      <c r="F65" s="1668"/>
      <c r="G65" s="1668"/>
      <c r="H65" s="151"/>
      <c r="I65" s="121"/>
      <c r="J65" s="3360"/>
      <c r="K65" s="1245" t="s">
        <v>1385</v>
      </c>
      <c r="L65" s="1245" t="b">
        <f ca="1">IF(M49&gt;1000,M49*0.1%,IF(AND(M49&gt;500,M49&lt;=1000),M49*0.5%,IF(AND(M49&gt;50,M49&lt;=500),M49*1%,IF(AND(M49&gt;1,M49&lt;=50),M49*1.5%))))</f>
        <v>0</v>
      </c>
      <c r="M65" s="294">
        <f t="shared" ca="1" si="1"/>
        <v>0</v>
      </c>
      <c r="N65" s="2329" t="s">
        <v>1383</v>
      </c>
      <c r="Z65" s="1621"/>
      <c r="AI65" s="1559"/>
    </row>
    <row r="66" spans="1:35" ht="14.25" customHeight="1">
      <c r="A66" s="165" t="s">
        <v>327</v>
      </c>
      <c r="B66" s="166" t="s">
        <v>1386</v>
      </c>
      <c r="C66" s="2351"/>
      <c r="D66" s="166" t="s">
        <v>26</v>
      </c>
      <c r="E66" s="1251" t="s">
        <v>671</v>
      </c>
      <c r="F66" s="1668"/>
      <c r="G66" s="1668"/>
      <c r="H66" s="151"/>
      <c r="I66" s="121"/>
      <c r="J66" s="3360"/>
      <c r="K66" s="1245" t="s">
        <v>1387</v>
      </c>
      <c r="L66" s="1245">
        <f ca="1">M49*0.5%</f>
        <v>0</v>
      </c>
      <c r="M66" s="294">
        <f ca="1">IF(L66&gt;0.5,0.5,ROUND(L66,0))</f>
        <v>0</v>
      </c>
      <c r="N66" s="2329" t="s">
        <v>1388</v>
      </c>
      <c r="Z66" s="1621"/>
      <c r="AI66" s="1559"/>
    </row>
    <row r="67" spans="1:35" ht="14.25" customHeight="1">
      <c r="A67" s="165" t="s">
        <v>328</v>
      </c>
      <c r="B67" s="166" t="s">
        <v>1389</v>
      </c>
      <c r="C67" s="2352">
        <f ca="1">C63-C66</f>
        <v>0</v>
      </c>
      <c r="D67" s="162" t="s">
        <v>26</v>
      </c>
      <c r="E67" s="164"/>
      <c r="F67" s="1668"/>
      <c r="G67" s="1668"/>
      <c r="H67" s="151"/>
      <c r="I67" s="121"/>
      <c r="J67" s="3360"/>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1"/>
      <c r="AI67" s="1559"/>
    </row>
    <row r="68" spans="1:35" ht="14.25" customHeight="1" thickBot="1">
      <c r="A68" s="168" t="s">
        <v>329</v>
      </c>
      <c r="B68" s="169" t="s">
        <v>1391</v>
      </c>
      <c r="C68" s="2353">
        <f ca="1">IF(C67&lt;=0,0,ROUND(C67*D68,0))</f>
        <v>0</v>
      </c>
      <c r="D68" s="2354">
        <f>'数据-取费表'!B41</f>
        <v>5.5000000000000007E-2</v>
      </c>
      <c r="E68" s="170"/>
      <c r="F68" s="1668"/>
      <c r="G68" s="1668"/>
      <c r="H68" s="151"/>
      <c r="I68" s="121"/>
      <c r="J68" s="3360"/>
      <c r="K68" s="1245" t="s">
        <v>1392</v>
      </c>
      <c r="L68" s="1245">
        <f ca="1">IF(M49&gt;10000,M49*0.5%,IF(AND(M49&gt;5000,M49&lt;=10000),M49*1%,IF(AND(M49&gt;1000,M49&lt;=5000),M49*2%,IF(AND(M49&gt;200,M49&lt;=1000),M49*3%,M49*5%))))</f>
        <v>0</v>
      </c>
      <c r="M68" s="294">
        <f ca="1">ROUND(L68,1)</f>
        <v>0</v>
      </c>
      <c r="N68" s="2328"/>
      <c r="Z68" s="1621"/>
      <c r="AI68" s="1559"/>
    </row>
    <row r="69" spans="1:35" ht="16.5" customHeight="1">
      <c r="A69" s="1670"/>
      <c r="B69" s="1671"/>
      <c r="C69" s="1672"/>
      <c r="D69" s="1673"/>
      <c r="E69" s="1674"/>
      <c r="F69" s="1466"/>
      <c r="G69" s="1466"/>
      <c r="H69" s="1467"/>
      <c r="I69" s="646"/>
      <c r="J69" s="3360"/>
      <c r="K69" s="1245" t="s">
        <v>1393</v>
      </c>
      <c r="L69" s="1245"/>
      <c r="M69" s="294">
        <f ca="1">ROUND(SUM(M63:M68),0)</f>
        <v>0</v>
      </c>
      <c r="N69" s="2330" t="e">
        <f ca="1">M69/M49</f>
        <v>#DIV/0!</v>
      </c>
      <c r="Z69" s="1621"/>
      <c r="AI69" s="1559"/>
    </row>
    <row r="70" spans="1:35" s="642" customFormat="1" ht="14.4" thickBot="1">
      <c r="A70" s="3322" t="s">
        <v>1394</v>
      </c>
      <c r="B70" s="3323"/>
      <c r="C70" s="3323"/>
      <c r="D70" s="3323"/>
      <c r="E70" s="3323"/>
      <c r="F70" s="3323"/>
      <c r="G70" s="3323"/>
      <c r="H70" s="3323"/>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3.8">
      <c r="A71" s="3301" t="s">
        <v>1375</v>
      </c>
      <c r="B71" s="3302"/>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3.8">
      <c r="A72" s="165" t="s">
        <v>330</v>
      </c>
      <c r="B72" s="166" t="s">
        <v>1395</v>
      </c>
      <c r="C72" s="2352">
        <f ca="1">ROUND(D45/(1+'数据-取费表'!C42),0)</f>
        <v>0</v>
      </c>
      <c r="D72" s="162" t="s">
        <v>26</v>
      </c>
      <c r="E72" s="1257"/>
      <c r="F72" s="1255"/>
      <c r="G72" s="1255"/>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3.8">
      <c r="A73" s="165" t="s">
        <v>327</v>
      </c>
      <c r="B73" s="155" t="s">
        <v>1396</v>
      </c>
      <c r="C73" s="2352">
        <f ca="1">C74+C78</f>
        <v>0</v>
      </c>
      <c r="D73" s="162" t="s">
        <v>26</v>
      </c>
      <c r="E73" s="1257"/>
      <c r="F73" s="1255"/>
      <c r="G73" s="1255"/>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7"/>
      <c r="F74" s="1255"/>
      <c r="G74" s="1255"/>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28.8">
      <c r="A75" s="161" t="s">
        <v>331</v>
      </c>
      <c r="B75" s="162" t="s">
        <v>1398</v>
      </c>
      <c r="C75" s="2355"/>
      <c r="D75" s="162" t="s">
        <v>26</v>
      </c>
      <c r="E75" s="176" t="s">
        <v>1399</v>
      </c>
      <c r="F75" s="2356"/>
      <c r="G75" s="176" t="s">
        <v>1400</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8">
        <v>0.05</v>
      </c>
      <c r="E76" s="3296" t="s">
        <v>1402</v>
      </c>
      <c r="F76" s="3270"/>
      <c r="G76" s="3270"/>
      <c r="H76" s="3321"/>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60">
        <f ca="1">ROUND(D45*D78/(1+'数据-取费表'!C42),0)</f>
        <v>0</v>
      </c>
      <c r="D78" s="2361">
        <f>'数据-取费表'!B43</f>
        <v>5.000000000000001E-3</v>
      </c>
      <c r="E78" s="3280" t="s">
        <v>1406</v>
      </c>
      <c r="F78" s="3281"/>
      <c r="G78" s="3281"/>
      <c r="H78" s="3290"/>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3.8">
      <c r="A79" s="165" t="s">
        <v>334</v>
      </c>
      <c r="B79" s="166" t="s">
        <v>1407</v>
      </c>
      <c r="C79" s="2352">
        <f ca="1">C72-C73</f>
        <v>0</v>
      </c>
      <c r="D79" s="162" t="s">
        <v>26</v>
      </c>
      <c r="E79" s="1257"/>
      <c r="F79" s="1255"/>
      <c r="G79" s="1255"/>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6"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4.4" thickBot="1">
      <c r="A83" s="3322" t="s">
        <v>1410</v>
      </c>
      <c r="B83" s="3323"/>
      <c r="C83" s="3323"/>
      <c r="D83" s="3323"/>
      <c r="E83" s="3323"/>
      <c r="F83" s="3323"/>
      <c r="G83" s="3323"/>
      <c r="H83" s="3323"/>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3.8">
      <c r="A84" s="3301" t="s">
        <v>1375</v>
      </c>
      <c r="B84" s="3302"/>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3.8">
      <c r="A85" s="165" t="s">
        <v>330</v>
      </c>
      <c r="B85" s="166" t="s">
        <v>1395</v>
      </c>
      <c r="C85" s="2352">
        <f ca="1">ROUND(D45/(1+'数据-取费表'!C42),0)</f>
        <v>0</v>
      </c>
      <c r="D85" s="162" t="s">
        <v>26</v>
      </c>
      <c r="E85" s="1257"/>
      <c r="F85" s="1255"/>
      <c r="G85" s="1255"/>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3.8">
      <c r="A86" s="165" t="s">
        <v>327</v>
      </c>
      <c r="B86" s="155" t="s">
        <v>1396</v>
      </c>
      <c r="C86" s="2352">
        <f ca="1">IF(H88="仅含出让金",C87+C90+C91+C92+C93+C94,C87+C91+C92+C93+C94)</f>
        <v>0</v>
      </c>
      <c r="D86" s="2365"/>
      <c r="E86" s="1257"/>
      <c r="F86" s="1255"/>
      <c r="G86" s="1255"/>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3.8">
      <c r="A87" s="161" t="s">
        <v>325</v>
      </c>
      <c r="B87" s="162" t="s">
        <v>1411</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4">
      <c r="A88" s="161" t="s">
        <v>331</v>
      </c>
      <c r="B88" s="162" t="s">
        <v>1412</v>
      </c>
      <c r="C88" s="2366"/>
      <c r="D88" s="2361"/>
      <c r="E88" s="185" t="s">
        <v>1413</v>
      </c>
      <c r="F88" s="2146"/>
      <c r="G88" s="186" t="s">
        <v>1414</v>
      </c>
      <c r="H88" s="1682"/>
      <c r="I88" s="1679"/>
      <c r="J88" s="2306" t="s">
        <v>2288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3.8">
      <c r="A89" s="161" t="s">
        <v>332</v>
      </c>
      <c r="B89" s="162" t="s">
        <v>1403</v>
      </c>
      <c r="C89" s="2360">
        <f>ROUND(C88*D89,0)</f>
        <v>0</v>
      </c>
      <c r="D89" s="2361">
        <f>'数据-取费表'!B48+'数据-取费表'!B49</f>
        <v>3.0499999999999999E-2</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4">
      <c r="A90" s="161" t="s">
        <v>326</v>
      </c>
      <c r="B90" s="162" t="s">
        <v>1416</v>
      </c>
      <c r="C90" s="2366"/>
      <c r="D90" s="2361"/>
      <c r="E90" s="185" t="str">
        <f>IF(H88="-","土地取得成本中已包含该笔费用"," ")</f>
        <v xml:space="preserve"> </v>
      </c>
      <c r="F90" s="2146"/>
      <c r="G90" s="3362" t="s">
        <v>2129</v>
      </c>
      <c r="H90" s="3363"/>
      <c r="I90" s="1679"/>
      <c r="J90" s="2306" t="s">
        <v>2289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60">
        <f>IF(H91="——",成本法!C33,I91)</f>
        <v>0</v>
      </c>
      <c r="D91" s="2361"/>
      <c r="E91" s="3280" t="s">
        <v>1419</v>
      </c>
      <c r="F91" s="3281"/>
      <c r="G91" s="3281"/>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60">
        <f>ROUND((C87+C90+C91)*D92,0)</f>
        <v>0</v>
      </c>
      <c r="D92" s="2367"/>
      <c r="E92" s="3280" t="s">
        <v>1422</v>
      </c>
      <c r="F92" s="3281"/>
      <c r="G92" s="3281"/>
      <c r="H92" s="3290"/>
      <c r="I92" s="1679"/>
      <c r="J92" s="2307" t="s">
        <v>2290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60">
        <f ca="1">ROUND(D45*D93/(1+'数据-取费表'!C42),0)</f>
        <v>0</v>
      </c>
      <c r="D93" s="2361">
        <f>'数据-取费表'!B43</f>
        <v>5.000000000000001E-3</v>
      </c>
      <c r="E93" s="3280" t="s">
        <v>1406</v>
      </c>
      <c r="F93" s="3281"/>
      <c r="G93" s="3281"/>
      <c r="H93" s="3290"/>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6">
        <f>ROUND((C87+C90+C91)*D94,0)</f>
        <v>0</v>
      </c>
      <c r="D94" s="2361">
        <v>0.2</v>
      </c>
      <c r="E94" s="3291" t="s">
        <v>1426</v>
      </c>
      <c r="F94" s="3292"/>
      <c r="G94" s="3292"/>
      <c r="H94" s="3293"/>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3.8">
      <c r="A95" s="165" t="s">
        <v>334</v>
      </c>
      <c r="B95" s="166" t="s">
        <v>1407</v>
      </c>
      <c r="C95" s="2352">
        <f ca="1">ROUND(C85-C86,0)</f>
        <v>0</v>
      </c>
      <c r="D95" s="162" t="s">
        <v>26</v>
      </c>
      <c r="E95" s="1257"/>
      <c r="F95" s="1255"/>
      <c r="G95" s="1255"/>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6"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4" t="s">
        <v>1428</v>
      </c>
      <c r="B100" s="3265"/>
      <c r="C100" s="3265"/>
      <c r="D100" s="3282"/>
      <c r="E100" s="3265" t="s">
        <v>1429</v>
      </c>
      <c r="F100" s="3265"/>
      <c r="G100" s="3265"/>
      <c r="H100" s="3282"/>
      <c r="I100" s="121"/>
    </row>
    <row r="101" spans="1:35" ht="18.75" customHeight="1">
      <c r="A101" s="3343" t="s">
        <v>1430</v>
      </c>
      <c r="B101" s="3344"/>
      <c r="C101" s="2369" t="str">
        <f>C4</f>
        <v>比较法-办公</v>
      </c>
      <c r="D101" s="2370" t="str">
        <f>D4</f>
        <v>收益法 (元)</v>
      </c>
      <c r="E101" s="3357" t="s">
        <v>1431</v>
      </c>
      <c r="F101" s="3314"/>
      <c r="G101" s="1685" t="s">
        <v>1432</v>
      </c>
      <c r="H101" s="2379">
        <f ca="1">H118</f>
        <v>0</v>
      </c>
      <c r="I101" s="121"/>
    </row>
    <row r="102" spans="1:35" ht="18.75" customHeight="1">
      <c r="A102" s="3316" t="s">
        <v>1433</v>
      </c>
      <c r="B102" s="2368" t="s">
        <v>1432</v>
      </c>
      <c r="C102" s="2369">
        <f ca="1">IF(D32="楼面单价",ROUND(C19,0),C19)</f>
        <v>19859</v>
      </c>
      <c r="D102" s="2370">
        <f ca="1">IF(D32="楼面单价",ROUND(D19,0),D19)</f>
        <v>13991</v>
      </c>
      <c r="E102" s="3357"/>
      <c r="F102" s="3314"/>
      <c r="G102" s="1685" t="s">
        <v>1434</v>
      </c>
      <c r="H102" s="2339">
        <f ca="1">I118</f>
        <v>19139</v>
      </c>
      <c r="I102" s="121"/>
    </row>
    <row r="103" spans="1:35" ht="42.75" customHeight="1">
      <c r="A103" s="3316"/>
      <c r="B103" s="2368" t="s">
        <v>1434</v>
      </c>
      <c r="C103" s="2371">
        <f ca="1">C20</f>
        <v>21000</v>
      </c>
      <c r="D103" s="2372">
        <f ca="1">D20</f>
        <v>14795</v>
      </c>
      <c r="E103" s="3351" t="s">
        <v>1435</v>
      </c>
      <c r="F103" s="3352"/>
      <c r="G103" s="1686" t="s">
        <v>1436</v>
      </c>
      <c r="H103" s="2379">
        <f>IF(D36="正常操作",H104+H105+H106,H105+H106)</f>
        <v>0</v>
      </c>
      <c r="I103" s="121"/>
    </row>
    <row r="104" spans="1:35" ht="18.75" customHeight="1">
      <c r="A104" s="3316" t="s">
        <v>1437</v>
      </c>
      <c r="B104" s="2373" t="s">
        <v>1432</v>
      </c>
      <c r="C104" s="2374">
        <f ca="1">H118</f>
        <v>0</v>
      </c>
      <c r="D104" s="2375"/>
      <c r="E104" s="1553" t="s">
        <v>1438</v>
      </c>
      <c r="F104" s="1546"/>
      <c r="G104" s="1686" t="s">
        <v>1436</v>
      </c>
      <c r="H104" s="2380">
        <f>IF(D36="同一抵押权人同一抵押物续贷",C36&amp;"（续贷，未扣减，详见特别提示）",C36)</f>
        <v>0</v>
      </c>
      <c r="I104" s="121"/>
    </row>
    <row r="105" spans="1:35" ht="18.75" customHeight="1" thickBot="1">
      <c r="A105" s="3317"/>
      <c r="B105" s="2376" t="s">
        <v>1434</v>
      </c>
      <c r="C105" s="2377">
        <f ca="1">I118</f>
        <v>19139</v>
      </c>
      <c r="D105" s="2378"/>
      <c r="E105" s="1553" t="s">
        <v>1439</v>
      </c>
      <c r="F105" s="1546"/>
      <c r="G105" s="1686" t="s">
        <v>1436</v>
      </c>
      <c r="H105" s="2381">
        <f>C37</f>
        <v>0</v>
      </c>
      <c r="I105" s="121"/>
    </row>
    <row r="106" spans="1:35" ht="18.75" customHeight="1">
      <c r="A106" s="646" t="s">
        <v>1440</v>
      </c>
      <c r="B106" s="646"/>
      <c r="C106" s="646"/>
      <c r="D106" s="646"/>
      <c r="E106" s="1687" t="s">
        <v>1441</v>
      </c>
      <c r="F106" s="1546"/>
      <c r="G106" s="1686" t="s">
        <v>1436</v>
      </c>
      <c r="H106" s="2381">
        <f>C38</f>
        <v>0</v>
      </c>
      <c r="I106" s="121"/>
    </row>
    <row r="107" spans="1:35" ht="18.75" customHeight="1">
      <c r="A107" s="121"/>
      <c r="B107" s="121"/>
      <c r="C107" s="121"/>
      <c r="D107" s="121"/>
      <c r="E107" s="3313" t="str">
        <f>IF(项目基本情况!E8="已注销","——","3.房地产抵押价值")</f>
        <v>3.房地产抵押价值</v>
      </c>
      <c r="F107" s="3314"/>
      <c r="G107" s="1685" t="s">
        <v>1432</v>
      </c>
      <c r="H107" s="2379">
        <f ca="1">IF(E107="——","——",H101-H103)</f>
        <v>0</v>
      </c>
      <c r="I107" s="121"/>
    </row>
    <row r="108" spans="1:35" ht="18.75" customHeight="1">
      <c r="A108" s="121"/>
      <c r="B108" s="121"/>
      <c r="C108" s="121"/>
      <c r="D108" s="121"/>
      <c r="E108" s="3313"/>
      <c r="F108" s="3314"/>
      <c r="G108" s="1685" t="s">
        <v>1434</v>
      </c>
      <c r="H108" s="2339">
        <f ca="1">IF(H107=H101,H102,ROUND(H107*10000/'数据-汇总表'!E3,0))</f>
        <v>19139</v>
      </c>
      <c r="I108" s="121"/>
    </row>
    <row r="109" spans="1:35" ht="18.75" customHeight="1">
      <c r="A109" s="121"/>
      <c r="B109" s="121"/>
      <c r="C109" s="121"/>
      <c r="D109" s="121"/>
      <c r="E109" s="3313" t="str">
        <f>IF(项目基本情况!E8="已注销及未注销","4.抵押担保权已注销时的房地产抵押价值",IF(项目基本情况!E8="已注销","3.抵押担保权已注销时的房地产抵押价值","——"))</f>
        <v>——</v>
      </c>
      <c r="F109" s="3314"/>
      <c r="G109" s="1685" t="s">
        <v>1432</v>
      </c>
      <c r="H109" s="2382" t="str">
        <f>IF(E109="——","——",H101-H105-H106)</f>
        <v>——</v>
      </c>
      <c r="I109" s="121"/>
    </row>
    <row r="110" spans="1:35" ht="18.75" customHeight="1">
      <c r="A110" s="121"/>
      <c r="B110" s="121"/>
      <c r="C110" s="121"/>
      <c r="D110" s="121"/>
      <c r="E110" s="3313"/>
      <c r="F110" s="3314"/>
      <c r="G110" s="1685" t="s">
        <v>1434</v>
      </c>
      <c r="H110" s="2339" t="str">
        <f>IF(H109="——","——",ROUND(H109*10000/'数据-汇总表'!E3,0))</f>
        <v>——</v>
      </c>
      <c r="I110" s="121"/>
    </row>
    <row r="111" spans="1:35" ht="18.75" customHeight="1">
      <c r="A111" s="121"/>
      <c r="B111" s="121"/>
      <c r="C111" s="121"/>
      <c r="D111" s="121"/>
      <c r="E111" s="3345" t="str">
        <f>IF(项目基本情况!E9="抵押净值",IF(OR(项目基本情况!E8="已注销",项目基本情况!E8="房地产抵押价值"),"4.抵押净值","5.抵押净值"),"——")</f>
        <v>——</v>
      </c>
      <c r="F111" s="3315"/>
      <c r="G111" s="1685" t="s">
        <v>1432</v>
      </c>
      <c r="H111" s="2379" t="str">
        <f>IF(E111="——","——",N59)</f>
        <v>——</v>
      </c>
      <c r="I111" s="121"/>
    </row>
    <row r="112" spans="1:35" ht="18.75" customHeight="1" thickBot="1">
      <c r="A112" s="121"/>
      <c r="B112" s="121"/>
      <c r="C112" s="121"/>
      <c r="D112" s="121"/>
      <c r="E112" s="3346"/>
      <c r="F112" s="3347"/>
      <c r="G112" s="1688" t="s">
        <v>1434</v>
      </c>
      <c r="H112" s="2383" t="str">
        <f>IF(E111="——","——",N61)</f>
        <v>——</v>
      </c>
      <c r="I112" s="121"/>
    </row>
    <row r="113" spans="1:27" ht="18.75" customHeight="1">
      <c r="A113" s="121"/>
      <c r="B113" s="121"/>
      <c r="C113" s="121"/>
      <c r="D113" s="121"/>
      <c r="E113" s="3318" t="s">
        <v>1440</v>
      </c>
      <c r="F113" s="3318"/>
      <c r="G113" s="3318"/>
      <c r="H113" s="3318"/>
      <c r="I113" s="121"/>
    </row>
    <row r="114" spans="1:27" ht="3.75" customHeight="1">
      <c r="A114" s="646"/>
      <c r="B114" s="646"/>
      <c r="C114" s="646"/>
      <c r="D114" s="646"/>
      <c r="E114" s="1669"/>
      <c r="F114" s="1669"/>
      <c r="G114" s="1669"/>
      <c r="H114" s="1669"/>
      <c r="I114" s="646"/>
    </row>
    <row r="115" spans="1:27" ht="18.75" customHeight="1">
      <c r="A115" s="3328" t="s">
        <v>1442</v>
      </c>
      <c r="B115" s="3329"/>
      <c r="C115" s="3329"/>
      <c r="D115" s="3329"/>
      <c r="E115" s="3329"/>
      <c r="F115" s="3329"/>
      <c r="G115" s="3329"/>
      <c r="H115" s="3329"/>
      <c r="I115" s="3330"/>
    </row>
    <row r="116" spans="1:27" ht="27" customHeight="1">
      <c r="A116" s="3284" t="s">
        <v>1443</v>
      </c>
      <c r="B116" s="3319" t="s">
        <v>1444</v>
      </c>
      <c r="C116" s="3319" t="s">
        <v>1445</v>
      </c>
      <c r="D116" s="3332" t="s">
        <v>1446</v>
      </c>
      <c r="E116" s="3333"/>
      <c r="F116" s="3327" t="s">
        <v>1447</v>
      </c>
      <c r="G116" s="3327"/>
      <c r="H116" s="3284" t="s">
        <v>1448</v>
      </c>
      <c r="I116" s="3284"/>
    </row>
    <row r="117" spans="1:27" ht="18.75" customHeight="1">
      <c r="A117" s="3284"/>
      <c r="B117" s="3320"/>
      <c r="C117" s="3320"/>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0</v>
      </c>
      <c r="C118" s="2148">
        <f>M19</f>
        <v>0</v>
      </c>
      <c r="D118" s="2148">
        <f>ROUND(IF(D32="总价",C34,E118*B118/10000),0)</f>
        <v>0</v>
      </c>
      <c r="E118" s="2148">
        <f>ROUND(IF(C33="自定义",IF(D32="楼面单价",C34,D118*10000/B118),I118-G118),0)</f>
        <v>0</v>
      </c>
      <c r="F118" s="2148">
        <f>ROUND(IF(D32="总价",C35,G118*B118/10000),0)</f>
        <v>0</v>
      </c>
      <c r="G118" s="2148">
        <f>ROUND(IF(D32="楼面单价",C35,F118*10000/B118),0)</f>
        <v>0</v>
      </c>
      <c r="H118" s="2148">
        <f ca="1">ROUND(IF(D32="总价",C32,I118*B118/10000),0)</f>
        <v>0</v>
      </c>
      <c r="I118" s="2148">
        <f ca="1">ROUND(IF(D32="楼面单价",C32,H118*10000/B118),0)</f>
        <v>19139</v>
      </c>
    </row>
    <row r="119" spans="1:27" ht="18.75" customHeight="1">
      <c r="A119" s="3284" t="s">
        <v>1452</v>
      </c>
      <c r="B119" s="3284"/>
      <c r="C119" s="3284"/>
      <c r="D119" s="3324" t="str">
        <f>NUMBERSTRING(INT(D118*10000),2)&amp;"元整"</f>
        <v>零元整</v>
      </c>
      <c r="E119" s="3326"/>
      <c r="F119" s="3324" t="str">
        <f>NUMBERSTRING(INT(F118*10000),2)&amp;"元整"</f>
        <v>零元整</v>
      </c>
      <c r="G119" s="3326"/>
      <c r="H119" s="3324" t="str">
        <f ca="1">NUMBERSTRING(INT(H118*10000),2)&amp;"元整"</f>
        <v>零元整</v>
      </c>
      <c r="I119" s="3326"/>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24" t="s">
        <v>1452</v>
      </c>
      <c r="B121" s="3325"/>
      <c r="C121" s="3326"/>
      <c r="D121" s="3324" t="str">
        <f>IF(D120=0,"零元整",NUMBERSTRING(INT(D120*10000),2)&amp;"元整")</f>
        <v>零元整</v>
      </c>
      <c r="E121" s="3325"/>
      <c r="F121" s="3325"/>
      <c r="G121" s="3325"/>
      <c r="H121" s="3325"/>
      <c r="I121" s="3326"/>
      <c r="AA121" s="684"/>
    </row>
    <row r="122" spans="1:27" ht="18.75" customHeight="1">
      <c r="A122" s="3315" t="str">
        <f>IF(项目基本情况!B9="房地产市场价值","",MID(E107,3,LEN(E107)-2))</f>
        <v>房地产抵押价值</v>
      </c>
      <c r="B122" s="3315"/>
      <c r="C122" s="3315"/>
      <c r="D122" s="3348">
        <f ca="1">H107</f>
        <v>0</v>
      </c>
      <c r="E122" s="3349"/>
      <c r="F122" s="3349"/>
      <c r="G122" s="3349"/>
      <c r="H122" s="3349"/>
      <c r="I122" s="3350"/>
      <c r="AA122" s="684"/>
    </row>
    <row r="123" spans="1:27" ht="18.75" customHeight="1">
      <c r="A123" s="3284" t="s">
        <v>1452</v>
      </c>
      <c r="B123" s="3284"/>
      <c r="C123" s="3284"/>
      <c r="D123" s="3324" t="str">
        <f ca="1">NUMBERSTRING(INT(D122*10000),2)&amp;"元整"</f>
        <v>零元整</v>
      </c>
      <c r="E123" s="3325"/>
      <c r="F123" s="3325"/>
      <c r="G123" s="3325"/>
      <c r="H123" s="3325"/>
      <c r="I123" s="3326"/>
      <c r="AA123" s="684"/>
    </row>
    <row r="124" spans="1:27" ht="18.75" customHeight="1">
      <c r="A124" s="3315" t="str">
        <f>IF(项目基本情况!B9="房地产市场价值","",MID(E109,3,LEN(E109)-2))</f>
        <v/>
      </c>
      <c r="B124" s="3315"/>
      <c r="C124" s="3315"/>
      <c r="D124" s="3348" t="str">
        <f>H109</f>
        <v>——</v>
      </c>
      <c r="E124" s="3349"/>
      <c r="F124" s="3349"/>
      <c r="G124" s="3349"/>
      <c r="H124" s="3349"/>
      <c r="I124" s="3350"/>
      <c r="AA124" s="684"/>
    </row>
    <row r="125" spans="1:27" ht="18.75" customHeight="1">
      <c r="A125" s="3284" t="s">
        <v>1452</v>
      </c>
      <c r="B125" s="3284"/>
      <c r="C125" s="3284"/>
      <c r="D125" s="3324" t="e">
        <f>NUMBERSTRING(INT(D124*10000),2)&amp;"元整"</f>
        <v>#VALUE!</v>
      </c>
      <c r="E125" s="3325"/>
      <c r="F125" s="3325"/>
      <c r="G125" s="3325"/>
      <c r="H125" s="3325"/>
      <c r="I125" s="3326"/>
      <c r="AA125" s="684"/>
    </row>
    <row r="126" spans="1:27" ht="18.75" customHeight="1">
      <c r="A126" s="3315" t="str">
        <f>IF(项目基本情况!B9="房地产市场价值","",MID(E111,3,LEN(E111)-2))</f>
        <v/>
      </c>
      <c r="B126" s="3315"/>
      <c r="C126" s="3315"/>
      <c r="D126" s="3348" t="str">
        <f>H111</f>
        <v>——</v>
      </c>
      <c r="E126" s="3349"/>
      <c r="F126" s="3349"/>
      <c r="G126" s="3349"/>
      <c r="H126" s="3349"/>
      <c r="I126" s="3350"/>
      <c r="AA126" s="684"/>
    </row>
    <row r="127" spans="1:27" ht="18.75" customHeight="1">
      <c r="A127" s="3284" t="s">
        <v>1452</v>
      </c>
      <c r="B127" s="3284"/>
      <c r="C127" s="3284"/>
      <c r="D127" s="3324" t="e">
        <f>NUMBERSTRING(INT(D126*10000),2)&amp;"元整"</f>
        <v>#VALUE!</v>
      </c>
      <c r="E127" s="3325"/>
      <c r="F127" s="3325"/>
      <c r="G127" s="3325"/>
      <c r="H127" s="3325"/>
      <c r="I127" s="3326"/>
      <c r="AA127" s="684"/>
    </row>
    <row r="128" spans="1:27" ht="21.75" customHeight="1">
      <c r="A128" s="3331" t="s">
        <v>1453</v>
      </c>
      <c r="B128" s="3331"/>
      <c r="C128" s="3331"/>
      <c r="D128" s="3331"/>
      <c r="E128" s="3331"/>
      <c r="F128" s="3331"/>
      <c r="G128" s="3331"/>
      <c r="H128" s="3331"/>
      <c r="I128" s="3331"/>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6251</v>
      </c>
      <c r="C2" s="191" t="s">
        <v>1463</v>
      </c>
      <c r="D2" s="1709" t="s">
        <v>43</v>
      </c>
      <c r="E2" s="1089"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6610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2"/>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3"/>
      <c r="H9" s="1070"/>
      <c r="I9" s="1714" t="s">
        <v>1479</v>
      </c>
    </row>
    <row r="10" spans="1:9" s="206" customFormat="1" ht="13.5" customHeight="1">
      <c r="A10" s="733" t="s">
        <v>356</v>
      </c>
      <c r="B10" s="216" t="s">
        <v>1480</v>
      </c>
      <c r="C10" s="217">
        <f ca="1">ROUND(D10*E10/10000,0)</f>
        <v>189</v>
      </c>
      <c r="D10" s="795">
        <f ca="1">IF(B1="",'数据-汇总表'!E6,IF(INDIRECT("'数据-取费表'!c"&amp;$G$1)="住宅",INDIRECT("'数据-取费表'!s"&amp;$G$1),INDIRECT("'数据-取费表'!k"&amp;$G$1)+INDIRECT("'数据-取费表'!s"&amp;$G$1)))</f>
        <v>9456.5000000000018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189</v>
      </c>
      <c r="D19" s="204">
        <f ca="1">D9+D10</f>
        <v>9456.5000000000018</v>
      </c>
      <c r="E19" s="203">
        <f>'数据-取费表'!B31</f>
        <v>200</v>
      </c>
      <c r="F19" s="223"/>
      <c r="G19" s="1712"/>
    </row>
    <row r="20" spans="1:7" s="206" customFormat="1" ht="13.5" customHeight="1">
      <c r="A20" s="247" t="s">
        <v>1493</v>
      </c>
      <c r="B20" s="202" t="s">
        <v>1494</v>
      </c>
      <c r="C20" s="224">
        <f ca="1">ROUND((C5+C19)*F20,0)</f>
        <v>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12</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12</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29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29</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253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4742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4255</v>
      </c>
      <c r="D34" s="209"/>
      <c r="E34" s="212"/>
      <c r="F34" s="249">
        <f ca="1">IF('数据-取费表'!B24=0,1,IF(B1="",'数据-取费表'!N16,INDIRECT("'数据-取费表'!n"&amp;$G$1)))</f>
        <v>1</v>
      </c>
      <c r="G34" s="211" t="s">
        <v>1526</v>
      </c>
    </row>
    <row r="35" spans="1:7" ht="13.5" customHeight="1">
      <c r="A35" s="734" t="s">
        <v>351</v>
      </c>
      <c r="B35" s="207" t="s">
        <v>1527</v>
      </c>
      <c r="C35" s="212">
        <f ca="1">ROUND(C34*F35,0)</f>
        <v>213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189</v>
      </c>
      <c r="D37" s="209">
        <f ca="1">D19</f>
        <v>9456.5000000000018</v>
      </c>
      <c r="E37" s="241">
        <f>'数据-取费表'!B35</f>
        <v>200</v>
      </c>
      <c r="F37" s="251"/>
      <c r="G37" s="253" t="s">
        <v>1532</v>
      </c>
    </row>
    <row r="38" spans="1:7" ht="13.5" customHeight="1">
      <c r="A38" s="734" t="s">
        <v>354</v>
      </c>
      <c r="B38" s="207" t="s">
        <v>1533</v>
      </c>
      <c r="C38" s="212">
        <f ca="1">ROUND(C34*F38,0)</f>
        <v>85</v>
      </c>
      <c r="D38" s="212"/>
      <c r="E38" s="212"/>
      <c r="F38" s="251">
        <f>'数据-取费表'!B36</f>
        <v>0.02</v>
      </c>
      <c r="G38" s="211" t="s">
        <v>1528</v>
      </c>
    </row>
    <row r="39" spans="1:7" s="206" customFormat="1" ht="13.5" customHeight="1">
      <c r="A39" s="247" t="s">
        <v>1534</v>
      </c>
      <c r="B39" s="202" t="s">
        <v>1535</v>
      </c>
      <c r="C39" s="224">
        <f ca="1">ROUND(C33*F20,0)</f>
        <v>95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148</v>
      </c>
      <c r="D42" s="230"/>
      <c r="E42" s="230"/>
      <c r="F42" s="231"/>
      <c r="G42" s="3364" t="s">
        <v>1544</v>
      </c>
    </row>
    <row r="43" spans="1:7" ht="13.5" customHeight="1">
      <c r="A43" s="734" t="s">
        <v>347</v>
      </c>
      <c r="B43" s="207" t="s">
        <v>1545</v>
      </c>
      <c r="C43" s="230">
        <f ca="1">ROUND(IF('数据-取费表'!B22&lt;=1,C39*F22*'数据-取费表'!B21/2,C39*(POWER((1+F22),'数据-取费表'!B21/2)-1)),0)</f>
        <v>3</v>
      </c>
      <c r="D43" s="230"/>
      <c r="E43" s="230"/>
      <c r="F43" s="231"/>
      <c r="G43" s="3365"/>
    </row>
    <row r="44" spans="1:7" ht="13.5" customHeight="1">
      <c r="A44" s="734" t="s">
        <v>348</v>
      </c>
      <c r="B44" s="207" t="s">
        <v>1546</v>
      </c>
      <c r="C44" s="230">
        <f ca="1">ROUND(IF('数据-取费表'!B22&lt;=1,C40*F22*'数据-取费表'!B21/2,C40*(POWER((1+F22),'数据-取费表'!B21/2)-1)),4)</f>
        <v>5.9999999999999995E-4</v>
      </c>
      <c r="D44" s="230"/>
      <c r="E44" s="230"/>
      <c r="F44" s="231"/>
      <c r="G44" s="3366"/>
    </row>
    <row r="45" spans="1:7" s="206" customFormat="1" ht="13.5" customHeight="1">
      <c r="A45" s="247" t="s">
        <v>1547</v>
      </c>
      <c r="B45" s="236" t="s">
        <v>1513</v>
      </c>
      <c r="C45" s="237">
        <f ca="1">C46</f>
        <v>726</v>
      </c>
      <c r="D45" s="227">
        <f ca="1">C47</f>
        <v>3.0000000000000001E-3</v>
      </c>
      <c r="E45" s="228" t="s">
        <v>1539</v>
      </c>
      <c r="F45" s="238">
        <f ca="1">F27</f>
        <v>0.15</v>
      </c>
      <c r="G45" s="239" t="s">
        <v>1548</v>
      </c>
    </row>
    <row r="46" spans="1:7" s="206" customFormat="1" ht="13.5" customHeight="1">
      <c r="A46" s="734" t="s">
        <v>346</v>
      </c>
      <c r="B46" s="240" t="s">
        <v>1549</v>
      </c>
      <c r="C46" s="241">
        <f ca="1">ROUND((C33+C39)*F27,0)</f>
        <v>726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6184</v>
      </c>
      <c r="D49" s="224"/>
      <c r="E49" s="224"/>
      <c r="F49" s="256"/>
      <c r="G49" s="226" t="s">
        <v>1554</v>
      </c>
    </row>
    <row r="50" spans="1:7" s="250" customFormat="1" ht="24">
      <c r="A50" s="247" t="s">
        <v>1555</v>
      </c>
      <c r="B50" s="202" t="s">
        <v>1556</v>
      </c>
      <c r="C50" s="224"/>
      <c r="D50" s="224"/>
      <c r="E50" s="224"/>
      <c r="F50" s="256">
        <f>IF('数据-取费表'!B24=0,'数据-取费表'!N16,1)</f>
        <v>0.97</v>
      </c>
      <c r="G50" s="239" t="s">
        <v>1557</v>
      </c>
    </row>
    <row r="51" spans="1:7" ht="16.5" customHeight="1">
      <c r="A51" s="247" t="s">
        <v>1558</v>
      </c>
      <c r="B51" s="202" t="s">
        <v>1559</v>
      </c>
      <c r="C51" s="224">
        <f ca="1">ROUND(C49*F50,0)</f>
        <v>5998</v>
      </c>
      <c r="D51" s="224"/>
      <c r="E51" s="224"/>
      <c r="F51" s="256"/>
      <c r="G51" s="226" t="s">
        <v>1560</v>
      </c>
    </row>
    <row r="52" spans="1:7" s="200" customFormat="1" ht="16.8" thickBot="1">
      <c r="A52" s="257" t="s">
        <v>1561</v>
      </c>
      <c r="B52" s="258"/>
      <c r="C52" s="259">
        <f ca="1">C31+C51</f>
        <v>6251</v>
      </c>
      <c r="D52" s="258"/>
      <c r="E52" s="258"/>
      <c r="F52" s="258"/>
      <c r="G52" s="260"/>
    </row>
    <row r="55" spans="1:7" ht="15">
      <c r="B55" s="262" t="s">
        <v>1562</v>
      </c>
      <c r="C55" s="263"/>
    </row>
    <row r="56" spans="1:7">
      <c r="B56" s="265" t="s">
        <v>802</v>
      </c>
      <c r="C56" s="267">
        <f ca="1">1-C57</f>
        <v>4.0000000000000036E-2</v>
      </c>
    </row>
    <row r="57" spans="1:7">
      <c r="B57" s="265" t="s">
        <v>803</v>
      </c>
      <c r="C57" s="266">
        <f ca="1">ROUND(C51/C52,3)</f>
        <v>0.96</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2" t="str">
        <f>项目基本情况!B1</f>
        <v>北京市房地产抵押价值预评估</v>
      </c>
      <c r="C37" s="3182"/>
      <c r="D37" s="3182"/>
      <c r="E37" s="3182"/>
      <c r="F37" s="3182"/>
      <c r="G37" s="3182"/>
      <c r="H37" s="3182"/>
      <c r="I37" s="31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24" sqref="L24"/>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5" t="s">
        <v>1563</v>
      </c>
      <c r="D1" s="190"/>
      <c r="E1" s="190"/>
      <c r="F1" s="190"/>
      <c r="G1" s="1062" t="e">
        <f>MATCH(B1,'数据-取费表'!A6:A16,0)+5</f>
        <v>#N/A</v>
      </c>
      <c r="H1" s="998" t="str">
        <f>IF(ISERROR(FIND("住宅",B1)),"非住宅","住宅")</f>
        <v>非住宅</v>
      </c>
    </row>
    <row r="2" spans="1:8" s="192" customFormat="1" ht="18" customHeight="1">
      <c r="A2" s="193" t="s">
        <v>1462</v>
      </c>
      <c r="B2" s="3121" t="e">
        <f ca="1">ROUND(IF(D2="——",C52/10000,C52/10000-E2),4)</f>
        <v>#DIV/0!</v>
      </c>
      <c r="C2" s="191" t="s">
        <v>1463</v>
      </c>
      <c r="D2" s="1709" t="s">
        <v>43</v>
      </c>
      <c r="E2" s="1089" t="e">
        <f ca="1">SUMIF(INDIRECT("'"&amp;G2&amp;"'"&amp;"!A:A"),"承租人权益价值",INDIRECT("'"&amp;G2&amp;"'"&amp;"!c:c"))</f>
        <v>#REF!</v>
      </c>
      <c r="F2" s="1710" t="s">
        <v>1463</v>
      </c>
      <c r="G2" s="1711"/>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#DIV/0!</v>
      </c>
      <c r="D5" s="203" t="s">
        <v>1469</v>
      </c>
      <c r="E5" s="204" t="s">
        <v>1470</v>
      </c>
      <c r="F5" s="204" t="s">
        <v>1471</v>
      </c>
      <c r="G5" s="205"/>
    </row>
    <row r="6" spans="1:8" s="206" customFormat="1" ht="13.5" customHeight="1">
      <c r="A6" s="732" t="s">
        <v>1472</v>
      </c>
      <c r="B6" s="207" t="s">
        <v>1473</v>
      </c>
      <c r="C6" s="208" t="e">
        <f>ROUND(基准地价修正!C33*基准地价修正!D33,0)</f>
        <v>#DIV/0!</v>
      </c>
      <c r="D6" s="209"/>
      <c r="E6" s="210"/>
      <c r="F6" s="210"/>
      <c r="G6" s="211"/>
    </row>
    <row r="7" spans="1:8" s="206" customFormat="1" ht="13.5" customHeight="1">
      <c r="A7" s="732" t="s">
        <v>1474</v>
      </c>
      <c r="B7" s="207" t="s">
        <v>1475</v>
      </c>
      <c r="C7" s="212" t="e">
        <f>ROUND(C6*F7,0)</f>
        <v>#DIV/0!</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2" t="s">
        <v>3443</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2" t="s">
        <v>3444</v>
      </c>
    </row>
    <row r="20" spans="1:7" s="206" customFormat="1" ht="13.5" customHeight="1">
      <c r="A20" s="247" t="s">
        <v>1574</v>
      </c>
      <c r="B20" s="202" t="s">
        <v>1575</v>
      </c>
      <c r="C20" s="224" t="e">
        <f ca="1">ROUND((C5+C19)*F20,0)</f>
        <v>#DIV/0!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#DIV/0!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#DIV/0!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#DIV/0!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t="e">
        <f ca="1">C28</f>
        <v>#DIV/0!</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64" t="s">
        <v>1591</v>
      </c>
    </row>
    <row r="43" spans="1:7" ht="13.5" customHeight="1">
      <c r="A43" s="734" t="s">
        <v>347</v>
      </c>
      <c r="B43" s="207" t="s">
        <v>1545</v>
      </c>
      <c r="C43" s="230" t="e">
        <f ca="1">ROUND(IF('数据-取费表'!B22&lt;=1,C39*F22*'数据-取费表'!B20/2,C39*(POWER((1+F22),'数据-取费表'!B20/2)-1)),0)</f>
        <v>#N/A</v>
      </c>
      <c r="D43" s="230"/>
      <c r="E43" s="230"/>
      <c r="F43" s="231"/>
      <c r="G43" s="3365"/>
    </row>
    <row r="44" spans="1:7" ht="13.5" customHeight="1">
      <c r="A44" s="734" t="s">
        <v>348</v>
      </c>
      <c r="B44" s="207" t="s">
        <v>1546</v>
      </c>
      <c r="C44" s="230">
        <f ca="1">ROUND(IF('数据-取费表'!B22&lt;=1,C40*F22*'数据-取费表'!B20/2,C40*(POWER((1+F22),'数据-取费表'!B20/2)-1)),4)</f>
        <v>5.9999999999999995E-4</v>
      </c>
      <c r="D44" s="230"/>
      <c r="E44" s="230"/>
      <c r="F44" s="231"/>
      <c r="G44" s="3366"/>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0.97</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-216</v>
      </c>
      <c r="C2" s="268" t="s">
        <v>1595</v>
      </c>
      <c r="D2" s="268"/>
      <c r="E2" s="2566"/>
      <c r="F2" s="2566"/>
      <c r="G2" s="2566"/>
      <c r="H2" s="2566"/>
      <c r="I2" s="2566"/>
      <c r="J2" s="2566"/>
      <c r="K2" s="2566"/>
    </row>
    <row r="3" spans="1:33" ht="18" customHeight="1" thickBot="1">
      <c r="A3" s="195" t="s">
        <v>1464</v>
      </c>
      <c r="B3" s="196">
        <f ca="1">ROUND(B2*10000/IF(C1="",'数据-汇总表'!E3,INDIRECT("'数据-取费表'!K"&amp;$K$1)),0)</f>
        <v>-228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6"/>
      <c r="D5" s="1716"/>
      <c r="E5" s="1716"/>
      <c r="F5" s="1716"/>
      <c r="G5" s="1716"/>
      <c r="H5" s="1716"/>
      <c r="I5" s="1716"/>
      <c r="J5" s="1716"/>
      <c r="K5" s="1716"/>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9456.5000000000018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9456.5000000000018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189</v>
      </c>
      <c r="D18" s="796"/>
      <c r="E18" s="21"/>
      <c r="F18" s="756"/>
      <c r="G18" s="1718"/>
      <c r="H18" s="1106"/>
      <c r="I18" s="1719"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189</v>
      </c>
      <c r="D20" s="796">
        <f ca="1">IF(C1="",'数据-汇总表'!E6,IF(INDIRECT("'数据-取费表'!c"&amp;$K$1)="住宅",INDIRECT("'数据-取费表'!s"&amp;$K$1),INDIRECT("'数据-取费表'!k"&amp;$K$1)+INDIRECT("'数据-取费表'!s"&amp;$K$1)))</f>
        <v>9456.5000000000018</v>
      </c>
      <c r="E20" s="21">
        <f>'数据-取费表'!B28</f>
        <v>200</v>
      </c>
      <c r="F20" s="756"/>
      <c r="G20" s="12"/>
      <c r="H20" s="761"/>
      <c r="I20" s="761"/>
      <c r="J20" s="761"/>
      <c r="K20" s="762"/>
    </row>
    <row r="21" spans="1:33" s="755" customFormat="1" ht="13.5" customHeight="1">
      <c r="A21" s="744" t="s">
        <v>357</v>
      </c>
      <c r="B21" s="765" t="s">
        <v>1628</v>
      </c>
      <c r="C21" s="766">
        <f ca="1">C16+C17+C18</f>
        <v>189</v>
      </c>
      <c r="D21" s="767"/>
      <c r="E21" s="273"/>
      <c r="F21" s="273"/>
      <c r="G21" s="123" t="s">
        <v>1629</v>
      </c>
      <c r="H21" s="759"/>
      <c r="I21" s="759"/>
      <c r="J21" s="759"/>
      <c r="K21" s="760"/>
    </row>
    <row r="22" spans="1:33" s="755" customFormat="1" ht="13.5" customHeight="1">
      <c r="A22" s="744" t="s">
        <v>1601</v>
      </c>
      <c r="B22" s="765" t="s">
        <v>1630</v>
      </c>
      <c r="C22" s="766">
        <f ca="1">ROUND(C21*F22,0)</f>
        <v>4</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9"/>
      <c r="I27" s="759"/>
      <c r="J27" s="759"/>
      <c r="K27" s="760"/>
    </row>
    <row r="28" spans="1:33" s="281" customFormat="1" ht="13.5" customHeight="1">
      <c r="A28" s="744" t="s">
        <v>1641</v>
      </c>
      <c r="B28" s="1721" t="s">
        <v>1642</v>
      </c>
      <c r="C28" s="279">
        <f ca="1">C30</f>
        <v>29</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29</v>
      </c>
      <c r="D30" s="276"/>
      <c r="E30" s="277"/>
      <c r="F30" s="282"/>
      <c r="G30" s="123"/>
      <c r="H30" s="759"/>
      <c r="I30" s="759"/>
      <c r="J30" s="759"/>
      <c r="K30" s="760"/>
    </row>
    <row r="31" spans="1:33" s="755" customFormat="1" ht="13.5" customHeight="1" thickBot="1">
      <c r="A31" s="1722"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-216</v>
      </c>
      <c r="D32" s="779"/>
      <c r="E32" s="779"/>
      <c r="F32" s="779"/>
      <c r="G32" s="781" t="s">
        <v>1650</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9" t="s">
        <v>694</v>
      </c>
      <c r="C6" s="1011">
        <f ca="1">ROUND(F6*F8*F7*(1-F9)/10000,0)</f>
        <v>0</v>
      </c>
      <c r="D6" s="147" t="s">
        <v>2109</v>
      </c>
      <c r="E6" s="294" t="s">
        <v>696</v>
      </c>
      <c r="F6" s="295">
        <f ca="1">INDIRECT("'数据-取费表'!u"&amp;$G$1)</f>
        <v>0</v>
      </c>
      <c r="G6" s="1292"/>
      <c r="H6" s="1006" t="s">
        <v>398</v>
      </c>
      <c r="I6" s="3369" t="s">
        <v>694</v>
      </c>
      <c r="J6" s="293">
        <f ca="1">ROUND(M6*M8*M7*(1-M9)/10000,0)</f>
        <v>0</v>
      </c>
      <c r="K6" s="147" t="s">
        <v>2108</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8">
        <f ca="1">ROUND(IF(AND(项目基本情况!B11="自然人",项目基本情况!B10="北京市"),C49*F59/(1+'数据-取费表'!C42),C60+C61+C62),0)</f>
        <v>0</v>
      </c>
      <c r="D59" s="909" t="s">
        <v>720</v>
      </c>
      <c r="E59" s="910" t="s">
        <v>721</v>
      </c>
      <c r="F59" s="2137"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1" zoomScaleNormal="80" zoomScaleSheetLayoutView="100" workbookViewId="0">
      <selection activeCell="L24" sqref="L24"/>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8" customWidth="1"/>
    <col min="33" max="36" width="9.33203125" style="1893" customWidth="1"/>
    <col min="37" max="38" width="9.33203125" style="1843" customWidth="1"/>
    <col min="39" max="16384" width="12" style="1843"/>
  </cols>
  <sheetData>
    <row r="1" spans="1:36" ht="31.2">
      <c r="A1" s="188" t="s">
        <v>1926</v>
      </c>
      <c r="B1" s="189"/>
      <c r="C1" s="193" t="s">
        <v>1927</v>
      </c>
      <c r="D1" s="333">
        <f>SUM(D33:D34,D37:D42)</f>
        <v>9456.5000000000018</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4" t="s">
        <v>1935</v>
      </c>
      <c r="D2" s="162" t="s">
        <v>1936</v>
      </c>
      <c r="E2" s="3119"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Ⅵ-顺2</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4" t="s">
        <v>1941</v>
      </c>
      <c r="D3" s="162" t="s">
        <v>1942</v>
      </c>
      <c r="E3" s="3117" t="s">
        <v>2439</v>
      </c>
      <c r="F3" s="1846" t="s">
        <v>3433</v>
      </c>
      <c r="G3" s="708">
        <f>IF(F3="宗地容积率",'数据-汇总表'!I4,IF(F3="估价对象容积率",'数据-汇总表'!I6,'数据-汇总表'!I7))</f>
        <v>0</v>
      </c>
      <c r="H3" s="162" t="s">
        <v>1943</v>
      </c>
      <c r="I3" s="729">
        <v>1</v>
      </c>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379"/>
      <c r="B4" s="3380"/>
      <c r="C4" s="3380"/>
      <c r="D4" s="3381"/>
      <c r="E4" s="3381"/>
      <c r="F4" s="3381"/>
      <c r="G4" s="3381"/>
      <c r="H4" s="3381"/>
      <c r="I4" s="3381"/>
      <c r="J4" s="3382"/>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6" customFormat="1" ht="15.6" thickBot="1">
      <c r="A5" s="1847" t="s">
        <v>362</v>
      </c>
      <c r="B5" s="1848" t="s">
        <v>1947</v>
      </c>
      <c r="C5" s="709">
        <f>ROUND(IF(E2="商业",C6*C7*C17+C20,(IF(E2="住宅",C6*C13*C17+C20,IF(E2="办公",C6*C12*C17+C20,C6+C20)))),0)</f>
        <v>10430</v>
      </c>
      <c r="D5" s="1252">
        <f>ROUND(C6*C17+C20,0)</f>
        <v>10430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t="e">
        <f t="shared" si="0"/>
        <v>#DIV/0!</v>
      </c>
      <c r="U5" s="1130"/>
      <c r="V5" s="3062" t="e">
        <f t="shared" si="1"/>
        <v>#DIV/0!</v>
      </c>
      <c r="W5" s="1133"/>
      <c r="X5" s="1133"/>
      <c r="Y5" s="1133"/>
      <c r="Z5" s="1133"/>
      <c r="AA5" s="1133"/>
      <c r="AB5" s="1133"/>
      <c r="AC5" s="1853"/>
      <c r="AD5" s="1854"/>
      <c r="AE5" s="1854"/>
      <c r="AF5" s="1854"/>
      <c r="AG5" s="1854"/>
      <c r="AH5" s="1854"/>
      <c r="AI5" s="1854"/>
      <c r="AJ5" s="1855"/>
    </row>
    <row r="6" spans="1:36" ht="15.6" thickBot="1">
      <c r="A6" s="1857" t="s">
        <v>1949</v>
      </c>
      <c r="B6" s="1858" t="s">
        <v>1950</v>
      </c>
      <c r="C6" s="710">
        <f>SUMIF(L1:L12,G2,M1:M12)</f>
        <v>10430</v>
      </c>
      <c r="D6" s="1859"/>
      <c r="E6" s="1860"/>
      <c r="F6" s="1860"/>
      <c r="G6" s="1861"/>
      <c r="H6" s="1861"/>
      <c r="I6" s="1861"/>
      <c r="J6" s="1862"/>
      <c r="K6" s="1292"/>
      <c r="L6" s="1845" t="s">
        <v>1951</v>
      </c>
      <c r="M6" s="811">
        <f>SUMPRODUCT((区片价!B127:B189=I2)*(区片价!C3:G3=E2)*(区片价!C127:G189))</f>
        <v>10430</v>
      </c>
      <c r="N6" s="813">
        <f>SUMPRODUCT((因素修正幅度!B127:B189=I2)*(因素修正幅度!C3:G3=E2)*(因素修正幅度!C127:G189))</f>
        <v>0.1</v>
      </c>
      <c r="O6" s="1056"/>
      <c r="P6" s="1056"/>
      <c r="Q6" s="1056"/>
      <c r="R6" s="1129">
        <v>5</v>
      </c>
      <c r="S6" s="3062">
        <f>ROUND(SUMPRODUCT((B106:B110=R6)*(C105:N105=G2)*(C106:N110)),4)</f>
        <v>0.84799999999999998</v>
      </c>
      <c r="T6" s="3062" t="e">
        <f t="shared" si="0"/>
        <v>#DIV/0!</v>
      </c>
      <c r="U6" s="1130"/>
      <c r="V6" s="3062" t="e">
        <f t="shared" si="1"/>
        <v>#DIV/0!</v>
      </c>
      <c r="W6" s="1133"/>
      <c r="X6" s="1133"/>
      <c r="Y6" s="1133"/>
      <c r="Z6" s="1133"/>
      <c r="AA6" s="1133"/>
      <c r="AB6" s="1133"/>
      <c r="AC6" s="1853"/>
      <c r="AD6" s="1854"/>
      <c r="AE6" s="1854"/>
      <c r="AF6" s="1854"/>
      <c r="AG6" s="1854"/>
      <c r="AH6" s="1854"/>
      <c r="AI6" s="1854"/>
      <c r="AJ6" s="1855"/>
    </row>
    <row r="7" spans="1:36" ht="24.6" thickBot="1">
      <c r="A7" s="3011" t="s">
        <v>3237</v>
      </c>
      <c r="B7" s="1863" t="s">
        <v>1952</v>
      </c>
      <c r="C7" s="711">
        <f>IF(C8="不临65条商业街",1,ROUND(1+(1.6*E8+1.2*E9+0.8*E10+0.4*E11)*C9,4))</f>
        <v>1</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t="str">
        <f>G2</f>
        <v>六级</v>
      </c>
      <c r="Y7" s="1131" t="s">
        <v>1956</v>
      </c>
      <c r="Z7" s="1132">
        <f>G3</f>
        <v>0</v>
      </c>
      <c r="AA7" s="1133"/>
      <c r="AB7" s="1133"/>
      <c r="AC7" s="1134"/>
      <c r="AD7" s="1135"/>
      <c r="AE7" s="1135"/>
      <c r="AF7" s="1135"/>
      <c r="AG7" s="1135"/>
      <c r="AH7" s="1135"/>
      <c r="AI7" s="1135"/>
      <c r="AJ7" s="1136"/>
    </row>
    <row r="8" spans="1:36" ht="26.4">
      <c r="A8" s="3008"/>
      <c r="B8" s="162" t="s">
        <v>1957</v>
      </c>
      <c r="C8" s="1868" t="s">
        <v>3434</v>
      </c>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376" t="s">
        <v>1960</v>
      </c>
      <c r="X8" s="337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378"/>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37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6" t="s">
        <v>1982</v>
      </c>
      <c r="C13" s="711">
        <f>ROUND(C16*D16*E16*F16*G16*H16*I16*J16,4)</f>
        <v>0</v>
      </c>
      <c r="D13" s="1877" t="s">
        <v>1983</v>
      </c>
      <c r="E13" s="1878"/>
      <c r="F13" s="1878"/>
      <c r="G13" s="1879"/>
      <c r="H13" s="1879"/>
      <c r="I13" s="1879"/>
      <c r="J13" s="1880"/>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1" t="s">
        <v>1985</v>
      </c>
      <c r="C14" s="1882"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69" t="s">
        <v>3244</v>
      </c>
      <c r="G15" s="1926"/>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2"/>
      <c r="M16" s="1842"/>
      <c r="N16" s="1842"/>
      <c r="O16" s="1842"/>
      <c r="P16" s="1842"/>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3.8">
      <c r="A18" s="3037"/>
      <c r="B18" s="2308"/>
      <c r="C18" s="3033"/>
      <c r="D18" s="3028" t="s">
        <v>3248</v>
      </c>
      <c r="E18" s="2355"/>
      <c r="F18" s="3029" t="s">
        <v>3251</v>
      </c>
      <c r="G18" s="3033">
        <f>ROUND(1-(1/(POWER(1+G24,E18))),4)</f>
        <v>0</v>
      </c>
      <c r="H18" s="3029" t="s">
        <v>3253</v>
      </c>
      <c r="I18" s="3033">
        <f>ROUND(1-(1/(POWER(1+G24,J24))),4)</f>
        <v>0.88249999999999995</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4.4" thickBot="1">
      <c r="A19" s="3039"/>
      <c r="B19" s="3040"/>
      <c r="C19" s="3041"/>
      <c r="D19" s="3041" t="s">
        <v>3249</v>
      </c>
      <c r="E19" s="3042"/>
      <c r="F19" s="3043" t="s">
        <v>3252</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3.8">
      <c r="A20" s="3383" t="s">
        <v>3254</v>
      </c>
      <c r="B20" s="159" t="s">
        <v>1994</v>
      </c>
      <c r="C20" s="3030">
        <f>ROUND(IF(F21="与级别开发程度一致",0,(G21-E21)/C21),0)</f>
        <v>0</v>
      </c>
      <c r="D20" s="3045" t="s">
        <v>1998</v>
      </c>
      <c r="E20" s="3046"/>
      <c r="F20" s="3389" t="s">
        <v>1995</v>
      </c>
      <c r="G20" s="3390"/>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7" thickBot="1">
      <c r="A21" s="3384"/>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3435</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 thickBot="1">
      <c r="A22" s="1994" t="s">
        <v>363</v>
      </c>
      <c r="B22" s="1995" t="s">
        <v>2000</v>
      </c>
      <c r="C22" s="1996">
        <f>SUMIF(修正!C20:C53,E3,修正!E20:E53)</f>
        <v>1</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1894" t="s">
        <v>2002</v>
      </c>
      <c r="E23" s="717">
        <v>44197</v>
      </c>
      <c r="F23" s="1894" t="s">
        <v>2003</v>
      </c>
      <c r="G23" s="718">
        <f>'数据-取费表'!B2</f>
        <v>46013</v>
      </c>
      <c r="H23" s="3047" t="s">
        <v>3436</v>
      </c>
      <c r="I23" s="3048" t="str">
        <f>IF(H23="季度增幅（自定义）",SUMIF(N25:N28,E2,O25:O28),"")</f>
        <v/>
      </c>
      <c r="J23" s="3140" t="s">
        <v>3437</v>
      </c>
      <c r="K23" s="1061"/>
      <c r="L23" s="1895" t="s">
        <v>2004</v>
      </c>
      <c r="M23" s="1241">
        <f>ROUND(SUMIF(地价!B2:G2,E2,地价!B16:G16),0)</f>
        <v>350</v>
      </c>
      <c r="N23" s="1896"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6" thickBot="1">
      <c r="A24" s="1898" t="s">
        <v>365</v>
      </c>
      <c r="B24" s="1899" t="s">
        <v>2006</v>
      </c>
      <c r="C24" s="720" t="e">
        <f>ROUND(POWER(1+G24,J24-I24)*(POWER(1+G24,I24)-1)/(POWER(1+G24,J24)-1),4)</f>
        <v>#DIV/0!</v>
      </c>
      <c r="D24" s="1900" t="s">
        <v>2007</v>
      </c>
      <c r="E24" s="1248">
        <f>存贷款利率!E28/100</f>
        <v>4.3499999999999997E-2</v>
      </c>
      <c r="F24" s="1900" t="s">
        <v>1999</v>
      </c>
      <c r="G24" s="724">
        <f>SUMIF(M30:Q30,E2,M33:Q33)</f>
        <v>5.5E-2</v>
      </c>
      <c r="H24" s="1900" t="s">
        <v>2008</v>
      </c>
      <c r="I24" s="725" t="e">
        <f>SUMIF('数据-取费表'!C6:C15,E2,'数据-取费表'!F6:F15)/COUNTIF('数据-取费表'!C6:C15,E2)</f>
        <v>#DIV/0!</v>
      </c>
      <c r="J24" s="726">
        <f>IF(E2="住宅",70,IF(E2="商业",40,50))</f>
        <v>40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5" t="s">
        <v>366</v>
      </c>
      <c r="B25" s="1906" t="s">
        <v>3438</v>
      </c>
      <c r="C25" s="461">
        <f>IF(B25="容积率修正",IF(G3&lt;10,D26,J26),C27)</f>
        <v>1.5019</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4">
      <c r="A26" s="1804" t="s">
        <v>2014</v>
      </c>
      <c r="B26" s="1910" t="s">
        <v>2015</v>
      </c>
      <c r="C26" s="1910"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3256</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 thickBot="1">
      <c r="A27" s="1804" t="s">
        <v>2017</v>
      </c>
      <c r="B27" s="1911" t="s">
        <v>2018</v>
      </c>
      <c r="C27" s="791">
        <f>ROUND(IF(I3&lt;6,SUMPRODUCT((B106:B110=I3)*(C105:N105=G2)*(C106:N110)),SUMIF(C105:N105,G2,C112:N112)),4)</f>
        <v>1.5019</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 thickBot="1">
      <c r="A28" s="1898" t="s">
        <v>367</v>
      </c>
      <c r="B28" s="1891" t="s">
        <v>2020</v>
      </c>
      <c r="C28" s="716">
        <f>SUMIF(A47:A101,E2,B47:B101)</f>
        <v>1.0325</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4.4">
      <c r="A30" s="1922"/>
      <c r="B30" s="1910" t="s">
        <v>2024</v>
      </c>
      <c r="C30" s="2143" t="e">
        <f>IF(B25="容积率修正",E33+SUM(E37:E42),SUM(V2:V16)+SUM(E37:E42))</f>
        <v>#DIV/0!</v>
      </c>
      <c r="D30" s="1923"/>
      <c r="E30" s="1840"/>
      <c r="F30" s="1924"/>
      <c r="G30" s="1840"/>
      <c r="H30" s="1840"/>
      <c r="I30" s="1840"/>
      <c r="J30" s="1925"/>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 thickBot="1">
      <c r="A31" s="1922"/>
      <c r="B31" s="1926" t="s">
        <v>2025</v>
      </c>
      <c r="C31" s="722" t="e">
        <f>E34+SUM(I37:I42)</f>
        <v>#DIV/0!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3.8">
      <c r="A33" s="1936"/>
      <c r="B33" s="1937" t="s">
        <v>2030</v>
      </c>
      <c r="C33" s="167" t="e">
        <f>ROUND(C5*C22*C23*C24*C25*C28,0)</f>
        <v>#DIV/0!</v>
      </c>
      <c r="D33" s="1938">
        <f>'数据-汇总表'!E19</f>
        <v>9456.5000000000018</v>
      </c>
      <c r="E33" s="727" t="e">
        <f>ROUND(C33*D33/10000,0)</f>
        <v>#DIV/0!</v>
      </c>
      <c r="F33" s="3049" t="s">
        <v>3258</v>
      </c>
      <c r="G33" s="1939"/>
      <c r="H33" s="1939"/>
      <c r="I33" s="1939"/>
      <c r="J33" s="1940"/>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8"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3259</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3263</v>
      </c>
      <c r="L36" s="3141">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6" thickBot="1">
      <c r="A37" s="3387"/>
      <c r="B37" s="1953" t="s">
        <v>2036</v>
      </c>
      <c r="C37" s="167" t="e">
        <f>ROUND(D5*C22*C23*C24*C28*F37,0)</f>
        <v>#DIV/0!</v>
      </c>
      <c r="D37" s="1938"/>
      <c r="E37" s="163" t="e">
        <f>ROUND(C37*D37/10000,0)</f>
        <v>#DIV/0!</v>
      </c>
      <c r="F37" s="163">
        <f>SUMIF(修正!A59:A70,G2,修正!B59:B70)</f>
        <v>0.6</v>
      </c>
      <c r="G37" s="163" t="e">
        <f>ROUND(IF(E2="工业",C37*$M$42,C37*$M$41),0)</f>
        <v>#DIV/0!</v>
      </c>
      <c r="H37" s="163">
        <f>D37</f>
        <v>0</v>
      </c>
      <c r="I37" s="163" t="e">
        <f>ROUND(G37*H37/10000,0)</f>
        <v>#DIV/0!</v>
      </c>
      <c r="J37" s="2753"/>
      <c r="K37" s="3060" t="s">
        <v>3264</v>
      </c>
      <c r="L37" s="1962">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388"/>
      <c r="B38" s="1882" t="s">
        <v>2037</v>
      </c>
      <c r="C38" s="167" t="e">
        <f>ROUND(D5*C22*C23*C24*C28*F38,0)</f>
        <v>#DIV/0!</v>
      </c>
      <c r="D38" s="1938"/>
      <c r="E38" s="163" t="e">
        <f t="shared" ref="E38:E42" si="4">ROUND(C38*D38/10000,0)</f>
        <v>#DIV/0!</v>
      </c>
      <c r="F38" s="163">
        <f>SUMIF(修正!A59:A70,G2,修正!C59:C70)</f>
        <v>0.3</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8" thickBot="1">
      <c r="A39" s="3388"/>
      <c r="B39" s="1882" t="s">
        <v>3257</v>
      </c>
      <c r="C39" s="167" t="e">
        <f>ROUND(D5*C22*C23*C24*C28*F39,0)</f>
        <v>#DIV/0!</v>
      </c>
      <c r="D39" s="1938"/>
      <c r="E39" s="163" t="e">
        <f t="shared" si="4"/>
        <v>#DIV/0!</v>
      </c>
      <c r="F39" s="163">
        <f>SUMIF(修正!A59:A70,G2,修正!D59:D70)</f>
        <v>0.25</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SUMIF(修正!A59:A70,G2,修正!E59:E70)</f>
        <v>0.25</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SUMIF(修正!A59:A70,G2,修正!F59:F70)</f>
        <v>0.25</v>
      </c>
      <c r="G41" s="163">
        <f>ROUND(IF(E2="工业",C41*$M$42,C41*$M$41),0)</f>
        <v>0</v>
      </c>
      <c r="H41" s="163">
        <f t="shared" si="5"/>
        <v>0</v>
      </c>
      <c r="I41" s="163">
        <f t="shared" si="6"/>
        <v>0</v>
      </c>
      <c r="J41" s="939"/>
      <c r="L41" s="3061" t="s">
        <v>3265</v>
      </c>
      <c r="M41" s="1957">
        <v>0.25</v>
      </c>
      <c r="Z41" s="1057"/>
      <c r="AA41" s="1057"/>
      <c r="AB41" s="1057"/>
      <c r="AC41" s="1057"/>
      <c r="AD41" s="1057"/>
      <c r="AE41" s="1057"/>
      <c r="AF41" s="1057"/>
      <c r="AG41" s="1057"/>
      <c r="AH41" s="1057"/>
      <c r="AI41" s="1057"/>
      <c r="AJ41" s="1057"/>
    </row>
    <row r="42" spans="1:37" s="1056" customFormat="1" ht="13.8" thickBot="1">
      <c r="A42" s="1941"/>
      <c r="B42" s="1958" t="s">
        <v>2041</v>
      </c>
      <c r="C42" s="179">
        <f>ROUND(D5*C22*C23*C44*C28*F42,0)</f>
        <v>0</v>
      </c>
      <c r="D42" s="1943"/>
      <c r="E42" s="179">
        <f t="shared" si="4"/>
        <v>0</v>
      </c>
      <c r="F42" s="723">
        <f>SUMIF(修正!A59:A70,G2,修正!G59:G70)</f>
        <v>0.15</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0" t="s">
        <v>2122</v>
      </c>
      <c r="C44" s="333">
        <f>ROUND(POWER(1+E44,H44-G44)*(POWER(1+E44,G44)-1)/(POWER(1+E44,H44)-1),4)</f>
        <v>0</v>
      </c>
      <c r="D44" s="163" t="s">
        <v>1999</v>
      </c>
      <c r="E44" s="1989">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 thickBot="1">
      <c r="A47" s="1963" t="s">
        <v>2042</v>
      </c>
      <c r="B47" s="1964"/>
      <c r="C47" s="4"/>
      <c r="D47" s="4"/>
      <c r="E47" s="4"/>
      <c r="F47" s="3"/>
      <c r="G47" s="3"/>
      <c r="H47" s="3"/>
      <c r="I47" s="1679"/>
      <c r="J47" s="1679"/>
      <c r="K47" s="1679"/>
      <c r="L47" s="1679"/>
      <c r="M47" s="1679"/>
      <c r="AA47" s="1057"/>
      <c r="AB47" s="1057"/>
      <c r="AC47" s="1057"/>
      <c r="AD47" s="1057"/>
      <c r="AE47" s="1057"/>
      <c r="AF47" s="1057"/>
      <c r="AG47" s="1057"/>
      <c r="AH47" s="1057"/>
      <c r="AI47" s="1057"/>
      <c r="AJ47" s="1057"/>
      <c r="AK47" s="1057"/>
    </row>
    <row r="48" spans="1:37" s="1056" customFormat="1" ht="14.4">
      <c r="A48" s="1965" t="s">
        <v>2043</v>
      </c>
      <c r="B48" s="1966">
        <f>1+E50</f>
        <v>1.0325</v>
      </c>
      <c r="C48" s="1724"/>
      <c r="D48" s="699"/>
      <c r="E48" s="700"/>
      <c r="F48" s="1967"/>
      <c r="G48" s="3"/>
      <c r="H48" s="4"/>
      <c r="I48" s="1679"/>
      <c r="J48" s="1679"/>
      <c r="K48" s="1679"/>
      <c r="L48" s="1679"/>
      <c r="M48" s="1679"/>
      <c r="AA48" s="1057"/>
      <c r="AB48" s="1057"/>
      <c r="AC48" s="1057"/>
      <c r="AD48" s="1057"/>
      <c r="AE48" s="1057"/>
      <c r="AF48" s="1057"/>
      <c r="AG48" s="1057"/>
      <c r="AH48" s="1057"/>
      <c r="AI48" s="1057"/>
      <c r="AJ48" s="1057"/>
      <c r="AK48" s="1057"/>
    </row>
    <row r="49" spans="1:37" s="1056" customFormat="1" ht="25.2">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8" t="s">
        <v>2052</v>
      </c>
      <c r="B50" s="1971" t="str">
        <f>估价对象房地状况!C4</f>
        <v>估价对象位于XX商圈，周边商业氛围成熟，人流量大，商业繁华度好</v>
      </c>
      <c r="C50" s="1885" t="s">
        <v>3439</v>
      </c>
      <c r="D50" s="1002">
        <f t="shared" ref="D50:D58" si="7">SUMIF($J$49:$N$49,C50,J50:N50)</f>
        <v>1.4999999999999999E-2</v>
      </c>
      <c r="E50" s="702">
        <f>ROUND(SUM(D50:D58),4)</f>
        <v>3.2500000000000001E-2</v>
      </c>
      <c r="F50" s="1673">
        <f>IF(E2="商业",SUMIF(L1:L12,G2,N1:N12),"——")</f>
        <v>0.1</v>
      </c>
      <c r="G50" s="1000">
        <v>1.4999999999999999E-2</v>
      </c>
      <c r="H50" s="1003">
        <f t="shared" ref="H50:H58" si="8">IFERROR(ROUNDDOWN($F$50*I50/2,4),"——")</f>
        <v>1.4999999999999999E-2</v>
      </c>
      <c r="I50" s="3067">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52.8">
      <c r="A51" s="1968" t="s">
        <v>2053</v>
      </c>
      <c r="B51" s="1262" t="str">
        <f>估价对象房地状况!C18</f>
        <v>估价对象周边道路状况、公共交通通达情况、停车便捷程度，综合评价交通便捷度较好</v>
      </c>
      <c r="C51" s="1885" t="s">
        <v>3440</v>
      </c>
      <c r="D51" s="1002">
        <f t="shared" si="7"/>
        <v>0</v>
      </c>
      <c r="E51" s="703"/>
      <c r="F51" s="1673"/>
      <c r="G51" s="1000">
        <v>1.0999999999999999E-2</v>
      </c>
      <c r="H51" s="1003">
        <f t="shared" si="8"/>
        <v>1.0999999999999999E-2</v>
      </c>
      <c r="I51" s="3067">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5" t="s">
        <v>3439</v>
      </c>
      <c r="D52" s="1002">
        <f t="shared" si="7"/>
        <v>6.0000000000000001E-3</v>
      </c>
      <c r="E52" s="703"/>
      <c r="F52" s="1673"/>
      <c r="G52" s="1000">
        <v>6.0000000000000001E-3</v>
      </c>
      <c r="H52" s="1003">
        <f t="shared" si="8"/>
        <v>6.0000000000000001E-3</v>
      </c>
      <c r="I52" s="3067">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7.200000000000003">
      <c r="A53" s="1968" t="s">
        <v>2054</v>
      </c>
      <c r="B53" s="1972" t="s">
        <v>2055</v>
      </c>
      <c r="C53" s="1885" t="s">
        <v>3440</v>
      </c>
      <c r="D53" s="1002">
        <f t="shared" si="7"/>
        <v>0</v>
      </c>
      <c r="E53" s="703"/>
      <c r="F53" s="1673"/>
      <c r="G53" s="1000">
        <v>2.5000000000000001E-3</v>
      </c>
      <c r="H53" s="1003">
        <f t="shared" si="8"/>
        <v>2.5000000000000001E-3</v>
      </c>
      <c r="I53" s="3067">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t="s">
        <v>3441</v>
      </c>
      <c r="D54" s="1002">
        <f t="shared" si="7"/>
        <v>-4.0000000000000001E-3</v>
      </c>
      <c r="E54" s="703"/>
      <c r="F54" s="1673"/>
      <c r="G54" s="1000">
        <v>4.0000000000000001E-3</v>
      </c>
      <c r="H54" s="1003">
        <f t="shared" si="8"/>
        <v>4.0000000000000001E-3</v>
      </c>
      <c r="I54" s="3067">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36">
      <c r="A55" s="1968" t="s">
        <v>2057</v>
      </c>
      <c r="B55" s="1973" t="s">
        <v>2058</v>
      </c>
      <c r="C55" s="1885" t="s">
        <v>3439</v>
      </c>
      <c r="D55" s="1002">
        <f t="shared" si="7"/>
        <v>2.5000000000000001E-3</v>
      </c>
      <c r="E55" s="703"/>
      <c r="F55" s="1673"/>
      <c r="G55" s="1000">
        <v>2.5000000000000001E-3</v>
      </c>
      <c r="H55" s="1003">
        <f t="shared" si="8"/>
        <v>2.5000000000000001E-3</v>
      </c>
      <c r="I55" s="3067">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6.4">
      <c r="A56" s="1974" t="s">
        <v>2059</v>
      </c>
      <c r="B56" s="1240" t="str">
        <f>估价对象房地状况!C21</f>
        <v>估价对象所在区域公共配套设施齐备情况</v>
      </c>
      <c r="C56" s="1885" t="s">
        <v>3439</v>
      </c>
      <c r="D56" s="1002">
        <f t="shared" si="7"/>
        <v>2.5000000000000001E-3</v>
      </c>
      <c r="E56" s="703"/>
      <c r="F56" s="1673"/>
      <c r="G56" s="1000">
        <v>2.5000000000000001E-3</v>
      </c>
      <c r="H56" s="1003">
        <f t="shared" si="8"/>
        <v>2.5000000000000001E-3</v>
      </c>
      <c r="I56" s="3067">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6.4">
      <c r="A57" s="1974" t="s">
        <v>2060</v>
      </c>
      <c r="B57" s="1262" t="str">
        <f>估价对象房地状况!C22</f>
        <v>估价对象所在区域基础设施水平</v>
      </c>
      <c r="C57" s="1885" t="s">
        <v>3442</v>
      </c>
      <c r="D57" s="1002">
        <f t="shared" si="7"/>
        <v>8.0000000000000002E-3</v>
      </c>
      <c r="E57" s="703"/>
      <c r="F57" s="1673"/>
      <c r="G57" s="1000">
        <v>4.0000000000000001E-3</v>
      </c>
      <c r="H57" s="1003">
        <f t="shared" si="8"/>
        <v>4.0000000000000001E-3</v>
      </c>
      <c r="I57" s="3067">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40.200000000000003" thickBot="1">
      <c r="A58" s="1975" t="s">
        <v>2061</v>
      </c>
      <c r="B58" s="1976" t="str">
        <f>估价对象房地状况!C20</f>
        <v>区域自然环境：；人文环境；综合评价环境状况一般</v>
      </c>
      <c r="C58" s="1885" t="s">
        <v>3439</v>
      </c>
      <c r="D58" s="1002">
        <f t="shared" si="7"/>
        <v>2.5000000000000001E-3</v>
      </c>
      <c r="E58" s="704"/>
      <c r="F58" s="1673"/>
      <c r="G58" s="1000">
        <v>2.5000000000000001E-3</v>
      </c>
      <c r="H58" s="1003">
        <f t="shared" si="8"/>
        <v>2.5000000000000001E-3</v>
      </c>
      <c r="I58" s="3068">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4.4">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3"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8" t="s">
        <v>2053</v>
      </c>
      <c r="B62" s="1262" t="str">
        <f>估价对象房地状况!C18</f>
        <v>估价对象周边道路状况、公共交通通达情况、停车便捷程度，综合评价交通便捷度较好</v>
      </c>
      <c r="C62" s="1885"/>
      <c r="D62" s="1002">
        <f t="shared" si="12"/>
        <v>0</v>
      </c>
      <c r="E62" s="703"/>
      <c r="F62" s="1673"/>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5"/>
      <c r="D63" s="1002">
        <f t="shared" si="12"/>
        <v>0</v>
      </c>
      <c r="E63" s="703"/>
      <c r="F63" s="1673"/>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8" t="s">
        <v>2054</v>
      </c>
      <c r="B64" s="1972" t="s">
        <v>2055</v>
      </c>
      <c r="C64" s="1885"/>
      <c r="D64" s="1002">
        <f t="shared" si="12"/>
        <v>0</v>
      </c>
      <c r="E64" s="703"/>
      <c r="F64" s="1673"/>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c r="D65" s="1002">
        <f t="shared" si="12"/>
        <v>0</v>
      </c>
      <c r="E65" s="703"/>
      <c r="F65" s="1673"/>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8" t="s">
        <v>2057</v>
      </c>
      <c r="B66" s="1973" t="s">
        <v>2058</v>
      </c>
      <c r="C66" s="1885"/>
      <c r="D66" s="1002">
        <f t="shared" si="12"/>
        <v>0</v>
      </c>
      <c r="E66" s="703"/>
      <c r="F66" s="1673"/>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8" t="s">
        <v>2059</v>
      </c>
      <c r="B67" s="1240" t="str">
        <f>估价对象房地状况!C21</f>
        <v>估价对象所在区域公共配套设施齐备情况</v>
      </c>
      <c r="C67" s="1885"/>
      <c r="D67" s="1002">
        <f t="shared" si="12"/>
        <v>0</v>
      </c>
      <c r="E67" s="703"/>
      <c r="F67" s="1673"/>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8" t="s">
        <v>2060</v>
      </c>
      <c r="B68" s="1240" t="str">
        <f>估价对象房地状况!C22</f>
        <v>估价对象所在区域基础设施水平</v>
      </c>
      <c r="C68" s="1885"/>
      <c r="D68" s="1002">
        <f t="shared" si="12"/>
        <v>0</v>
      </c>
      <c r="E68" s="703"/>
      <c r="F68" s="1673"/>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5" t="s">
        <v>2061</v>
      </c>
      <c r="B69" s="1977" t="str">
        <f>估价对象房地状况!C20</f>
        <v>区域自然环境：；人文环境；综合评价环境状况一般</v>
      </c>
      <c r="C69" s="1885"/>
      <c r="D69" s="1002">
        <f t="shared" si="12"/>
        <v>0</v>
      </c>
      <c r="E69" s="704"/>
      <c r="F69" s="1673"/>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3"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8" t="s">
        <v>2053</v>
      </c>
      <c r="B73" s="1262" t="str">
        <f>估价对象房地状况!C18</f>
        <v>估价对象周边道路状况、公共交通通达情况、停车便捷程度，综合评价交通便捷度较好</v>
      </c>
      <c r="C73" s="1885"/>
      <c r="D73" s="1002">
        <f t="shared" si="17"/>
        <v>0</v>
      </c>
      <c r="E73" s="705"/>
      <c r="F73" s="1673"/>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48">
      <c r="A74" s="3069" t="s">
        <v>3267</v>
      </c>
      <c r="B74" s="1262">
        <f>估价对象房地状况!C19</f>
        <v>0</v>
      </c>
      <c r="C74" s="1885"/>
      <c r="D74" s="1002">
        <f t="shared" si="17"/>
        <v>0</v>
      </c>
      <c r="E74" s="705"/>
      <c r="F74" s="1673"/>
      <c r="G74" s="1000"/>
      <c r="H74" s="1003" t="str">
        <f t="shared" si="18"/>
        <v>——</v>
      </c>
      <c r="I74" s="3067">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3.8">
      <c r="A75" s="1968" t="s">
        <v>2067</v>
      </c>
      <c r="B75" s="1262">
        <f>估价对象房地状况!C24</f>
        <v>0</v>
      </c>
      <c r="C75" s="1885"/>
      <c r="D75" s="1002">
        <f t="shared" si="17"/>
        <v>0</v>
      </c>
      <c r="E75" s="705"/>
      <c r="F75" s="1673"/>
      <c r="G75" s="1000"/>
      <c r="H75" s="1003" t="str">
        <f t="shared" si="18"/>
        <v>——</v>
      </c>
      <c r="I75" s="3067">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6.4">
      <c r="A76" s="1968" t="s">
        <v>2059</v>
      </c>
      <c r="B76" s="1240" t="str">
        <f>估价对象房地状况!C21</f>
        <v>估价对象所在区域公共配套设施齐备情况</v>
      </c>
      <c r="C76" s="1885"/>
      <c r="D76" s="1002">
        <f t="shared" si="17"/>
        <v>0</v>
      </c>
      <c r="E76" s="705"/>
      <c r="F76" s="1673"/>
      <c r="G76" s="1000"/>
      <c r="H76" s="1003" t="str">
        <f t="shared" si="18"/>
        <v>——</v>
      </c>
      <c r="I76" s="3067">
        <v>0.08</v>
      </c>
      <c r="J76" s="1001">
        <f t="shared" si="19"/>
        <v>0</v>
      </c>
      <c r="K76" s="1001">
        <f t="shared" si="20"/>
        <v>0</v>
      </c>
      <c r="L76" s="1001">
        <v>0</v>
      </c>
      <c r="M76" s="1001">
        <f t="shared" si="21"/>
        <v>0</v>
      </c>
      <c r="N76" s="1001">
        <f t="shared" si="21"/>
        <v>0</v>
      </c>
      <c r="O76" s="1056"/>
      <c r="P76" s="1056"/>
      <c r="Z76" s="1843"/>
      <c r="AA76" s="1893"/>
      <c r="AG76" s="1058"/>
      <c r="AK76" s="1893"/>
    </row>
    <row r="77" spans="1:37" ht="26.4">
      <c r="A77" s="1968" t="s">
        <v>2060</v>
      </c>
      <c r="B77" s="1240" t="str">
        <f>估价对象房地状况!C22</f>
        <v>估价对象所在区域基础设施水平</v>
      </c>
      <c r="C77" s="1885"/>
      <c r="D77" s="1002">
        <f t="shared" si="17"/>
        <v>0</v>
      </c>
      <c r="E77" s="705"/>
      <c r="F77" s="1673"/>
      <c r="G77" s="1000"/>
      <c r="H77" s="1003" t="str">
        <f t="shared" si="18"/>
        <v>——</v>
      </c>
      <c r="I77" s="3067">
        <v>0.09</v>
      </c>
      <c r="J77" s="1001">
        <f t="shared" si="19"/>
        <v>0</v>
      </c>
      <c r="K77" s="1001">
        <f t="shared" si="20"/>
        <v>0</v>
      </c>
      <c r="L77" s="1001">
        <v>0</v>
      </c>
      <c r="M77" s="1001">
        <f t="shared" si="21"/>
        <v>0</v>
      </c>
      <c r="N77" s="1001">
        <f t="shared" si="21"/>
        <v>0</v>
      </c>
      <c r="O77" s="1056"/>
      <c r="P77" s="1056"/>
      <c r="Z77" s="1843"/>
      <c r="AA77" s="1893"/>
      <c r="AG77" s="1058"/>
      <c r="AK77" s="1893"/>
    </row>
    <row r="78" spans="1:37" ht="36">
      <c r="A78" s="1968" t="s">
        <v>2057</v>
      </c>
      <c r="B78" s="1973" t="s">
        <v>2058</v>
      </c>
      <c r="C78" s="1885"/>
      <c r="D78" s="1002">
        <f t="shared" si="17"/>
        <v>0</v>
      </c>
      <c r="E78" s="705"/>
      <c r="F78" s="1673"/>
      <c r="G78" s="1000"/>
      <c r="H78" s="1003" t="str">
        <f t="shared" si="18"/>
        <v>——</v>
      </c>
      <c r="I78" s="3067">
        <v>0.05</v>
      </c>
      <c r="J78" s="1001">
        <f t="shared" si="19"/>
        <v>0</v>
      </c>
      <c r="K78" s="1001">
        <f t="shared" si="20"/>
        <v>0</v>
      </c>
      <c r="L78" s="1001">
        <v>0</v>
      </c>
      <c r="M78" s="1001">
        <f t="shared" si="21"/>
        <v>0</v>
      </c>
      <c r="N78" s="1001">
        <f t="shared" si="21"/>
        <v>0</v>
      </c>
      <c r="O78" s="1842"/>
      <c r="P78" s="1842"/>
      <c r="Z78" s="1843"/>
      <c r="AA78" s="1893"/>
      <c r="AG78" s="1058"/>
      <c r="AK78" s="1893"/>
    </row>
    <row r="79" spans="1:37" ht="39.6">
      <c r="A79" s="1968" t="s">
        <v>2061</v>
      </c>
      <c r="B79" s="1971" t="str">
        <f>估价对象房地状况!C20</f>
        <v>区域自然环境：；人文环境；综合评价环境状况一般</v>
      </c>
      <c r="C79" s="1885"/>
      <c r="D79" s="1002">
        <f t="shared" si="17"/>
        <v>0</v>
      </c>
      <c r="E79" s="705"/>
      <c r="F79" s="1673"/>
      <c r="G79" s="1000"/>
      <c r="H79" s="1003" t="str">
        <f t="shared" si="18"/>
        <v>——</v>
      </c>
      <c r="I79" s="3067">
        <v>0.12</v>
      </c>
      <c r="J79" s="1001">
        <f t="shared" si="19"/>
        <v>0</v>
      </c>
      <c r="K79" s="1001">
        <f t="shared" si="20"/>
        <v>0</v>
      </c>
      <c r="L79" s="1001">
        <v>0</v>
      </c>
      <c r="M79" s="1001">
        <f t="shared" si="21"/>
        <v>0</v>
      </c>
      <c r="N79" s="1001">
        <f t="shared" si="21"/>
        <v>0</v>
      </c>
      <c r="Z79" s="1843"/>
      <c r="AA79" s="1893"/>
      <c r="AG79" s="1058"/>
      <c r="AK79" s="1893"/>
    </row>
    <row r="80" spans="1:37" ht="36.6" thickBot="1">
      <c r="A80" s="1975" t="s">
        <v>2068</v>
      </c>
      <c r="B80" s="1979"/>
      <c r="C80" s="1885"/>
      <c r="D80" s="1002">
        <f t="shared" si="17"/>
        <v>0</v>
      </c>
      <c r="E80" s="706"/>
      <c r="F80" s="1673"/>
      <c r="G80" s="1000"/>
      <c r="H80" s="1003" t="str">
        <f t="shared" si="18"/>
        <v>——</v>
      </c>
      <c r="I80" s="3068">
        <v>0.05</v>
      </c>
      <c r="J80" s="1001">
        <f t="shared" si="19"/>
        <v>0</v>
      </c>
      <c r="K80" s="1001">
        <f t="shared" si="20"/>
        <v>0</v>
      </c>
      <c r="L80" s="1001">
        <v>0</v>
      </c>
      <c r="M80" s="1001">
        <f t="shared" si="21"/>
        <v>0</v>
      </c>
      <c r="N80" s="1001">
        <f t="shared" si="21"/>
        <v>0</v>
      </c>
      <c r="Z80" s="1843"/>
      <c r="AA80" s="1893"/>
      <c r="AG80" s="1058"/>
      <c r="AK80" s="1893"/>
    </row>
    <row r="81" spans="1:37" ht="14.4">
      <c r="A81" s="1965" t="s">
        <v>2069</v>
      </c>
      <c r="B81" s="1966">
        <f>1+E83</f>
        <v>1</v>
      </c>
      <c r="C81" s="699"/>
      <c r="D81" s="699"/>
      <c r="E81" s="700"/>
      <c r="F81" s="1967"/>
      <c r="G81" s="3"/>
      <c r="H81" s="3"/>
      <c r="I81" s="3"/>
      <c r="J81" s="4"/>
      <c r="K81" s="4"/>
      <c r="L81" s="4"/>
      <c r="M81" s="4"/>
      <c r="N81" s="4"/>
      <c r="Z81" s="1843"/>
      <c r="AA81" s="1893"/>
      <c r="AG81" s="1058"/>
      <c r="AK81" s="1893"/>
    </row>
    <row r="82" spans="1:37" ht="25.2">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9.6">
      <c r="A83" s="1968" t="s">
        <v>2070</v>
      </c>
      <c r="B83" s="1262" t="str">
        <f>估价对象房地状况!G15</f>
        <v>估价对象位于XX开发区，园区建设成熟度XX，产业集聚程度XX</v>
      </c>
      <c r="C83" s="1885"/>
      <c r="D83" s="1002">
        <f t="shared" ref="D83:D90" si="22">SUMIF($J$82:$N$82,C83,J83:N83)</f>
        <v>0</v>
      </c>
      <c r="E83" s="702">
        <f>ROUND(SUM(D83:D90),4)</f>
        <v>0</v>
      </c>
      <c r="F83" s="1673"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52.8">
      <c r="A84" s="1968" t="s">
        <v>2053</v>
      </c>
      <c r="B84" s="1262" t="str">
        <f>估价对象房地状况!G16</f>
        <v>估价对象周边道路状况、公共交通通达情况、停车便捷程度，综合评价交通便捷度较好</v>
      </c>
      <c r="C84" s="1885"/>
      <c r="D84" s="1002">
        <f t="shared" si="22"/>
        <v>0</v>
      </c>
      <c r="E84" s="705"/>
      <c r="F84" s="1673"/>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48">
      <c r="A85" s="3069" t="s">
        <v>3268</v>
      </c>
      <c r="B85" s="1262">
        <f>估价对象房地状况!G17</f>
        <v>0</v>
      </c>
      <c r="C85" s="1885"/>
      <c r="D85" s="1002">
        <f t="shared" si="22"/>
        <v>0</v>
      </c>
      <c r="E85" s="705"/>
      <c r="F85" s="1673"/>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3.8">
      <c r="A86" s="1968" t="s">
        <v>2067</v>
      </c>
      <c r="B86" s="1262">
        <f>估价对象房地状况!G22</f>
        <v>0</v>
      </c>
      <c r="C86" s="1885"/>
      <c r="D86" s="1002">
        <f t="shared" si="22"/>
        <v>0</v>
      </c>
      <c r="E86" s="705"/>
      <c r="F86" s="1673"/>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6.4">
      <c r="A87" s="1968" t="s">
        <v>2059</v>
      </c>
      <c r="B87" s="1240" t="str">
        <f>估价对象房地状况!G19</f>
        <v>估价对象所在区域公共配套设施齐备情况</v>
      </c>
      <c r="C87" s="1885"/>
      <c r="D87" s="1002">
        <f t="shared" si="22"/>
        <v>0</v>
      </c>
      <c r="E87" s="705"/>
      <c r="F87" s="1673"/>
      <c r="G87" s="1000"/>
      <c r="H87" s="1003" t="str">
        <f t="shared" si="23"/>
        <v>——</v>
      </c>
      <c r="I87" s="3067">
        <v>0.06</v>
      </c>
      <c r="J87" s="1001">
        <f t="shared" si="24"/>
        <v>0</v>
      </c>
      <c r="K87" s="1001">
        <f t="shared" si="25"/>
        <v>0</v>
      </c>
      <c r="L87" s="1001">
        <v>0</v>
      </c>
      <c r="M87" s="1001">
        <f t="shared" si="26"/>
        <v>0</v>
      </c>
      <c r="N87" s="1001">
        <f t="shared" si="26"/>
        <v>0</v>
      </c>
    </row>
    <row r="88" spans="1:37" ht="26.4">
      <c r="A88" s="1968" t="s">
        <v>2060</v>
      </c>
      <c r="B88" s="1240" t="str">
        <f>估价对象房地状况!G20</f>
        <v>估价对象所在区域基础设施水平</v>
      </c>
      <c r="C88" s="1885"/>
      <c r="D88" s="1002">
        <f t="shared" si="22"/>
        <v>0</v>
      </c>
      <c r="E88" s="705"/>
      <c r="F88" s="1673"/>
      <c r="G88" s="1000"/>
      <c r="H88" s="1003" t="str">
        <f t="shared" si="23"/>
        <v>——</v>
      </c>
      <c r="I88" s="3067">
        <v>0.12</v>
      </c>
      <c r="J88" s="1001">
        <f t="shared" si="24"/>
        <v>0</v>
      </c>
      <c r="K88" s="1001">
        <f t="shared" si="25"/>
        <v>0</v>
      </c>
      <c r="L88" s="1001">
        <v>0</v>
      </c>
      <c r="M88" s="1001">
        <f t="shared" si="26"/>
        <v>0</v>
      </c>
      <c r="N88" s="1001">
        <f t="shared" si="26"/>
        <v>0</v>
      </c>
    </row>
    <row r="89" spans="1:37" ht="36">
      <c r="A89" s="1968" t="s">
        <v>2057</v>
      </c>
      <c r="B89" s="1973" t="s">
        <v>2071</v>
      </c>
      <c r="C89" s="1885"/>
      <c r="D89" s="1002">
        <f t="shared" si="22"/>
        <v>0</v>
      </c>
      <c r="E89" s="705"/>
      <c r="F89" s="1673"/>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5" t="s">
        <v>2072</v>
      </c>
      <c r="B90" s="1980" t="str">
        <f>估价对象房地状况!G18</f>
        <v>该园区内是否有污染型企业，绿化情况，卫生条件，整体环境状况判断</v>
      </c>
      <c r="C90" s="1885"/>
      <c r="D90" s="1002">
        <f t="shared" si="22"/>
        <v>0</v>
      </c>
      <c r="E90" s="706"/>
      <c r="F90" s="1673"/>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3"/>
      <c r="F91" s="1673"/>
      <c r="G91" s="3073"/>
      <c r="H91" s="3074"/>
      <c r="I91" s="3075"/>
      <c r="J91" s="3076"/>
      <c r="K91" s="3076"/>
      <c r="L91" s="3076"/>
      <c r="M91" s="3076"/>
      <c r="N91" s="3076"/>
    </row>
    <row r="92" spans="1:37" ht="25.2">
      <c r="A92" s="3079" t="s">
        <v>3269</v>
      </c>
      <c r="B92" s="2308"/>
      <c r="C92" s="2308" t="s">
        <v>3278</v>
      </c>
      <c r="D92" s="2308" t="s">
        <v>3279</v>
      </c>
      <c r="E92" s="3051" t="s">
        <v>3280</v>
      </c>
      <c r="F92" s="3081" t="s">
        <v>3281</v>
      </c>
      <c r="G92" s="2308" t="s">
        <v>3282</v>
      </c>
      <c r="H92" s="3088" t="s">
        <v>3285</v>
      </c>
      <c r="I92" s="2308" t="s">
        <v>3286</v>
      </c>
      <c r="J92" s="2148" t="s">
        <v>3287</v>
      </c>
      <c r="K92" s="2148" t="s">
        <v>3288</v>
      </c>
      <c r="L92" s="2148" t="s">
        <v>3289</v>
      </c>
      <c r="M92" s="2148" t="s">
        <v>3290</v>
      </c>
      <c r="N92" s="2148" t="s">
        <v>3291</v>
      </c>
    </row>
    <row r="93" spans="1:37" ht="24">
      <c r="A93" s="3069" t="s">
        <v>3270</v>
      </c>
      <c r="B93" s="1221"/>
      <c r="C93" s="1885"/>
      <c r="D93" s="2308">
        <f>SUMIF($J$92:$N$92,C93,J93:N93)</f>
        <v>0</v>
      </c>
      <c r="E93" s="3082">
        <f>ROUND(SUM(D93:D101),4)</f>
        <v>0</v>
      </c>
      <c r="F93" s="1673"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52.8">
      <c r="A94" s="3079" t="s">
        <v>3271</v>
      </c>
      <c r="B94" s="3070" t="str">
        <f>估价对象房地状况!C18</f>
        <v>估价对象周边道路状况、公共交通通达情况、停车便捷程度，综合评价交通便捷度较好</v>
      </c>
      <c r="C94" s="1885"/>
      <c r="D94" s="2308">
        <f t="shared" ref="D94:D101" si="30">SUMIF($J$60:$N$60,C94,J94:N94)</f>
        <v>0</v>
      </c>
      <c r="E94" s="3083"/>
      <c r="F94" s="1673"/>
      <c r="G94" s="3073"/>
      <c r="H94" s="3118" t="str">
        <f>IFERROR(ROUNDDOWN($F$93*I94/2,4),"——")</f>
        <v>——</v>
      </c>
      <c r="I94" s="3067">
        <v>0.26</v>
      </c>
      <c r="J94" s="1910">
        <f t="shared" si="27"/>
        <v>0</v>
      </c>
      <c r="K94" s="1910">
        <f t="shared" si="28"/>
        <v>0</v>
      </c>
      <c r="L94" s="1910">
        <v>0</v>
      </c>
      <c r="M94" s="1910">
        <f t="shared" si="29"/>
        <v>0</v>
      </c>
      <c r="N94" s="1910">
        <f t="shared" si="29"/>
        <v>0</v>
      </c>
    </row>
    <row r="95" spans="1:37" ht="48">
      <c r="A95" s="3069" t="s">
        <v>3267</v>
      </c>
      <c r="B95" s="3070">
        <f>估价对象房地状况!C19</f>
        <v>0</v>
      </c>
      <c r="C95" s="1885"/>
      <c r="D95" s="2308">
        <f t="shared" si="30"/>
        <v>0</v>
      </c>
      <c r="E95" s="3083"/>
      <c r="F95" s="1673"/>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7.200000000000003">
      <c r="A96" s="3079" t="s">
        <v>3272</v>
      </c>
      <c r="B96" s="3085" t="s">
        <v>3283</v>
      </c>
      <c r="C96" s="1885"/>
      <c r="D96" s="2308">
        <f t="shared" si="30"/>
        <v>0</v>
      </c>
      <c r="E96" s="3083"/>
      <c r="F96" s="1673"/>
      <c r="G96" s="3073"/>
      <c r="H96" s="3118" t="str">
        <f t="shared" si="31"/>
        <v>——</v>
      </c>
      <c r="I96" s="3067">
        <v>0.05</v>
      </c>
      <c r="J96" s="1910">
        <f t="shared" si="27"/>
        <v>0</v>
      </c>
      <c r="K96" s="1910">
        <f t="shared" si="28"/>
        <v>0</v>
      </c>
      <c r="L96" s="1910">
        <v>0</v>
      </c>
      <c r="M96" s="1910">
        <f t="shared" si="29"/>
        <v>0</v>
      </c>
      <c r="N96" s="1910">
        <f t="shared" si="29"/>
        <v>0</v>
      </c>
    </row>
    <row r="97" spans="1:14" ht="24">
      <c r="A97" s="3079" t="s">
        <v>3273</v>
      </c>
      <c r="B97" s="3070">
        <f>估价对象房地状况!C24</f>
        <v>0</v>
      </c>
      <c r="C97" s="1885"/>
      <c r="D97" s="2308">
        <f t="shared" si="30"/>
        <v>0</v>
      </c>
      <c r="E97" s="3083"/>
      <c r="F97" s="1673"/>
      <c r="G97" s="3073"/>
      <c r="H97" s="3118" t="str">
        <f t="shared" si="31"/>
        <v>——</v>
      </c>
      <c r="I97" s="3067">
        <v>0.05</v>
      </c>
      <c r="J97" s="1910">
        <f t="shared" si="27"/>
        <v>0</v>
      </c>
      <c r="K97" s="1910">
        <f t="shared" si="28"/>
        <v>0</v>
      </c>
      <c r="L97" s="1910">
        <v>0</v>
      </c>
      <c r="M97" s="1910">
        <f t="shared" si="29"/>
        <v>0</v>
      </c>
      <c r="N97" s="1910">
        <f t="shared" si="29"/>
        <v>0</v>
      </c>
    </row>
    <row r="98" spans="1:14" ht="36">
      <c r="A98" s="3079" t="s">
        <v>3274</v>
      </c>
      <c r="B98" s="3086" t="s">
        <v>3284</v>
      </c>
      <c r="C98" s="1885"/>
      <c r="D98" s="2308">
        <f t="shared" si="30"/>
        <v>0</v>
      </c>
      <c r="E98" s="3083"/>
      <c r="F98" s="1673"/>
      <c r="G98" s="3073"/>
      <c r="H98" s="3118" t="str">
        <f t="shared" si="31"/>
        <v>——</v>
      </c>
      <c r="I98" s="3067">
        <v>0.06</v>
      </c>
      <c r="J98" s="1910">
        <f t="shared" si="27"/>
        <v>0</v>
      </c>
      <c r="K98" s="1910">
        <f t="shared" si="28"/>
        <v>0</v>
      </c>
      <c r="L98" s="1910">
        <v>0</v>
      </c>
      <c r="M98" s="1910">
        <f t="shared" si="29"/>
        <v>0</v>
      </c>
      <c r="N98" s="1910">
        <f t="shared" si="29"/>
        <v>0</v>
      </c>
    </row>
    <row r="99" spans="1:14" ht="26.4">
      <c r="A99" s="3079" t="s">
        <v>3275</v>
      </c>
      <c r="B99" s="3070" t="str">
        <f>估价对象房地状况!C21</f>
        <v>估价对象所在区域公共配套设施齐备情况</v>
      </c>
      <c r="C99" s="1885"/>
      <c r="D99" s="2308">
        <f t="shared" si="30"/>
        <v>0</v>
      </c>
      <c r="E99" s="3083"/>
      <c r="F99" s="1673"/>
      <c r="G99" s="3073"/>
      <c r="H99" s="3118" t="str">
        <f t="shared" si="31"/>
        <v>——</v>
      </c>
      <c r="I99" s="3067">
        <v>0.06</v>
      </c>
      <c r="J99" s="1910">
        <f t="shared" si="27"/>
        <v>0</v>
      </c>
      <c r="K99" s="1910">
        <f t="shared" si="28"/>
        <v>0</v>
      </c>
      <c r="L99" s="1910">
        <v>0</v>
      </c>
      <c r="M99" s="1910">
        <f t="shared" si="29"/>
        <v>0</v>
      </c>
      <c r="N99" s="1910">
        <f t="shared" si="29"/>
        <v>0</v>
      </c>
    </row>
    <row r="100" spans="1:14" ht="26.4">
      <c r="A100" s="3079" t="s">
        <v>3276</v>
      </c>
      <c r="B100" s="3070" t="str">
        <f>估价对象房地状况!C22</f>
        <v>估价对象所在区域基础设施水平</v>
      </c>
      <c r="C100" s="1885"/>
      <c r="D100" s="2308">
        <f t="shared" si="30"/>
        <v>0</v>
      </c>
      <c r="E100" s="3083"/>
      <c r="F100" s="1673"/>
      <c r="G100" s="3073"/>
      <c r="H100" s="3118" t="str">
        <f t="shared" si="31"/>
        <v>——</v>
      </c>
      <c r="I100" s="3067">
        <v>0.09</v>
      </c>
      <c r="J100" s="1910">
        <f t="shared" si="27"/>
        <v>0</v>
      </c>
      <c r="K100" s="1910">
        <f t="shared" si="28"/>
        <v>0</v>
      </c>
      <c r="L100" s="1910">
        <v>0</v>
      </c>
      <c r="M100" s="1910">
        <f t="shared" si="29"/>
        <v>0</v>
      </c>
      <c r="N100" s="1910">
        <f t="shared" si="29"/>
        <v>0</v>
      </c>
    </row>
    <row r="101" spans="1:14" ht="40.200000000000003" thickBot="1">
      <c r="A101" s="3080" t="s">
        <v>3277</v>
      </c>
      <c r="B101" s="3087" t="str">
        <f>估价对象房地状况!C20</f>
        <v>区域自然环境：；人文环境；综合评价环境状况一般</v>
      </c>
      <c r="C101" s="1885"/>
      <c r="D101" s="2308">
        <f t="shared" si="30"/>
        <v>0</v>
      </c>
      <c r="E101" s="3084"/>
      <c r="F101" s="1673"/>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385" t="s">
        <v>3292</v>
      </c>
      <c r="B103" s="3385"/>
      <c r="C103" s="3385"/>
      <c r="D103" s="3385"/>
      <c r="E103" s="3385"/>
      <c r="F103" s="3385"/>
      <c r="G103" s="3385"/>
      <c r="H103" s="3385"/>
      <c r="I103" s="3385"/>
      <c r="J103" s="3385"/>
      <c r="K103" s="1665"/>
      <c r="L103" s="1665"/>
      <c r="M103" s="1665"/>
      <c r="N103" s="1665"/>
    </row>
    <row r="104" spans="1:14">
      <c r="A104" s="3386" t="s">
        <v>3293</v>
      </c>
      <c r="B104" s="3386" t="s">
        <v>3294</v>
      </c>
      <c r="C104" s="3089" t="s">
        <v>3295</v>
      </c>
      <c r="D104" s="3090"/>
      <c r="E104" s="3090"/>
      <c r="F104" s="3090"/>
      <c r="G104" s="3090"/>
      <c r="H104" s="3090"/>
      <c r="I104" s="3090"/>
      <c r="J104" s="3091"/>
      <c r="K104" s="3092"/>
      <c r="L104" s="3092"/>
      <c r="M104" s="3092"/>
      <c r="N104" s="3092"/>
    </row>
    <row r="105" spans="1:14">
      <c r="A105" s="3386"/>
      <c r="B105" s="3386"/>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372"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7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7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7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7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73"/>
      <c r="B111" s="3093" t="s">
        <v>3266</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374"/>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c r="A113" s="3375" t="s">
        <v>3309</v>
      </c>
      <c r="B113" s="3375"/>
      <c r="C113" s="3375"/>
      <c r="D113" s="3375"/>
      <c r="E113" s="3375"/>
      <c r="F113" s="3375"/>
      <c r="G113" s="3375"/>
      <c r="H113" s="3375"/>
      <c r="I113" s="3375"/>
      <c r="J113" s="3375"/>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8" thickBot="1">
      <c r="A115" s="3096"/>
      <c r="B115" s="3096"/>
      <c r="C115" s="3096"/>
      <c r="D115" s="3096"/>
      <c r="E115" s="3096"/>
      <c r="F115" s="3096"/>
      <c r="G115" s="3096"/>
      <c r="H115" s="3096"/>
      <c r="I115" s="3096"/>
      <c r="J115" s="3096"/>
      <c r="K115" s="1962"/>
      <c r="L115" s="3096"/>
      <c r="M115" s="3096"/>
      <c r="N115" s="3096"/>
    </row>
    <row r="116" spans="1:14" ht="25.8" thickBot="1">
      <c r="A116" s="3097" t="s">
        <v>3310</v>
      </c>
      <c r="B116" s="3113">
        <f>G3</f>
        <v>0</v>
      </c>
      <c r="C116" s="3098" t="s">
        <v>3311</v>
      </c>
      <c r="D116" s="3099">
        <f>SUMPRODUCT((A118:A122=F116)*(B117:M117=H116)*B118:M122)</f>
        <v>0.94899999999999995</v>
      </c>
      <c r="E116" s="162" t="s">
        <v>3312</v>
      </c>
      <c r="F116" s="3100" t="str">
        <f>E2</f>
        <v>商业</v>
      </c>
      <c r="G116" s="162" t="s">
        <v>3313</v>
      </c>
      <c r="H116" s="3100" t="str">
        <f>G2</f>
        <v>六级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85" zoomScaleNormal="70" zoomScaleSheetLayoutView="85" workbookViewId="0">
      <selection activeCell="I48" sqref="I48"/>
    </sheetView>
  </sheetViews>
  <sheetFormatPr defaultColWidth="9" defaultRowHeight="13.8"/>
  <cols>
    <col min="1" max="1" width="10.44140625" style="347" customWidth="1"/>
    <col min="2" max="2" width="15.77734375" style="347" customWidth="1"/>
    <col min="3" max="3" width="18.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6" t="s">
        <v>1810</v>
      </c>
      <c r="C1" s="1141" t="s">
        <v>1662</v>
      </c>
      <c r="D1" s="1142" t="s">
        <v>21</v>
      </c>
      <c r="E1" s="3130" t="s">
        <v>3468</v>
      </c>
      <c r="F1" s="1733" t="s">
        <v>3432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19859</v>
      </c>
      <c r="C2" s="1735" t="s">
        <v>43</v>
      </c>
      <c r="D2" s="1052" t="e">
        <f ca="1">IF(E1="项目模式",SUMIF(INDIRECT("'"&amp;F2&amp;"'"&amp;"!A:A"),"承租人权益价值",INDIRECT("'"&amp;F2&amp;"'"&amp;"!c:c")),SUMIF(INDIRECT("'"&amp;F2&amp;"'"&amp;"!A:A"),"承租人权益价值（单套）",INDIRECT("'"&amp;F2&amp;"'"&amp;"!c:c")))</f>
        <v>#REF!</v>
      </c>
      <c r="E2" s="1736" t="s">
        <v>1463</v>
      </c>
      <c r="F2" s="1737"/>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21000</v>
      </c>
      <c r="C3" s="344" t="s">
        <v>1768</v>
      </c>
      <c r="D3" s="343">
        <f>IF(D1="",'数据-汇总表'!E3,SUMIF('数据-汇总表'!$C19:$C33,D1,'数据-汇总表'!$E19:$E33))</f>
        <v>9456.5000000000018</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09" t="s">
        <v>1770</v>
      </c>
      <c r="D4" s="3410"/>
      <c r="E4" s="3411" t="s">
        <v>1771</v>
      </c>
      <c r="F4" s="3412"/>
      <c r="G4" s="3409" t="s">
        <v>1772</v>
      </c>
      <c r="H4" s="3410"/>
      <c r="I4" s="3409" t="s">
        <v>1773</v>
      </c>
      <c r="J4" s="3410"/>
      <c r="K4" s="537" t="s">
        <v>1774</v>
      </c>
      <c r="L4" s="2485"/>
      <c r="M4" s="2486"/>
      <c r="N4" s="2486"/>
      <c r="O4" s="2486"/>
      <c r="P4" s="3413" t="s">
        <v>1775</v>
      </c>
      <c r="Q4" s="3414"/>
      <c r="R4" s="3419" t="s">
        <v>1771</v>
      </c>
      <c r="S4" s="3420"/>
      <c r="T4" s="3419" t="s">
        <v>1772</v>
      </c>
      <c r="U4" s="3420"/>
      <c r="V4" s="3425" t="s">
        <v>1773</v>
      </c>
      <c r="W4" s="3425"/>
      <c r="X4" s="1807"/>
      <c r="Y4" s="3419" t="s">
        <v>1775</v>
      </c>
      <c r="Z4" s="3420"/>
      <c r="AA4" s="3436" t="s">
        <v>1771</v>
      </c>
      <c r="AB4" s="3436" t="s">
        <v>1772</v>
      </c>
      <c r="AC4" s="3406" t="s">
        <v>1773</v>
      </c>
    </row>
    <row r="5" spans="1:29">
      <c r="A5" s="348"/>
      <c r="B5" s="349"/>
      <c r="C5" s="3428" t="s">
        <v>1673</v>
      </c>
      <c r="D5" s="3429"/>
      <c r="E5" s="3439" t="s">
        <v>1674</v>
      </c>
      <c r="F5" s="3440"/>
      <c r="G5" s="3428" t="s">
        <v>1675</v>
      </c>
      <c r="H5" s="3429"/>
      <c r="I5" s="3428" t="s">
        <v>1676</v>
      </c>
      <c r="J5" s="3429"/>
      <c r="K5" s="537"/>
      <c r="L5" s="2485"/>
      <c r="M5" s="2486"/>
      <c r="N5" s="2486"/>
      <c r="O5" s="2486"/>
      <c r="P5" s="3415"/>
      <c r="Q5" s="3416"/>
      <c r="R5" s="3421"/>
      <c r="S5" s="3422"/>
      <c r="T5" s="3421"/>
      <c r="U5" s="3422"/>
      <c r="V5" s="3393"/>
      <c r="W5" s="3393"/>
      <c r="X5" s="1265"/>
      <c r="Y5" s="3421"/>
      <c r="Z5" s="3422"/>
      <c r="AA5" s="3437"/>
      <c r="AB5" s="3437"/>
      <c r="AC5" s="3407"/>
    </row>
    <row r="6" spans="1:29" ht="15" thickBot="1">
      <c r="A6" s="350"/>
      <c r="B6" s="351"/>
      <c r="C6" s="3426" t="s">
        <v>1677</v>
      </c>
      <c r="D6" s="3427"/>
      <c r="E6" s="3434" t="s">
        <v>1677</v>
      </c>
      <c r="F6" s="3435"/>
      <c r="G6" s="3426" t="s">
        <v>1677</v>
      </c>
      <c r="H6" s="3427"/>
      <c r="I6" s="3426" t="s">
        <v>1677</v>
      </c>
      <c r="J6" s="3427"/>
      <c r="K6" s="537" t="s">
        <v>1678</v>
      </c>
      <c r="L6" s="2485"/>
      <c r="M6" s="2486"/>
      <c r="N6" s="2486"/>
      <c r="O6" s="2486"/>
      <c r="P6" s="3417"/>
      <c r="Q6" s="3418"/>
      <c r="R6" s="3421"/>
      <c r="S6" s="3422"/>
      <c r="T6" s="3423"/>
      <c r="U6" s="3424"/>
      <c r="V6" s="3393"/>
      <c r="W6" s="3393"/>
      <c r="X6" s="1265"/>
      <c r="Y6" s="3423"/>
      <c r="Z6" s="3424"/>
      <c r="AA6" s="3438"/>
      <c r="AB6" s="3438"/>
      <c r="AC6" s="3408"/>
    </row>
    <row r="7" spans="1:29" s="102" customFormat="1" ht="15" thickBot="1">
      <c r="A7" s="352" t="s">
        <v>1679</v>
      </c>
      <c r="B7" s="353"/>
      <c r="C7" s="354">
        <f>'数据-取费表'!B2</f>
        <v>46013</v>
      </c>
      <c r="D7" s="355">
        <v>100</v>
      </c>
      <c r="E7" s="356">
        <v>45992</v>
      </c>
      <c r="F7" s="357">
        <f>SUMIF(59:59,YEAR(E7)&amp;"-"&amp;MONTH(E7),60:60)</f>
        <v>100</v>
      </c>
      <c r="G7" s="356">
        <v>45992</v>
      </c>
      <c r="H7" s="355">
        <f>SUMIF(59:59,YEAR(G7)&amp;"-"&amp;MONTH(G7),60:60)</f>
        <v>100</v>
      </c>
      <c r="I7" s="356">
        <v>45992</v>
      </c>
      <c r="J7" s="355">
        <f>SUMIF(59:59,YEAR(I7)&amp;"-"&amp;MONTH(I7),60:60)</f>
        <v>100</v>
      </c>
      <c r="K7" s="38"/>
      <c r="L7" s="2487"/>
      <c r="M7" s="2438"/>
      <c r="N7" s="2438"/>
      <c r="O7" s="2438"/>
      <c r="P7" s="3430" t="s">
        <v>1680</v>
      </c>
      <c r="Q7" s="3433"/>
      <c r="R7" s="664" t="s">
        <v>14</v>
      </c>
      <c r="S7" s="665">
        <f t="shared" ref="S7:S15" si="0">F7</f>
        <v>100</v>
      </c>
      <c r="T7" s="664" t="s">
        <v>14</v>
      </c>
      <c r="U7" s="665">
        <f t="shared" ref="U7:U15" si="1">H7</f>
        <v>100</v>
      </c>
      <c r="V7" s="664" t="s">
        <v>14</v>
      </c>
      <c r="W7" s="665">
        <f t="shared" ref="W7:W15" si="2">J7</f>
        <v>100</v>
      </c>
      <c r="X7" s="666"/>
      <c r="Y7" s="3432" t="s">
        <v>1680</v>
      </c>
      <c r="Z7" s="3431"/>
      <c r="AA7" s="50">
        <f>D7/F7</f>
        <v>1</v>
      </c>
      <c r="AB7" s="50">
        <f>D7/H7</f>
        <v>1</v>
      </c>
      <c r="AC7" s="802">
        <f>D7/J7</f>
        <v>1</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30" t="s">
        <v>1683</v>
      </c>
      <c r="Q8" s="3431"/>
      <c r="R8" s="664" t="s">
        <v>14</v>
      </c>
      <c r="S8" s="665">
        <f t="shared" si="0"/>
        <v>100</v>
      </c>
      <c r="T8" s="664" t="s">
        <v>14</v>
      </c>
      <c r="U8" s="665">
        <f t="shared" si="1"/>
        <v>100</v>
      </c>
      <c r="V8" s="664" t="s">
        <v>14</v>
      </c>
      <c r="W8" s="665">
        <f t="shared" si="2"/>
        <v>100</v>
      </c>
      <c r="X8" s="666"/>
      <c r="Y8" s="3432" t="s">
        <v>1683</v>
      </c>
      <c r="Z8" s="343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1"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1"/>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1"/>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1"/>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802">
        <f t="shared" si="5"/>
        <v>1</v>
      </c>
    </row>
    <row r="14" spans="1:29" ht="15.6"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1"/>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802">
        <f t="shared" si="5"/>
        <v>1</v>
      </c>
    </row>
    <row r="15" spans="1:29" ht="69">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7" t="s">
        <v>1691</v>
      </c>
      <c r="Q15" s="1263" t="str">
        <f t="shared" si="6"/>
        <v>办公集聚程度</v>
      </c>
      <c r="R15" s="667" t="s">
        <v>14</v>
      </c>
      <c r="S15" s="668">
        <f t="shared" si="0"/>
        <v>100</v>
      </c>
      <c r="T15" s="667" t="s">
        <v>14</v>
      </c>
      <c r="U15" s="668">
        <f t="shared" si="1"/>
        <v>100</v>
      </c>
      <c r="V15" s="667" t="s">
        <v>14</v>
      </c>
      <c r="W15" s="668">
        <f t="shared" si="2"/>
        <v>100</v>
      </c>
      <c r="X15" s="1265"/>
      <c r="Y15" s="3399" t="s">
        <v>1691</v>
      </c>
      <c r="Z15" s="1264" t="str">
        <f t="shared" si="7"/>
        <v>办公集聚程度</v>
      </c>
      <c r="AA15" s="1264">
        <f t="shared" si="3"/>
        <v>1</v>
      </c>
      <c r="AB15" s="1264">
        <f t="shared" si="4"/>
        <v>1</v>
      </c>
      <c r="AC15" s="1810">
        <f t="shared" si="5"/>
        <v>1</v>
      </c>
    </row>
    <row r="16" spans="1:29" ht="15">
      <c r="A16" s="367"/>
      <c r="B16" s="555"/>
      <c r="C16" s="1756"/>
      <c r="D16" s="387"/>
      <c r="E16" s="386"/>
      <c r="F16" s="387"/>
      <c r="G16" s="1756"/>
      <c r="H16" s="389"/>
      <c r="I16" s="386"/>
      <c r="J16" s="387"/>
      <c r="K16" s="541"/>
      <c r="L16" s="2491"/>
      <c r="M16" s="2486"/>
      <c r="N16" s="2486"/>
      <c r="O16" s="2486"/>
      <c r="P16" s="3398"/>
      <c r="Q16" s="1263"/>
      <c r="R16" s="667"/>
      <c r="S16" s="668"/>
      <c r="T16" s="667"/>
      <c r="U16" s="668"/>
      <c r="V16" s="667"/>
      <c r="W16" s="668"/>
      <c r="X16" s="1265"/>
      <c r="Y16" s="3400"/>
      <c r="Z16" s="1264"/>
      <c r="AA16" s="1264">
        <v>1</v>
      </c>
      <c r="AB16" s="1264">
        <v>1</v>
      </c>
      <c r="AC16" s="1810">
        <v>1</v>
      </c>
    </row>
    <row r="17" spans="1:29" ht="69">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8"/>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810">
        <f t="shared" si="5"/>
        <v>1</v>
      </c>
    </row>
    <row r="18" spans="1:29" ht="15">
      <c r="A18" s="367"/>
      <c r="B18" s="401"/>
      <c r="C18" s="1812"/>
      <c r="D18" s="389"/>
      <c r="E18" s="1754"/>
      <c r="F18" s="389"/>
      <c r="G18" s="1755"/>
      <c r="H18" s="387"/>
      <c r="I18" s="1755"/>
      <c r="J18" s="387"/>
      <c r="K18" s="541"/>
      <c r="L18" s="2491"/>
      <c r="M18" s="2486"/>
      <c r="N18" s="2486"/>
      <c r="O18" s="2486"/>
      <c r="P18" s="3398"/>
      <c r="Q18" s="1263"/>
      <c r="R18" s="667"/>
      <c r="S18" s="668"/>
      <c r="T18" s="667"/>
      <c r="U18" s="668"/>
      <c r="V18" s="667"/>
      <c r="W18" s="668"/>
      <c r="X18" s="1265"/>
      <c r="Y18" s="3400"/>
      <c r="Z18" s="1264"/>
      <c r="AA18" s="1264">
        <v>1</v>
      </c>
      <c r="AB18" s="1264">
        <v>1</v>
      </c>
      <c r="AC18" s="1810">
        <v>1</v>
      </c>
    </row>
    <row r="19" spans="1:29" ht="41.4">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8"/>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810">
        <f t="shared" si="5"/>
        <v>1</v>
      </c>
    </row>
    <row r="20" spans="1:29" ht="15">
      <c r="A20" s="367"/>
      <c r="B20" s="401"/>
      <c r="C20" s="1756"/>
      <c r="D20" s="387"/>
      <c r="E20" s="1749"/>
      <c r="F20" s="387"/>
      <c r="G20" s="1750"/>
      <c r="H20" s="387"/>
      <c r="I20" s="1750"/>
      <c r="J20" s="387"/>
      <c r="K20" s="541"/>
      <c r="L20" s="2491"/>
      <c r="M20" s="2486"/>
      <c r="N20" s="2486"/>
      <c r="O20" s="2486"/>
      <c r="P20" s="3398"/>
      <c r="Q20" s="1263"/>
      <c r="R20" s="667"/>
      <c r="S20" s="668"/>
      <c r="T20" s="667"/>
      <c r="U20" s="668"/>
      <c r="V20" s="667"/>
      <c r="W20" s="668"/>
      <c r="X20" s="1265"/>
      <c r="Y20" s="3400"/>
      <c r="Z20" s="1264"/>
      <c r="AA20" s="1264">
        <v>1</v>
      </c>
      <c r="AB20" s="1264">
        <v>1</v>
      </c>
      <c r="AC20" s="1810">
        <v>1</v>
      </c>
    </row>
    <row r="21" spans="1:29" ht="27.6">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8"/>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6"/>
      <c r="H22" s="387"/>
      <c r="I22" s="1756"/>
      <c r="J22" s="387"/>
      <c r="K22" s="1064"/>
      <c r="L22" s="2491"/>
      <c r="M22" s="2486"/>
      <c r="N22" s="2486"/>
      <c r="O22" s="2486"/>
      <c r="P22" s="3398"/>
      <c r="Q22" s="1263"/>
      <c r="R22" s="667"/>
      <c r="S22" s="668"/>
      <c r="T22" s="667"/>
      <c r="U22" s="668"/>
      <c r="V22" s="667"/>
      <c r="W22" s="668"/>
      <c r="X22" s="1265"/>
      <c r="Y22" s="3400"/>
      <c r="Z22" s="1264"/>
      <c r="AA22" s="1264">
        <v>1</v>
      </c>
      <c r="AB22" s="1264">
        <v>1</v>
      </c>
      <c r="AC22" s="1810">
        <v>1</v>
      </c>
    </row>
    <row r="23" spans="1:29" ht="41.4">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8"/>
      <c r="Q23" s="1263" t="str">
        <f>B23</f>
        <v>环境质量</v>
      </c>
      <c r="R23" s="667" t="s">
        <v>14</v>
      </c>
      <c r="S23" s="668">
        <f>F23</f>
        <v>100</v>
      </c>
      <c r="T23" s="667" t="s">
        <v>14</v>
      </c>
      <c r="U23" s="668">
        <f>H23</f>
        <v>100</v>
      </c>
      <c r="V23" s="667" t="s">
        <v>14</v>
      </c>
      <c r="W23" s="668">
        <f>J23</f>
        <v>100</v>
      </c>
      <c r="X23" s="1265"/>
      <c r="Y23" s="3400"/>
      <c r="Z23" s="1264" t="str">
        <f>Q23</f>
        <v>环境质量</v>
      </c>
      <c r="AA23" s="1264">
        <f t="shared" si="3"/>
        <v>1</v>
      </c>
      <c r="AB23" s="1264">
        <f t="shared" si="4"/>
        <v>1</v>
      </c>
      <c r="AC23" s="1810">
        <f t="shared" si="5"/>
        <v>1</v>
      </c>
    </row>
    <row r="24" spans="1:29" ht="15">
      <c r="A24" s="367"/>
      <c r="B24" s="557"/>
      <c r="C24" s="1756"/>
      <c r="D24" s="387"/>
      <c r="E24" s="1749"/>
      <c r="F24" s="387"/>
      <c r="G24" s="1750"/>
      <c r="H24" s="387"/>
      <c r="I24" s="1750"/>
      <c r="J24" s="387"/>
      <c r="K24" s="541"/>
      <c r="L24" s="2491"/>
      <c r="M24" s="2486"/>
      <c r="N24" s="2486"/>
      <c r="O24" s="2486"/>
      <c r="P24" s="3398"/>
      <c r="Q24" s="1263"/>
      <c r="R24" s="667"/>
      <c r="S24" s="668"/>
      <c r="T24" s="667"/>
      <c r="U24" s="668"/>
      <c r="V24" s="667"/>
      <c r="W24" s="668"/>
      <c r="X24" s="1265"/>
      <c r="Y24" s="3400"/>
      <c r="Z24" s="1264"/>
      <c r="AA24" s="1264">
        <v>1</v>
      </c>
      <c r="AB24" s="1264">
        <v>1</v>
      </c>
      <c r="AC24" s="1810">
        <v>1</v>
      </c>
    </row>
    <row r="25" spans="1:29" ht="28.8">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398"/>
      <c r="Q25" s="1263" t="str">
        <f>B25</f>
        <v>毗邻道路的类型与等级</v>
      </c>
      <c r="R25" s="667" t="s">
        <v>14</v>
      </c>
      <c r="S25" s="668">
        <f>F25</f>
        <v>100</v>
      </c>
      <c r="T25" s="667" t="s">
        <v>14</v>
      </c>
      <c r="U25" s="668">
        <f>H25</f>
        <v>100</v>
      </c>
      <c r="V25" s="667" t="s">
        <v>14</v>
      </c>
      <c r="W25" s="668">
        <f>J25</f>
        <v>100</v>
      </c>
      <c r="X25" s="1265"/>
      <c r="Y25" s="3400"/>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398"/>
      <c r="Q26" s="1263"/>
      <c r="R26" s="667"/>
      <c r="S26" s="668"/>
      <c r="T26" s="667"/>
      <c r="U26" s="668"/>
      <c r="V26" s="667"/>
      <c r="W26" s="668"/>
      <c r="X26" s="1265"/>
      <c r="Y26" s="3400"/>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8"/>
      <c r="Q27" s="1263" t="str">
        <f t="shared" ref="Q27:Q47" si="11">B27</f>
        <v>楼层</v>
      </c>
      <c r="R27" s="667" t="s">
        <v>14</v>
      </c>
      <c r="S27" s="668">
        <f>F27</f>
        <v>100</v>
      </c>
      <c r="T27" s="667" t="s">
        <v>14</v>
      </c>
      <c r="U27" s="668">
        <f>H27</f>
        <v>100</v>
      </c>
      <c r="V27" s="667" t="s">
        <v>14</v>
      </c>
      <c r="W27" s="668">
        <f>J27</f>
        <v>100</v>
      </c>
      <c r="X27" s="1265"/>
      <c r="Y27" s="3400"/>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98"/>
      <c r="Q28" s="530" t="str">
        <f t="shared" si="11"/>
        <v>朝向</v>
      </c>
      <c r="R28" s="664" t="s">
        <v>14</v>
      </c>
      <c r="S28" s="665">
        <f>F28</f>
        <v>100</v>
      </c>
      <c r="T28" s="664" t="s">
        <v>14</v>
      </c>
      <c r="U28" s="665">
        <f>H28</f>
        <v>100</v>
      </c>
      <c r="V28" s="664" t="s">
        <v>14</v>
      </c>
      <c r="W28" s="665">
        <f>J28</f>
        <v>100</v>
      </c>
      <c r="X28" s="666"/>
      <c r="Y28" s="3400"/>
      <c r="Z28" s="50" t="str">
        <f>Q28</f>
        <v>朝向</v>
      </c>
      <c r="AA28" s="1264">
        <f>D28/F28</f>
        <v>1</v>
      </c>
      <c r="AB28" s="1264">
        <f>D28/H28</f>
        <v>1</v>
      </c>
      <c r="AC28" s="1810">
        <f>D28/J28</f>
        <v>1</v>
      </c>
    </row>
    <row r="29" spans="1:29" ht="15">
      <c r="A29" s="367"/>
      <c r="B29" s="1099">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98"/>
      <c r="Q29" s="1263">
        <f t="shared" si="11"/>
        <v>111</v>
      </c>
      <c r="R29" s="667" t="s">
        <v>14</v>
      </c>
      <c r="S29" s="668">
        <f t="shared" ref="S29:S47" si="12">F29</f>
        <v>100</v>
      </c>
      <c r="T29" s="667" t="s">
        <v>14</v>
      </c>
      <c r="U29" s="668">
        <f t="shared" ref="U29:U47" si="13">H29</f>
        <v>100</v>
      </c>
      <c r="V29" s="667" t="s">
        <v>14</v>
      </c>
      <c r="W29" s="668">
        <f t="shared" ref="W29:W47" si="14">J29</f>
        <v>100</v>
      </c>
      <c r="X29" s="1265"/>
      <c r="Y29" s="3400"/>
      <c r="Z29" s="1264">
        <f t="shared" ref="Z29:Z47" si="15">Q29</f>
        <v>111</v>
      </c>
      <c r="AA29" s="1264">
        <f t="shared" si="3"/>
        <v>1</v>
      </c>
      <c r="AB29" s="1264">
        <f t="shared" si="4"/>
        <v>1</v>
      </c>
      <c r="AC29" s="1810">
        <f t="shared" si="5"/>
        <v>1</v>
      </c>
    </row>
    <row r="30" spans="1:29" ht="15">
      <c r="A30" s="367"/>
      <c r="B30" s="1099">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98"/>
      <c r="Q30" s="1263">
        <f t="shared" si="11"/>
        <v>111</v>
      </c>
      <c r="R30" s="667" t="s">
        <v>14</v>
      </c>
      <c r="S30" s="668">
        <f t="shared" si="12"/>
        <v>100</v>
      </c>
      <c r="T30" s="667" t="s">
        <v>14</v>
      </c>
      <c r="U30" s="668">
        <f t="shared" si="13"/>
        <v>100</v>
      </c>
      <c r="V30" s="667" t="s">
        <v>14</v>
      </c>
      <c r="W30" s="668">
        <f t="shared" si="14"/>
        <v>100</v>
      </c>
      <c r="X30" s="1265"/>
      <c r="Y30" s="3400"/>
      <c r="Z30" s="1264">
        <f t="shared" si="15"/>
        <v>111</v>
      </c>
      <c r="AA30" s="1264">
        <f t="shared" si="3"/>
        <v>1</v>
      </c>
      <c r="AB30" s="1264">
        <f t="shared" si="4"/>
        <v>1</v>
      </c>
      <c r="AC30" s="1810">
        <f t="shared" si="5"/>
        <v>1</v>
      </c>
    </row>
    <row r="31" spans="1:29" ht="15">
      <c r="A31" s="367"/>
      <c r="B31" s="1099">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98"/>
      <c r="Q31" s="1263">
        <f t="shared" si="11"/>
        <v>111</v>
      </c>
      <c r="R31" s="667" t="s">
        <v>14</v>
      </c>
      <c r="S31" s="668">
        <f t="shared" si="12"/>
        <v>100</v>
      </c>
      <c r="T31" s="667" t="s">
        <v>14</v>
      </c>
      <c r="U31" s="668">
        <f t="shared" si="13"/>
        <v>100</v>
      </c>
      <c r="V31" s="667" t="s">
        <v>14</v>
      </c>
      <c r="W31" s="668">
        <f t="shared" si="14"/>
        <v>100</v>
      </c>
      <c r="X31" s="1265"/>
      <c r="Y31" s="3400"/>
      <c r="Z31" s="1264">
        <f t="shared" si="15"/>
        <v>111</v>
      </c>
      <c r="AA31" s="1264">
        <f t="shared" si="3"/>
        <v>1</v>
      </c>
      <c r="AB31" s="1264">
        <f t="shared" si="4"/>
        <v>1</v>
      </c>
      <c r="AC31" s="1810">
        <f t="shared" si="5"/>
        <v>1</v>
      </c>
    </row>
    <row r="32" spans="1:29" ht="15.6"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98"/>
      <c r="Q32" s="1263">
        <f t="shared" si="11"/>
        <v>111</v>
      </c>
      <c r="R32" s="667" t="s">
        <v>14</v>
      </c>
      <c r="S32" s="668">
        <f t="shared" si="12"/>
        <v>100</v>
      </c>
      <c r="T32" s="667" t="s">
        <v>14</v>
      </c>
      <c r="U32" s="668">
        <f t="shared" si="13"/>
        <v>100</v>
      </c>
      <c r="V32" s="667" t="s">
        <v>14</v>
      </c>
      <c r="W32" s="668">
        <f t="shared" si="14"/>
        <v>100</v>
      </c>
      <c r="X32" s="1265"/>
      <c r="Y32" s="3400"/>
      <c r="Z32" s="1264">
        <f t="shared" si="15"/>
        <v>111</v>
      </c>
      <c r="AA32" s="1264">
        <f t="shared" si="3"/>
        <v>1</v>
      </c>
      <c r="AB32" s="1264">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401" t="s">
        <v>1696</v>
      </c>
      <c r="Q33" s="1263" t="str">
        <f t="shared" si="11"/>
        <v>建筑类型</v>
      </c>
      <c r="R33" s="667" t="s">
        <v>14</v>
      </c>
      <c r="S33" s="668">
        <f t="shared" si="12"/>
        <v>100</v>
      </c>
      <c r="T33" s="667" t="s">
        <v>14</v>
      </c>
      <c r="U33" s="668">
        <f t="shared" si="13"/>
        <v>100</v>
      </c>
      <c r="V33" s="667" t="s">
        <v>14</v>
      </c>
      <c r="W33" s="668">
        <f t="shared" si="14"/>
        <v>100</v>
      </c>
      <c r="X33" s="1265"/>
      <c r="Y33" s="3404" t="s">
        <v>1696</v>
      </c>
      <c r="Z33" s="1264" t="str">
        <f t="shared" si="15"/>
        <v>建筑类型</v>
      </c>
      <c r="AA33" s="1264">
        <f t="shared" si="3"/>
        <v>1</v>
      </c>
      <c r="AB33" s="1264">
        <f t="shared" si="4"/>
        <v>1</v>
      </c>
      <c r="AC33" s="1810">
        <f t="shared" si="5"/>
        <v>1</v>
      </c>
    </row>
    <row r="34" spans="1:29" s="408" customFormat="1" ht="15">
      <c r="A34" s="406"/>
      <c r="B34" s="364" t="s">
        <v>1697</v>
      </c>
      <c r="C34" s="407">
        <v>500</v>
      </c>
      <c r="D34" s="119">
        <v>100</v>
      </c>
      <c r="E34" s="407">
        <v>500</v>
      </c>
      <c r="F34" s="364">
        <f>LOOKUP(E34,104:104,105:105)-LOOKUP(C34,104:104,105:105)+100</f>
        <v>100</v>
      </c>
      <c r="G34" s="407">
        <v>500</v>
      </c>
      <c r="H34" s="119">
        <f>LOOKUP(G34,104:104,105:105)-LOOKUP(C34,104:104,105:105)+100</f>
        <v>100</v>
      </c>
      <c r="I34" s="407">
        <v>500</v>
      </c>
      <c r="J34" s="119">
        <f>LOOKUP(I34,104:104,105:105)-LOOKUP(C34,104:104,105:105)+100</f>
        <v>100</v>
      </c>
      <c r="K34" s="539"/>
      <c r="L34" s="2490"/>
      <c r="M34" s="2492"/>
      <c r="N34" s="2492"/>
      <c r="O34" s="2492"/>
      <c r="P34" s="3402"/>
      <c r="Q34" s="531" t="str">
        <f t="shared" si="11"/>
        <v>项目建筑规模</v>
      </c>
      <c r="R34" s="669" t="s">
        <v>14</v>
      </c>
      <c r="S34" s="670">
        <f t="shared" si="12"/>
        <v>100</v>
      </c>
      <c r="T34" s="669" t="s">
        <v>14</v>
      </c>
      <c r="U34" s="670">
        <f t="shared" si="13"/>
        <v>100</v>
      </c>
      <c r="V34" s="669" t="s">
        <v>14</v>
      </c>
      <c r="W34" s="670">
        <f t="shared" si="14"/>
        <v>100</v>
      </c>
      <c r="X34" s="671"/>
      <c r="Y34" s="3404"/>
      <c r="Z34" s="672" t="str">
        <f t="shared" si="15"/>
        <v>项目建筑规模</v>
      </c>
      <c r="AA34" s="1264">
        <f t="shared" si="3"/>
        <v>1</v>
      </c>
      <c r="AB34" s="1264">
        <f t="shared" si="4"/>
        <v>1</v>
      </c>
      <c r="AC34" s="1810">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2"/>
      <c r="Q35" s="1263" t="str">
        <f t="shared" si="11"/>
        <v>建筑结构</v>
      </c>
      <c r="R35" s="667" t="s">
        <v>14</v>
      </c>
      <c r="S35" s="668">
        <f t="shared" si="12"/>
        <v>100</v>
      </c>
      <c r="T35" s="667" t="s">
        <v>14</v>
      </c>
      <c r="U35" s="668">
        <f t="shared" si="13"/>
        <v>100</v>
      </c>
      <c r="V35" s="667" t="s">
        <v>14</v>
      </c>
      <c r="W35" s="668">
        <f t="shared" si="14"/>
        <v>100</v>
      </c>
      <c r="X35" s="1265"/>
      <c r="Y35" s="3404"/>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2"/>
      <c r="Q36" s="1263" t="str">
        <f t="shared" si="11"/>
        <v>公共部分装修</v>
      </c>
      <c r="R36" s="667" t="s">
        <v>14</v>
      </c>
      <c r="S36" s="668">
        <f t="shared" si="12"/>
        <v>100</v>
      </c>
      <c r="T36" s="667" t="s">
        <v>14</v>
      </c>
      <c r="U36" s="668">
        <f t="shared" si="13"/>
        <v>100</v>
      </c>
      <c r="V36" s="667" t="s">
        <v>14</v>
      </c>
      <c r="W36" s="668">
        <f t="shared" si="14"/>
        <v>100</v>
      </c>
      <c r="X36" s="1265"/>
      <c r="Y36" s="3404"/>
      <c r="Z36" s="1264" t="str">
        <f t="shared" si="15"/>
        <v>公共部分装修</v>
      </c>
      <c r="AA36" s="1264">
        <f t="shared" si="3"/>
        <v>1</v>
      </c>
      <c r="AB36" s="1264">
        <f t="shared" si="4"/>
        <v>1</v>
      </c>
      <c r="AC36" s="1810">
        <f t="shared" si="5"/>
        <v>1</v>
      </c>
    </row>
    <row r="37" spans="1:29" ht="15">
      <c r="A37" s="409"/>
      <c r="B37" s="364" t="s">
        <v>1786</v>
      </c>
      <c r="C37" s="411">
        <v>1</v>
      </c>
      <c r="D37" s="374">
        <v>100</v>
      </c>
      <c r="E37" s="411">
        <v>1</v>
      </c>
      <c r="F37" s="400">
        <f>LOOKUP(E37,111:111,112:112)-LOOKUP(C37,111:111,112:112)+100</f>
        <v>100</v>
      </c>
      <c r="G37" s="411">
        <v>1</v>
      </c>
      <c r="H37" s="400">
        <f>LOOKUP(G37,111:111,112:112)-LOOKUP(C37,111:111,112:112)+100</f>
        <v>100</v>
      </c>
      <c r="I37" s="411">
        <v>1</v>
      </c>
      <c r="J37" s="374">
        <f>LOOKUP(I37,111:111,112:112)-LOOKUP(C37,111:111,112:112)+100</f>
        <v>100</v>
      </c>
      <c r="K37" s="538"/>
      <c r="L37" s="2491"/>
      <c r="M37" s="2486"/>
      <c r="N37" s="2486"/>
      <c r="O37" s="2486"/>
      <c r="P37" s="3402"/>
      <c r="Q37" s="1263" t="str">
        <f t="shared" si="11"/>
        <v>成新度</v>
      </c>
      <c r="R37" s="667" t="s">
        <v>14</v>
      </c>
      <c r="S37" s="668">
        <f t="shared" si="12"/>
        <v>100</v>
      </c>
      <c r="T37" s="667" t="s">
        <v>14</v>
      </c>
      <c r="U37" s="668">
        <f t="shared" si="13"/>
        <v>100</v>
      </c>
      <c r="V37" s="667" t="s">
        <v>14</v>
      </c>
      <c r="W37" s="668">
        <f t="shared" si="14"/>
        <v>100</v>
      </c>
      <c r="X37" s="1265"/>
      <c r="Y37" s="3404"/>
      <c r="Z37" s="1264" t="str">
        <f t="shared" si="15"/>
        <v>成新度</v>
      </c>
      <c r="AA37" s="1264">
        <f t="shared" si="3"/>
        <v>1</v>
      </c>
      <c r="AB37" s="1264">
        <f t="shared" si="4"/>
        <v>1</v>
      </c>
      <c r="AC37" s="1810">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02"/>
      <c r="Q38" s="530" t="str">
        <f t="shared" si="11"/>
        <v>写字楼等级</v>
      </c>
      <c r="R38" s="664" t="s">
        <v>14</v>
      </c>
      <c r="S38" s="665">
        <f t="shared" si="12"/>
        <v>100</v>
      </c>
      <c r="T38" s="664" t="s">
        <v>14</v>
      </c>
      <c r="U38" s="665">
        <f t="shared" si="13"/>
        <v>100</v>
      </c>
      <c r="V38" s="664" t="s">
        <v>14</v>
      </c>
      <c r="W38" s="665">
        <f t="shared" si="14"/>
        <v>100</v>
      </c>
      <c r="X38" s="666"/>
      <c r="Y38" s="340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2" t="s">
        <v>1696</v>
      </c>
      <c r="Q39" s="1263" t="str">
        <f t="shared" si="11"/>
        <v>物业管理</v>
      </c>
      <c r="R39" s="667" t="s">
        <v>14</v>
      </c>
      <c r="S39" s="668">
        <f t="shared" si="12"/>
        <v>100</v>
      </c>
      <c r="T39" s="667" t="s">
        <v>14</v>
      </c>
      <c r="U39" s="668">
        <f t="shared" si="13"/>
        <v>100</v>
      </c>
      <c r="V39" s="667" t="s">
        <v>14</v>
      </c>
      <c r="W39" s="668">
        <f t="shared" si="14"/>
        <v>100</v>
      </c>
      <c r="X39" s="1265"/>
      <c r="Y39" s="3404"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2"/>
      <c r="Q40" s="1263" t="str">
        <f t="shared" si="11"/>
        <v>市政基础设施</v>
      </c>
      <c r="R40" s="667" t="s">
        <v>14</v>
      </c>
      <c r="S40" s="668">
        <f t="shared" si="12"/>
        <v>100</v>
      </c>
      <c r="T40" s="667" t="s">
        <v>14</v>
      </c>
      <c r="U40" s="668">
        <f t="shared" si="13"/>
        <v>100</v>
      </c>
      <c r="V40" s="667" t="s">
        <v>14</v>
      </c>
      <c r="W40" s="668">
        <f t="shared" si="14"/>
        <v>100</v>
      </c>
      <c r="X40" s="1265"/>
      <c r="Y40" s="3404"/>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2"/>
      <c r="Q41" s="1263" t="str">
        <f t="shared" si="11"/>
        <v>层高</v>
      </c>
      <c r="R41" s="667" t="s">
        <v>14</v>
      </c>
      <c r="S41" s="668">
        <f t="shared" si="12"/>
        <v>100</v>
      </c>
      <c r="T41" s="667" t="s">
        <v>14</v>
      </c>
      <c r="U41" s="668">
        <f t="shared" si="13"/>
        <v>100</v>
      </c>
      <c r="V41" s="667" t="s">
        <v>14</v>
      </c>
      <c r="W41" s="668">
        <f t="shared" si="14"/>
        <v>100</v>
      </c>
      <c r="X41" s="1265"/>
      <c r="Y41" s="3404"/>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2"/>
      <c r="Q42" s="531" t="str">
        <f t="shared" si="11"/>
        <v>单套建筑面积</v>
      </c>
      <c r="R42" s="669" t="s">
        <v>14</v>
      </c>
      <c r="S42" s="670">
        <f t="shared" si="12"/>
        <v>100</v>
      </c>
      <c r="T42" s="669" t="s">
        <v>14</v>
      </c>
      <c r="U42" s="670">
        <f t="shared" si="13"/>
        <v>100</v>
      </c>
      <c r="V42" s="669" t="s">
        <v>14</v>
      </c>
      <c r="W42" s="670">
        <f t="shared" si="14"/>
        <v>100</v>
      </c>
      <c r="X42" s="671"/>
      <c r="Y42" s="3404"/>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2"/>
      <c r="Q43" s="1263" t="str">
        <f t="shared" si="11"/>
        <v>内部装修</v>
      </c>
      <c r="R43" s="667" t="s">
        <v>14</v>
      </c>
      <c r="S43" s="668">
        <f t="shared" si="12"/>
        <v>100</v>
      </c>
      <c r="T43" s="667" t="s">
        <v>14</v>
      </c>
      <c r="U43" s="668">
        <f t="shared" si="13"/>
        <v>100</v>
      </c>
      <c r="V43" s="667" t="s">
        <v>14</v>
      </c>
      <c r="W43" s="668">
        <f t="shared" si="14"/>
        <v>100</v>
      </c>
      <c r="X43" s="1265"/>
      <c r="Y43" s="3404"/>
      <c r="Z43" s="1264" t="str">
        <f t="shared" si="15"/>
        <v>内部装修</v>
      </c>
      <c r="AA43" s="1264">
        <f t="shared" si="3"/>
        <v>1</v>
      </c>
      <c r="AB43" s="1264">
        <f t="shared" si="4"/>
        <v>1</v>
      </c>
      <c r="AC43" s="1810">
        <f t="shared" si="5"/>
        <v>1</v>
      </c>
    </row>
    <row r="44" spans="1:29" ht="28.8">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402"/>
      <c r="Q44" s="1263" t="str">
        <f t="shared" si="11"/>
        <v>内部装修维护情况</v>
      </c>
      <c r="R44" s="667" t="s">
        <v>14</v>
      </c>
      <c r="S44" s="668">
        <f t="shared" si="12"/>
        <v>100</v>
      </c>
      <c r="T44" s="667" t="s">
        <v>14</v>
      </c>
      <c r="U44" s="668">
        <f t="shared" si="13"/>
        <v>100</v>
      </c>
      <c r="V44" s="667" t="s">
        <v>14</v>
      </c>
      <c r="W44" s="668">
        <f t="shared" si="14"/>
        <v>100</v>
      </c>
      <c r="X44" s="1265"/>
      <c r="Y44" s="3404"/>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02"/>
      <c r="Q45" s="530">
        <f t="shared" si="11"/>
        <v>111</v>
      </c>
      <c r="R45" s="664" t="s">
        <v>14</v>
      </c>
      <c r="S45" s="665">
        <f t="shared" si="12"/>
        <v>100</v>
      </c>
      <c r="T45" s="664" t="s">
        <v>14</v>
      </c>
      <c r="U45" s="665">
        <f t="shared" si="13"/>
        <v>100</v>
      </c>
      <c r="V45" s="664" t="s">
        <v>14</v>
      </c>
      <c r="W45" s="665">
        <f t="shared" si="14"/>
        <v>100</v>
      </c>
      <c r="X45" s="666"/>
      <c r="Y45" s="340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2"/>
      <c r="Q46" s="1263">
        <f t="shared" si="11"/>
        <v>111</v>
      </c>
      <c r="R46" s="667" t="s">
        <v>14</v>
      </c>
      <c r="S46" s="668">
        <f t="shared" si="12"/>
        <v>100</v>
      </c>
      <c r="T46" s="667" t="s">
        <v>14</v>
      </c>
      <c r="U46" s="668">
        <f t="shared" si="13"/>
        <v>100</v>
      </c>
      <c r="V46" s="667" t="s">
        <v>14</v>
      </c>
      <c r="W46" s="668">
        <f t="shared" si="14"/>
        <v>100</v>
      </c>
      <c r="X46" s="1265"/>
      <c r="Y46" s="3404"/>
      <c r="Z46" s="1264">
        <f t="shared" si="15"/>
        <v>111</v>
      </c>
      <c r="AA46" s="1264">
        <f t="shared" si="3"/>
        <v>1</v>
      </c>
      <c r="AB46" s="1264">
        <f t="shared" si="4"/>
        <v>1</v>
      </c>
      <c r="AC46" s="1810">
        <f t="shared" si="5"/>
        <v>1</v>
      </c>
    </row>
    <row r="47" spans="1:29" ht="15.6"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3"/>
      <c r="Q47" s="1263">
        <f t="shared" si="11"/>
        <v>111</v>
      </c>
      <c r="R47" s="667" t="s">
        <v>14</v>
      </c>
      <c r="S47" s="668">
        <f t="shared" si="12"/>
        <v>100</v>
      </c>
      <c r="T47" s="667" t="s">
        <v>14</v>
      </c>
      <c r="U47" s="668">
        <f t="shared" si="13"/>
        <v>100</v>
      </c>
      <c r="V47" s="667" t="s">
        <v>14</v>
      </c>
      <c r="W47" s="668">
        <f t="shared" si="14"/>
        <v>100</v>
      </c>
      <c r="X47" s="1265"/>
      <c r="Y47" s="3405"/>
      <c r="Z47" s="1264">
        <f t="shared" si="15"/>
        <v>111</v>
      </c>
      <c r="AA47" s="1264">
        <f t="shared" si="3"/>
        <v>1</v>
      </c>
      <c r="AB47" s="1264">
        <f t="shared" si="4"/>
        <v>1</v>
      </c>
      <c r="AC47" s="1810">
        <f t="shared" si="5"/>
        <v>1</v>
      </c>
    </row>
    <row r="48" spans="1:29" ht="14.4">
      <c r="A48" s="416" t="s">
        <v>1708</v>
      </c>
      <c r="B48" s="417"/>
      <c r="C48" s="1081" t="s">
        <v>0</v>
      </c>
      <c r="D48" s="418"/>
      <c r="E48" s="419">
        <v>21000</v>
      </c>
      <c r="F48" s="420"/>
      <c r="G48" s="421">
        <f>E48</f>
        <v>21000</v>
      </c>
      <c r="H48" s="422"/>
      <c r="I48" s="419">
        <f>E48</f>
        <v>21000</v>
      </c>
      <c r="J48" s="422"/>
      <c r="K48" s="674"/>
      <c r="L48" s="2493"/>
      <c r="M48" s="2486"/>
      <c r="N48" s="2486"/>
      <c r="O48" s="2486"/>
      <c r="P48" s="3391" t="str">
        <f>A48</f>
        <v>成交单价（元/平方米）</v>
      </c>
      <c r="Q48" s="3392"/>
      <c r="R48" s="3393">
        <f>E48</f>
        <v>21000</v>
      </c>
      <c r="S48" s="3393"/>
      <c r="T48" s="3393">
        <f>G48</f>
        <v>21000</v>
      </c>
      <c r="U48" s="3393"/>
      <c r="V48" s="3393">
        <f>I48</f>
        <v>21000</v>
      </c>
      <c r="W48" s="3393"/>
      <c r="X48" s="385"/>
      <c r="Y48" s="673"/>
      <c r="Z48" s="385"/>
      <c r="AA48" s="385"/>
      <c r="AB48" s="385"/>
      <c r="AC48" s="555"/>
    </row>
    <row r="49" spans="1:29" ht="15" thickBot="1">
      <c r="A49" s="423" t="s">
        <v>1793</v>
      </c>
      <c r="B49" s="424"/>
      <c r="C49" s="1082">
        <f>R50</f>
        <v>21000</v>
      </c>
      <c r="D49" s="2139" t="s">
        <v>2138</v>
      </c>
      <c r="E49" s="1083">
        <f>R49</f>
        <v>21000</v>
      </c>
      <c r="F49" s="2140"/>
      <c r="G49" s="1082">
        <f>T49</f>
        <v>21000</v>
      </c>
      <c r="H49" s="2140"/>
      <c r="I49" s="1083">
        <f>V49</f>
        <v>21000</v>
      </c>
      <c r="J49" s="2140"/>
      <c r="K49" s="2142">
        <f>F49+H49+J49</f>
        <v>0</v>
      </c>
      <c r="L49" s="2493"/>
      <c r="M49" s="2486"/>
      <c r="N49" s="2486"/>
      <c r="O49" s="2486"/>
      <c r="P49" s="3391" t="str">
        <f>A49</f>
        <v>比较价值（元/平方米）</v>
      </c>
      <c r="Q49" s="3392"/>
      <c r="R49" s="3393">
        <f>IF(F1="售价",ROUND(PRODUCT(R48,AA7:AA47),0),ROUND(PRODUCT(R48,AA7:AA47),1))</f>
        <v>21000</v>
      </c>
      <c r="S49" s="3393"/>
      <c r="T49" s="3393">
        <f>IF(F1="售价",ROUND(PRODUCT(T48,AB7:AB47),0),ROUND(PRODUCT(T48,AB7:AB47),1))</f>
        <v>21000</v>
      </c>
      <c r="U49" s="3393"/>
      <c r="V49" s="3393">
        <f>IF(F1="售价",ROUND(PRODUCT(V48,AC7:AC47),0),ROUND(PRODUCT(V48,AC7:AC47),1))</f>
        <v>21000</v>
      </c>
      <c r="W49" s="3393"/>
      <c r="X49" s="385"/>
      <c r="Y49" s="385"/>
      <c r="Z49" s="385"/>
      <c r="AA49" s="385"/>
      <c r="AB49" s="385"/>
      <c r="AC49" s="555"/>
    </row>
    <row r="50" spans="1:29" ht="15" thickBot="1">
      <c r="A50" s="427" t="s">
        <v>1794</v>
      </c>
      <c r="B50" s="428"/>
      <c r="C50" s="351">
        <f>R50</f>
        <v>21000</v>
      </c>
      <c r="D50" s="351"/>
      <c r="E50" s="351"/>
      <c r="F50" s="351"/>
      <c r="G50" s="351"/>
      <c r="H50" s="351"/>
      <c r="I50" s="351"/>
      <c r="J50" s="429"/>
      <c r="K50" s="675"/>
      <c r="L50" s="2493"/>
      <c r="M50" s="2486"/>
      <c r="N50" s="2486"/>
      <c r="O50" s="2486"/>
      <c r="P50" s="3394" t="str">
        <f>A50</f>
        <v>估价对象XX用房的比较价值（楼面单价，元/平方米）</v>
      </c>
      <c r="Q50" s="3395"/>
      <c r="R50" s="3396">
        <f>IF(F1="售价",ROUND(IF(D49="简单平均",AVERAGE(R49:V49),R49*F49+T49*H49+V49*J49),0),ROUND(IF(D49="简单平均",AVERAGE(R49:V49),R49*F49+T49*H49+V49*J49),1))</f>
        <v>21000</v>
      </c>
      <c r="S50" s="3396"/>
      <c r="T50" s="3396"/>
      <c r="U50" s="3396"/>
      <c r="V50" s="3396"/>
      <c r="W50" s="3396"/>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0</v>
      </c>
      <c r="F53" s="435" t="str">
        <f>IF(OR(E53&gt;=0.3,E53&lt;=-0.3),"超过30%","")</f>
        <v/>
      </c>
      <c r="G53" s="434">
        <f>IF(G48&lt;G49,G49/G48-1,G48/G49-1)</f>
        <v>0</v>
      </c>
      <c r="H53" s="435" t="str">
        <f>IF(OR(G53&gt;=0.3,G53&lt;=-0.3),"超过30%","")</f>
        <v/>
      </c>
      <c r="I53" s="434">
        <f>IF(I48&lt;I49,I49/I48-1,I48/I49-1)</f>
        <v>0</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v>
      </c>
      <c r="F54" s="435" t="str">
        <f>IF(OR(E54&gt;=0.2,E54&lt;=-0.2),"超过20%","")</f>
        <v/>
      </c>
      <c r="G54" s="434">
        <f>IF(G49&lt;I49,I49/G49-1,G49/I49-1)</f>
        <v>0</v>
      </c>
      <c r="H54" s="435" t="str">
        <f>IF(OR(G54&gt;=0.2,G54&lt;=-0.2),"超过20%","")</f>
        <v/>
      </c>
      <c r="I54" s="434">
        <f>IF(I49&lt;E49,E49/I49-1,I49/E49-1)</f>
        <v>0</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0(含)-500</v>
      </c>
      <c r="D103" s="509" t="str">
        <f t="shared" ref="D103:L103" si="23">D104&amp;"(含)"&amp;"-"&amp;E104</f>
        <v>500(含)-1000</v>
      </c>
      <c r="E103" s="509" t="str">
        <f t="shared" si="23"/>
        <v>1000(含)-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500</v>
      </c>
      <c r="E104" s="6">
        <v>1000</v>
      </c>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F7:F47 H7:H47 J7:J47">
    <cfRule type="cellIs" dxfId="117" priority="1" operator="notEqual">
      <formula>100</formula>
    </cfRule>
  </conditionalFormatting>
  <conditionalFormatting sqref="F49">
    <cfRule type="expression" dxfId="116" priority="4">
      <formula>$D$49="简单平均"</formula>
    </cfRule>
  </conditionalFormatting>
  <conditionalFormatting sqref="F53:F55 H53:H55">
    <cfRule type="containsText" dxfId="115" priority="17" stopIfTrue="1" operator="containsText" text="超过">
      <formula>NOT(ISERROR(SEARCH("超过",F53)))</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G55">
    <cfRule type="expression" dxfId="112" priority="13" stopIfTrue="1">
      <formula>$H$55="超过30%"</formula>
    </cfRule>
  </conditionalFormatting>
  <conditionalFormatting sqref="H49">
    <cfRule type="expression" dxfId="111" priority="3">
      <formula>$D$49="简单平均"</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J49">
    <cfRule type="expression" dxfId="107" priority="2">
      <formula>$D$49="简单平均"</formula>
    </cfRule>
  </conditionalFormatting>
  <conditionalFormatting sqref="J53:J55">
    <cfRule type="containsText" dxfId="106"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E11" sqref="E1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40.53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13990.656000000001</v>
      </c>
      <c r="C2" s="1289" t="s">
        <v>879</v>
      </c>
      <c r="D2" s="1375">
        <f ca="1">C40+J29+L46</f>
        <v>139906560</v>
      </c>
      <c r="E2" s="1295" t="s">
        <v>880</v>
      </c>
      <c r="F2" s="1296"/>
      <c r="G2" s="2477"/>
      <c r="H2" s="2467"/>
      <c r="I2" s="2467"/>
      <c r="J2" s="2467"/>
      <c r="K2" s="2468"/>
      <c r="L2" s="2467"/>
      <c r="M2" s="2467"/>
    </row>
    <row r="3" spans="1:37" ht="18" customHeight="1" thickBot="1">
      <c r="A3" s="1297" t="s">
        <v>881</v>
      </c>
      <c r="B3" s="1298">
        <f ca="1">IF(ISERROR(D2/F43),0,ROUND(D2/F43,0))</f>
        <v>14795</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9331030</v>
      </c>
      <c r="D5" s="1273" t="s">
        <v>889</v>
      </c>
      <c r="E5" s="1008"/>
      <c r="F5" s="1009"/>
      <c r="G5" s="1292"/>
      <c r="H5" s="291">
        <v>1</v>
      </c>
      <c r="I5" s="292" t="s">
        <v>888</v>
      </c>
      <c r="J5" s="1007">
        <f ca="1">J6+J10+J12</f>
        <v>0</v>
      </c>
      <c r="K5" s="1273" t="s">
        <v>889</v>
      </c>
      <c r="L5" s="1008"/>
      <c r="M5" s="1009"/>
    </row>
    <row r="6" spans="1:37" ht="18" customHeight="1">
      <c r="A6" s="1006" t="s">
        <v>398</v>
      </c>
      <c r="B6" s="3369" t="s">
        <v>694</v>
      </c>
      <c r="C6" s="1011">
        <f ca="1">ROUND(F6*F8*F7*(1-F9),0)</f>
        <v>9319381</v>
      </c>
      <c r="D6" s="147" t="s">
        <v>2106</v>
      </c>
      <c r="E6" s="294" t="s">
        <v>696</v>
      </c>
      <c r="F6" s="295">
        <f ca="1">INDIRECT("'数据-取费表'!u"&amp;$G$1)</f>
        <v>3</v>
      </c>
      <c r="G6" s="1292"/>
      <c r="H6" s="1006" t="s">
        <v>398</v>
      </c>
      <c r="I6" s="3369" t="s">
        <v>694</v>
      </c>
      <c r="J6" s="293">
        <f ca="1">ROUND(M6*M8*M7*(1-M9),0)</f>
        <v>0</v>
      </c>
      <c r="K6" s="1284" t="s">
        <v>2107</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9456.5000000000018</v>
      </c>
      <c r="G7" s="1292"/>
      <c r="H7" s="296"/>
      <c r="I7" s="3370"/>
      <c r="J7" s="298"/>
      <c r="K7" s="299"/>
      <c r="L7" s="294" t="s">
        <v>697</v>
      </c>
      <c r="M7" s="295">
        <f ca="1">F7</f>
        <v>9456.5000000000018</v>
      </c>
    </row>
    <row r="8" spans="1:37" ht="18" customHeight="1">
      <c r="A8" s="296"/>
      <c r="B8" s="3370"/>
      <c r="C8" s="298"/>
      <c r="D8" s="299"/>
      <c r="E8" s="294" t="s">
        <v>698</v>
      </c>
      <c r="F8" s="295">
        <f ca="1">INDIRECT("'数据-取费表'!ai"&amp;$G$1)</f>
        <v>365</v>
      </c>
      <c r="G8" s="1292"/>
      <c r="H8" s="296"/>
      <c r="I8" s="3370"/>
      <c r="J8" s="298"/>
      <c r="K8" s="299"/>
      <c r="L8" s="294" t="s">
        <v>698</v>
      </c>
      <c r="M8" s="295">
        <f ca="1">INDIRECT("'数据-取费表'!ai"&amp;$G$1)</f>
        <v>365</v>
      </c>
    </row>
    <row r="9" spans="1:37" ht="18" customHeight="1">
      <c r="A9" s="296"/>
      <c r="B9" s="3371"/>
      <c r="C9" s="298"/>
      <c r="D9" s="299"/>
      <c r="E9" s="294" t="s">
        <v>699</v>
      </c>
      <c r="F9" s="304">
        <f ca="1">INDIRECT("'数据-取费表'!w"&amp;$G$1)</f>
        <v>0.1</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11649</v>
      </c>
      <c r="D10" s="150" t="s">
        <v>2116</v>
      </c>
      <c r="E10" s="305" t="s">
        <v>701</v>
      </c>
      <c r="F10" s="1053" t="s">
        <v>3427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59987603</v>
      </c>
      <c r="D13" s="1018" t="s">
        <v>705</v>
      </c>
      <c r="E13" s="1018" t="s">
        <v>706</v>
      </c>
      <c r="F13" s="1019">
        <f ca="1">INDIRECT("'数据-取费表'!y"&amp;$G$1)</f>
        <v>0.97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42554250</v>
      </c>
      <c r="D14" s="1257" t="s">
        <v>708</v>
      </c>
      <c r="E14" s="1255"/>
      <c r="F14" s="311"/>
      <c r="G14" s="1292"/>
      <c r="H14" s="928" t="s">
        <v>398</v>
      </c>
      <c r="I14" s="294" t="s">
        <v>709</v>
      </c>
      <c r="J14" s="21">
        <f ca="1">C29</f>
        <v>61842890</v>
      </c>
      <c r="K14" s="12"/>
      <c r="L14" s="759"/>
      <c r="M14" s="760"/>
    </row>
    <row r="15" spans="1:37" s="1304" customFormat="1" ht="18" customHeight="1" thickBot="1">
      <c r="A15" s="928" t="s">
        <v>399</v>
      </c>
      <c r="B15" s="294" t="s">
        <v>710</v>
      </c>
      <c r="C15" s="21">
        <f ca="1">ROUND(C14*F15,0)</f>
        <v>2127713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618429</v>
      </c>
      <c r="K16" s="1024" t="s">
        <v>715</v>
      </c>
      <c r="L16" s="1025"/>
      <c r="M16" s="1009"/>
    </row>
    <row r="17" spans="1:37" s="1304" customFormat="1" ht="18" customHeight="1">
      <c r="A17" s="928" t="s">
        <v>681</v>
      </c>
      <c r="B17" s="294" t="s">
        <v>716</v>
      </c>
      <c r="C17" s="21">
        <f ca="1">ROUND(F17*(F43+INDIRECT("'数据-取费表'!S"&amp;$G$1)),0)</f>
        <v>1891300</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851085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47424348</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948487</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618429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1514070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-618429</v>
      </c>
      <c r="K25" s="1032" t="s">
        <v>753</v>
      </c>
      <c r="L25" s="1033"/>
      <c r="M25" s="1034"/>
    </row>
    <row r="26" spans="1:37" ht="18" customHeight="1">
      <c r="A26" s="928" t="s">
        <v>397</v>
      </c>
      <c r="B26" s="294" t="s">
        <v>754</v>
      </c>
      <c r="C26" s="21">
        <f ca="1">ROUND((C19+C20)*F26,0)</f>
        <v>7255925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61842890</v>
      </c>
      <c r="D29" s="1029"/>
      <c r="E29" s="1027"/>
      <c r="F29" s="1030"/>
      <c r="G29" s="1303"/>
      <c r="H29" s="325" t="s">
        <v>396</v>
      </c>
      <c r="I29" s="326" t="s">
        <v>768</v>
      </c>
      <c r="J29" s="327">
        <f ca="1">ROUND(J26/(1+F40)^F41,0)</f>
        <v>0</v>
      </c>
      <c r="K29" s="328" t="s">
        <v>769</v>
      </c>
      <c r="L29" s="329"/>
      <c r="M29" s="330">
        <f ca="1">INDIRECT("'数据-取费表'!k"&amp;$G$1)</f>
        <v>9456.5000000000018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2324957</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1553230</v>
      </c>
      <c r="D31" s="1257" t="s">
        <v>720</v>
      </c>
      <c r="E31" s="1256" t="s">
        <v>770</v>
      </c>
      <c r="F31" s="2137"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488158</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1065072</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618429</v>
      </c>
      <c r="D36" s="1256" t="s">
        <v>771</v>
      </c>
      <c r="E36" s="294" t="s">
        <v>712</v>
      </c>
      <c r="F36" s="320">
        <f ca="1">INDIRECT("'数据-取费表'!Ak"&amp;$G$1)</f>
        <v>0.01</v>
      </c>
      <c r="G36" s="1292"/>
      <c r="H36" s="2472"/>
      <c r="I36" s="1305"/>
      <c r="J36" s="1306"/>
      <c r="K36" s="2329"/>
      <c r="L36" s="2472"/>
      <c r="M36" s="2472"/>
    </row>
    <row r="37" spans="1:18" ht="18" customHeight="1">
      <c r="A37" s="928" t="s">
        <v>437</v>
      </c>
      <c r="B37" s="294" t="s">
        <v>742</v>
      </c>
      <c r="C37" s="21">
        <f ca="1">ROUND(C13*F37,0)</f>
        <v>59988</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93310</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7006073</v>
      </c>
      <c r="D39" s="1032" t="s">
        <v>773</v>
      </c>
      <c r="E39" s="1033"/>
      <c r="F39" s="1034"/>
      <c r="G39" s="1292"/>
      <c r="H39" s="2472"/>
      <c r="I39" s="1305"/>
      <c r="J39" s="1306"/>
      <c r="K39" s="2470"/>
      <c r="L39" s="2472"/>
      <c r="M39" s="2472"/>
    </row>
    <row r="40" spans="1:18" ht="18" customHeight="1">
      <c r="A40" s="291" t="s">
        <v>395</v>
      </c>
      <c r="B40" s="292" t="s">
        <v>774</v>
      </c>
      <c r="C40" s="293">
        <f ca="1">ROUND(C39*(1-((1+F42)/(1+F40))^F41)/(F40-F42),0)</f>
        <v>138587196</v>
      </c>
      <c r="D40" s="316" t="s">
        <v>758</v>
      </c>
      <c r="E40" s="294" t="s">
        <v>759</v>
      </c>
      <c r="F40" s="304">
        <f ca="1">INDIRECT("'数据-取费表'!I"&amp;$G$1)</f>
        <v>5.5E-2</v>
      </c>
      <c r="G40" s="1292"/>
      <c r="H40" s="1366">
        <f ca="1">C39/C5</f>
        <v>0.75083597416362391</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40.53</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14655</v>
      </c>
      <c r="D43" s="328" t="s">
        <v>777</v>
      </c>
      <c r="E43" s="329" t="s">
        <v>778</v>
      </c>
      <c r="F43" s="330">
        <f ca="1">INDIRECT("'数据-取费表'!k"&amp;$G$1)</f>
        <v>9456.5000000000018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-14951.369699999999</v>
      </c>
      <c r="D45" s="3129" t="s">
        <v>3350</v>
      </c>
      <c r="E45" s="1307"/>
      <c r="F45" s="1307"/>
      <c r="O45" s="1310" t="s">
        <v>808</v>
      </c>
      <c r="P45" s="1366"/>
      <c r="Q45" s="1366"/>
      <c r="R45" s="1366"/>
    </row>
    <row r="46" spans="1:18" s="1292" customFormat="1" ht="13.8" thickBot="1">
      <c r="A46" s="1311" t="s">
        <v>809</v>
      </c>
      <c r="C46" s="1312">
        <f ca="1">ROUND(C45,0)</f>
        <v>-14951</v>
      </c>
      <c r="D46" s="1313" t="str">
        <f>C2</f>
        <v>万元</v>
      </c>
      <c r="I46" s="1314" t="s">
        <v>810</v>
      </c>
      <c r="J46" s="1315"/>
      <c r="K46" s="1316"/>
      <c r="L46" s="1317">
        <f ca="1">IF(M47="住宅",0,IF(L48&gt;J51,L60,J60))</f>
        <v>1319364</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3428</v>
      </c>
      <c r="K47" s="1323" t="s">
        <v>816</v>
      </c>
      <c r="L47" s="1324">
        <f ca="1">INDIRECT("'数据-取费表'!d"&amp;$G$1)</f>
        <v>50</v>
      </c>
      <c r="M47" s="1288" t="str">
        <f>IF(ISNUMBER(FIND("住宅",C1)),"住宅","非住宅")</f>
        <v>非住宅</v>
      </c>
      <c r="O47" s="1325" t="s">
        <v>403</v>
      </c>
      <c r="P47" s="1326" t="s">
        <v>817</v>
      </c>
      <c r="Q47" s="1327">
        <f ca="1">C40+J29</f>
        <v>138587196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3429</v>
      </c>
      <c r="K48" s="1330" t="s">
        <v>820</v>
      </c>
      <c r="L48" s="1331">
        <f ca="1">INDIRECT("'数据-取费表'!f"&amp;$G$1)</f>
        <v>40.53</v>
      </c>
      <c r="O48" s="1325" t="s">
        <v>404</v>
      </c>
      <c r="P48" s="1326" t="s">
        <v>821</v>
      </c>
      <c r="Q48" s="1327">
        <f ca="1">J60</f>
        <v>1319364</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2023</v>
      </c>
      <c r="K49" s="1330" t="s">
        <v>824</v>
      </c>
      <c r="L49" s="1333"/>
      <c r="O49" s="1334" t="s">
        <v>405</v>
      </c>
      <c r="P49" s="1326" t="s">
        <v>825</v>
      </c>
      <c r="Q49" s="1327">
        <f ca="1">C29</f>
        <v>61842890</v>
      </c>
      <c r="R49" s="1327" t="s">
        <v>818</v>
      </c>
    </row>
    <row r="50" spans="1:18" s="1292" customFormat="1" ht="13.8" thickBot="1">
      <c r="A50" s="922"/>
      <c r="B50" s="925"/>
      <c r="C50" s="926"/>
      <c r="D50" s="899"/>
      <c r="E50" s="993" t="s">
        <v>697</v>
      </c>
      <c r="F50" s="994">
        <f ca="1">F7</f>
        <v>9456.5000000000018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58</v>
      </c>
      <c r="K51" s="1339" t="s">
        <v>830</v>
      </c>
      <c r="L51" s="1340">
        <f ca="1">ROUND(-PV(INDIRECT("'数据-取费表'!h"&amp;$G$1),J51,(C39-C13*C76),0),0)</f>
        <v>52825339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40.53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40.53</v>
      </c>
      <c r="K53" s="3367" t="s">
        <v>837</v>
      </c>
      <c r="L53" s="3368"/>
      <c r="O53" s="1325" t="s">
        <v>409</v>
      </c>
      <c r="P53" s="1326" t="s">
        <v>838</v>
      </c>
      <c r="Q53" s="1327">
        <f ca="1">Q47+Q48</f>
        <v>139906560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0.29099999999999998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59987603</v>
      </c>
      <c r="D56" s="1352"/>
      <c r="E56" s="1353"/>
      <c r="F56" s="1345"/>
      <c r="I56" s="1354" t="s">
        <v>842</v>
      </c>
      <c r="J56" s="1355" t="s">
        <v>3430</v>
      </c>
      <c r="K56" s="1328" t="s">
        <v>843</v>
      </c>
      <c r="L56" s="1331" t="str">
        <f ca="1">IF(L48&lt;J51,"——",L48-J51)</f>
        <v>——</v>
      </c>
      <c r="O56" s="1325" t="s">
        <v>403</v>
      </c>
      <c r="P56" s="1326" t="s">
        <v>817</v>
      </c>
      <c r="Q56" s="1327">
        <f ca="1">C40+J29</f>
        <v>138587196</v>
      </c>
      <c r="R56" s="1327" t="s">
        <v>818</v>
      </c>
    </row>
    <row r="57" spans="1:18" s="1292" customFormat="1" ht="24.6" thickBot="1">
      <c r="A57" s="1356"/>
      <c r="B57" s="896" t="s">
        <v>767</v>
      </c>
      <c r="C57" s="230">
        <f ca="1">C29</f>
        <v>61842890</v>
      </c>
      <c r="D57" s="1357"/>
      <c r="E57" s="1358"/>
      <c r="F57" s="1359"/>
      <c r="I57" s="1360" t="s">
        <v>844</v>
      </c>
      <c r="J57" s="1361">
        <f ca="1">IF(OR(M47="住宅",J51&lt;L48,J56="是"),"——",J51-L48)</f>
        <v>17.47</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678417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8">
        <f ca="1">ROUND(IF(AND(项目基本情况!B11="自然人",项目基本情况!B10="北京市"),C49*F59/(1+'数据-取费表'!C42),C60+C61+C62),0)</f>
        <v>0</v>
      </c>
      <c r="D59" s="909" t="s">
        <v>720</v>
      </c>
      <c r="E59" s="910" t="s">
        <v>721</v>
      </c>
      <c r="F59" s="2137" t="str">
        <f>IF(项目基本情况!B11="企业","——",IF('数据-取费表'!B10="住宅",IF(F49*F50*F51/12/(1+'数据-取费表'!F30)&gt;100000,4%,2.5%),IF(F49*F50*F51/12/(1+'数据-取费表'!F30)&gt;100000,12%,7%)))</f>
        <v>——</v>
      </c>
      <c r="I59" s="1360" t="s">
        <v>851</v>
      </c>
      <c r="J59" s="1361">
        <f ca="1">IF(OR(M47="住宅",J51&lt;L48,J56="是"),"——",ROUND(C29*J58,0))</f>
        <v>24737156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1319364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138587196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618429</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59988</v>
      </c>
      <c r="D65" s="910" t="s">
        <v>743</v>
      </c>
      <c r="E65" s="896" t="s">
        <v>744</v>
      </c>
      <c r="F65" s="321">
        <f t="shared" ca="1" si="0"/>
        <v>1E-3</v>
      </c>
      <c r="I65" s="1367" t="s">
        <v>867</v>
      </c>
      <c r="J65" s="610">
        <v>40</v>
      </c>
      <c r="K65" s="610">
        <v>30</v>
      </c>
      <c r="L65" s="610">
        <v>50</v>
      </c>
      <c r="M65" s="1369">
        <v>0.02</v>
      </c>
      <c r="O65" s="1325" t="s">
        <v>403</v>
      </c>
      <c r="P65" s="1326" t="s">
        <v>868</v>
      </c>
      <c r="Q65" s="1327">
        <f ca="1">C40+J29</f>
        <v>138587196</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-678417</v>
      </c>
      <c r="D67" s="909" t="s">
        <v>753</v>
      </c>
      <c r="E67" s="914"/>
      <c r="F67" s="915"/>
      <c r="O67" s="1334" t="s">
        <v>405</v>
      </c>
      <c r="P67" s="1326" t="s">
        <v>850</v>
      </c>
      <c r="Q67" s="1370">
        <f ca="1">L51</f>
        <v>52825339</v>
      </c>
      <c r="R67" s="1327" t="s">
        <v>870</v>
      </c>
    </row>
    <row r="68" spans="1:18" s="1292" customFormat="1" ht="16.2" thickBot="1">
      <c r="A68" s="893" t="s">
        <v>395</v>
      </c>
      <c r="B68" s="894" t="s">
        <v>774</v>
      </c>
      <c r="C68" s="293">
        <f ca="1">ROUND(C67*(1-((1+F70)/(1+F68))^F69)/(F68-F70),0)</f>
        <v>-10926501</v>
      </c>
      <c r="D68" s="911" t="s">
        <v>758</v>
      </c>
      <c r="E68" s="896" t="s">
        <v>759</v>
      </c>
      <c r="F68" s="304">
        <f ca="1">F40</f>
        <v>5.5E-2</v>
      </c>
      <c r="O68" s="1334" t="s">
        <v>406</v>
      </c>
      <c r="P68" s="1371" t="s">
        <v>871</v>
      </c>
      <c r="Q68" s="1327">
        <f ca="1">ROUND(Q69-Q70*Q71,0)</f>
        <v>2806941</v>
      </c>
      <c r="R68" s="1327" t="s">
        <v>414</v>
      </c>
    </row>
    <row r="69" spans="1:18" s="1292" customFormat="1" ht="13.8" thickBot="1">
      <c r="A69" s="897"/>
      <c r="B69" s="898"/>
      <c r="C69" s="298"/>
      <c r="D69" s="916" t="s">
        <v>762</v>
      </c>
      <c r="E69" s="896" t="s">
        <v>763</v>
      </c>
      <c r="F69" s="324">
        <f ca="1">F41</f>
        <v>40.53</v>
      </c>
      <c r="O69" s="1334" t="s">
        <v>411</v>
      </c>
      <c r="P69" s="1371" t="s">
        <v>872</v>
      </c>
      <c r="Q69" s="1327">
        <f ca="1">C39</f>
        <v>7006073</v>
      </c>
      <c r="R69" s="1327" t="s">
        <v>818</v>
      </c>
    </row>
    <row r="70" spans="1:18" s="1292" customFormat="1" ht="13.8" thickBot="1">
      <c r="A70" s="900"/>
      <c r="B70" s="901"/>
      <c r="C70" s="302"/>
      <c r="D70" s="912"/>
      <c r="E70" s="896" t="s">
        <v>766</v>
      </c>
      <c r="F70" s="991"/>
      <c r="O70" s="1334" t="s">
        <v>412</v>
      </c>
      <c r="P70" s="1371" t="s">
        <v>873</v>
      </c>
      <c r="Q70" s="1327">
        <f ca="1">C13</f>
        <v>59987603</v>
      </c>
      <c r="R70" s="1327" t="s">
        <v>818</v>
      </c>
    </row>
    <row r="71" spans="1:18" s="1292" customFormat="1" ht="13.8" thickBot="1">
      <c r="A71" s="917" t="s">
        <v>396</v>
      </c>
      <c r="B71" s="918" t="s">
        <v>776</v>
      </c>
      <c r="C71" s="327">
        <f ca="1">ROUND(C68/F71,0)</f>
        <v>-1155</v>
      </c>
      <c r="D71" s="919" t="s">
        <v>777</v>
      </c>
      <c r="E71" s="920" t="s">
        <v>778</v>
      </c>
      <c r="F71" s="330">
        <f ca="1">F43</f>
        <v>9456.5000000000018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4199132</v>
      </c>
      <c r="D75" s="1292"/>
      <c r="E75" s="1292"/>
      <c r="F75" s="1292"/>
      <c r="K75" s="1309"/>
      <c r="L75" s="1292"/>
      <c r="O75" s="1325" t="s">
        <v>409</v>
      </c>
      <c r="P75" s="1326" t="s">
        <v>838</v>
      </c>
      <c r="Q75" s="1327">
        <f ca="1">Q65+Q66</f>
        <v>138587196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0.40100000000000002</v>
      </c>
    </row>
    <row r="80" spans="1:18">
      <c r="B80" s="331" t="s">
        <v>800</v>
      </c>
      <c r="C80" s="266">
        <f ca="1">ROUND(C75/C39,3)</f>
        <v>0.59899999999999998</v>
      </c>
    </row>
    <row r="81" spans="2:3">
      <c r="B81" s="262" t="s">
        <v>801</v>
      </c>
      <c r="C81" s="230"/>
    </row>
    <row r="82" spans="2:3">
      <c r="B82" s="265" t="s">
        <v>802</v>
      </c>
      <c r="C82" s="267">
        <f ca="1">1-C83</f>
        <v>0.56699999999999995</v>
      </c>
    </row>
    <row r="83" spans="2:3">
      <c r="B83" s="265" t="s">
        <v>803</v>
      </c>
      <c r="C83" s="266">
        <f ca="1">ROUND(C13/C40,3)</f>
        <v>0.433</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3356</v>
      </c>
      <c r="E2" s="3138"/>
      <c r="F2" s="2596"/>
      <c r="G2" s="2597"/>
      <c r="H2" s="2598"/>
      <c r="I2" s="2599"/>
      <c r="J2" s="3447" t="s">
        <v>2317</v>
      </c>
      <c r="K2" s="3448"/>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449" t="s">
        <v>2327</v>
      </c>
      <c r="K3" s="3450"/>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449" t="s">
        <v>2329</v>
      </c>
      <c r="K4" s="3450"/>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455" t="s">
        <v>2333</v>
      </c>
      <c r="B6" s="3456"/>
      <c r="C6" s="3457"/>
      <c r="D6" s="2620"/>
      <c r="E6" s="2621"/>
      <c r="F6" s="2622"/>
      <c r="G6" s="2623"/>
      <c r="H6" s="2598"/>
      <c r="I6" s="2599"/>
      <c r="J6" s="3441">
        <v>1</v>
      </c>
      <c r="K6" s="344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441"/>
      <c r="K7" s="3443"/>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58" t="s">
        <v>2347</v>
      </c>
      <c r="C8" s="3459"/>
      <c r="D8" s="2639" t="s">
        <v>2348</v>
      </c>
      <c r="E8" s="2640" t="s">
        <v>2349</v>
      </c>
      <c r="F8" s="2641" t="s">
        <v>2350</v>
      </c>
      <c r="G8" s="2642"/>
      <c r="H8" s="2598"/>
      <c r="I8" s="2599"/>
      <c r="J8" s="3441"/>
      <c r="K8" s="3443"/>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58" t="s">
        <v>2353</v>
      </c>
      <c r="C9" s="3459"/>
      <c r="D9" s="2639">
        <f>ROUND(D6*E9,0)</f>
        <v>0</v>
      </c>
      <c r="E9" s="2643"/>
      <c r="F9" s="2644" t="s">
        <v>2354</v>
      </c>
      <c r="G9" s="2623"/>
      <c r="H9" s="2598"/>
      <c r="I9" s="2599"/>
      <c r="J9" s="3441"/>
      <c r="K9" s="3443"/>
      <c r="L9" s="2633" t="s">
        <v>2355</v>
      </c>
      <c r="M9" s="2634"/>
      <c r="N9" s="2610"/>
      <c r="O9" s="2635"/>
      <c r="P9" s="2635"/>
      <c r="Q9" s="2636">
        <v>365</v>
      </c>
      <c r="R9" s="2637">
        <f t="shared" si="0"/>
        <v>0</v>
      </c>
      <c r="S9" s="2591"/>
      <c r="T9" s="2591"/>
      <c r="U9" s="2591"/>
      <c r="V9" s="2599"/>
    </row>
    <row r="10" spans="1:22" s="2603" customFormat="1" ht="13.2" customHeight="1">
      <c r="A10" s="2638">
        <v>2</v>
      </c>
      <c r="B10" s="3458" t="s">
        <v>2356</v>
      </c>
      <c r="C10" s="3459"/>
      <c r="D10" s="2639">
        <f>ROUND(D6*E10,0)</f>
        <v>0</v>
      </c>
      <c r="E10" s="2643"/>
      <c r="F10" s="2644" t="s">
        <v>2357</v>
      </c>
      <c r="G10" s="2623"/>
      <c r="H10" s="2598"/>
      <c r="I10" s="2599"/>
      <c r="J10" s="3441"/>
      <c r="K10" s="3443"/>
      <c r="L10" s="2633" t="s">
        <v>2358</v>
      </c>
      <c r="M10" s="2634"/>
      <c r="N10" s="2610"/>
      <c r="O10" s="2635"/>
      <c r="P10" s="2635"/>
      <c r="Q10" s="2636">
        <v>365</v>
      </c>
      <c r="R10" s="2637">
        <f t="shared" si="0"/>
        <v>0</v>
      </c>
      <c r="S10" s="2591"/>
      <c r="T10" s="2591"/>
      <c r="U10" s="2591"/>
      <c r="V10" s="2599"/>
    </row>
    <row r="11" spans="1:22" s="2603" customFormat="1" ht="13.2" customHeight="1">
      <c r="A11" s="2638">
        <v>3</v>
      </c>
      <c r="B11" s="3458" t="s">
        <v>2359</v>
      </c>
      <c r="C11" s="3459"/>
      <c r="D11" s="2639">
        <f>D12+D14+D15+D16</f>
        <v>0</v>
      </c>
      <c r="E11" s="2645" t="e">
        <f>D11/D6</f>
        <v>#DIV/0!</v>
      </c>
      <c r="F11" s="2641"/>
      <c r="G11" s="2642"/>
      <c r="H11" s="2598"/>
      <c r="I11" s="2599"/>
      <c r="J11" s="3441"/>
      <c r="K11" s="3443"/>
      <c r="L11" s="2633" t="s">
        <v>2360</v>
      </c>
      <c r="M11" s="2634"/>
      <c r="N11" s="2610"/>
      <c r="O11" s="2635"/>
      <c r="P11" s="2635"/>
      <c r="Q11" s="2636">
        <v>365</v>
      </c>
      <c r="R11" s="2637">
        <f t="shared" si="0"/>
        <v>0</v>
      </c>
      <c r="S11" s="2591"/>
      <c r="T11" s="2591"/>
      <c r="U11" s="2591"/>
      <c r="V11" s="2599"/>
    </row>
    <row r="12" spans="1:22" s="2603" customFormat="1" ht="13.2" customHeight="1">
      <c r="A12" s="2646" t="s">
        <v>2361</v>
      </c>
      <c r="B12" s="3451" t="s">
        <v>2362</v>
      </c>
      <c r="C12" s="3452"/>
      <c r="D12" s="2647">
        <f>ROUND(D13*1.2%*(1-30%),0)</f>
        <v>0</v>
      </c>
      <c r="E12" s="2648">
        <v>1.2E-2</v>
      </c>
      <c r="F12" s="2641" t="s">
        <v>2363</v>
      </c>
      <c r="G12" s="2642"/>
      <c r="H12" s="2598"/>
      <c r="I12" s="2599"/>
      <c r="J12" s="3441"/>
      <c r="K12" s="3443"/>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441"/>
      <c r="K13" s="3443"/>
      <c r="L13" s="2633" t="s">
        <v>2366</v>
      </c>
      <c r="M13" s="2634"/>
      <c r="N13" s="2610"/>
      <c r="O13" s="2635"/>
      <c r="P13" s="2635"/>
      <c r="Q13" s="2636">
        <v>365</v>
      </c>
      <c r="R13" s="2637">
        <f t="shared" si="0"/>
        <v>0</v>
      </c>
      <c r="S13" s="2591"/>
      <c r="T13" s="2591"/>
      <c r="U13" s="2591"/>
      <c r="V13" s="2599"/>
    </row>
    <row r="14" spans="1:22" s="2603" customFormat="1" ht="13.2" customHeight="1">
      <c r="A14" s="2646" t="s">
        <v>2367</v>
      </c>
      <c r="B14" s="3451" t="s">
        <v>2368</v>
      </c>
      <c r="C14" s="3452"/>
      <c r="D14" s="2647">
        <f>ROUND(E14*B5/10000,0)</f>
        <v>0</v>
      </c>
      <c r="E14" s="2636"/>
      <c r="F14" s="2641" t="s">
        <v>2369</v>
      </c>
      <c r="G14" s="2642"/>
      <c r="H14" s="2598"/>
      <c r="I14" s="2599"/>
      <c r="J14" s="3441"/>
      <c r="K14" s="344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451" t="s">
        <v>2372</v>
      </c>
      <c r="C15" s="3452"/>
      <c r="D15" s="2647">
        <f>ROUND(D6*E15,0)</f>
        <v>0</v>
      </c>
      <c r="E15" s="2648">
        <v>5.5E-2</v>
      </c>
      <c r="F15" s="2641" t="s">
        <v>2373</v>
      </c>
      <c r="G15" s="2623"/>
      <c r="H15" s="2598"/>
      <c r="I15" s="2599"/>
      <c r="J15" s="3441">
        <v>2</v>
      </c>
      <c r="K15" s="344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451" t="s">
        <v>2381</v>
      </c>
      <c r="C16" s="3452"/>
      <c r="D16" s="2658">
        <f>D6*E16</f>
        <v>0</v>
      </c>
      <c r="E16" s="2659"/>
      <c r="F16" s="2644" t="s">
        <v>2382</v>
      </c>
      <c r="G16" s="2623"/>
      <c r="H16" s="2598"/>
      <c r="I16" s="2599"/>
      <c r="J16" s="3441"/>
      <c r="K16" s="3443"/>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53" t="s">
        <v>2384</v>
      </c>
      <c r="C17" s="3454"/>
      <c r="D17" s="2661">
        <f>ROUND(D6*E17,0)</f>
        <v>0</v>
      </c>
      <c r="E17" s="2662"/>
      <c r="F17" s="2663" t="s">
        <v>2385</v>
      </c>
      <c r="G17" s="2623"/>
      <c r="H17" s="2598"/>
      <c r="I17" s="2599"/>
      <c r="J17" s="3441"/>
      <c r="K17" s="3443"/>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441"/>
      <c r="K18" s="3443"/>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441"/>
      <c r="K19" s="344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41">
        <v>3</v>
      </c>
      <c r="K20" s="344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441"/>
      <c r="K21" s="3443"/>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441"/>
      <c r="K22" s="3443"/>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441"/>
      <c r="K23" s="3443"/>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441"/>
      <c r="K24" s="344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4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46"/>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447" t="s">
        <v>2317</v>
      </c>
      <c r="K32" s="3448"/>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449" t="s">
        <v>2327</v>
      </c>
      <c r="K33" s="3450"/>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449" t="s">
        <v>2329</v>
      </c>
      <c r="K34" s="3450"/>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441">
        <v>1</v>
      </c>
      <c r="K36" s="3442"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441"/>
      <c r="K37" s="3443"/>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41"/>
      <c r="K38" s="3443"/>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441"/>
      <c r="K39" s="3443"/>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441"/>
      <c r="K40" s="3444"/>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45">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46"/>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3" t="s">
        <v>1658</v>
      </c>
      <c r="B1" s="1724"/>
      <c r="C1" s="1724"/>
      <c r="D1" s="1724"/>
      <c r="E1" s="1725"/>
      <c r="F1" s="2478"/>
      <c r="G1" s="459"/>
      <c r="H1" s="459"/>
      <c r="I1" s="459"/>
      <c r="J1" s="459"/>
      <c r="K1" s="459"/>
      <c r="L1" s="459"/>
      <c r="M1" s="459"/>
      <c r="N1" s="459"/>
      <c r="O1" s="459"/>
      <c r="P1" s="459"/>
      <c r="Q1" s="459"/>
      <c r="R1" s="459"/>
      <c r="S1" s="459"/>
    </row>
    <row r="2" spans="1:22" ht="15.6">
      <c r="A2" s="1726" t="s">
        <v>1462</v>
      </c>
      <c r="B2" s="811">
        <f ca="1">SUMIF(B6:B13,"&lt;&gt;#ref!",B6:B13)</f>
        <v>13990.656000000001</v>
      </c>
      <c r="C2" s="1727" t="s">
        <v>1651</v>
      </c>
      <c r="D2" s="1728" t="s">
        <v>1652</v>
      </c>
      <c r="E2" s="2391">
        <f>SUM(E6:E13)</f>
        <v>9456.5000000000018</v>
      </c>
      <c r="F2" s="2478"/>
      <c r="G2" s="459"/>
      <c r="H2" s="459"/>
      <c r="I2" s="459"/>
      <c r="J2" s="459"/>
      <c r="K2" s="459"/>
      <c r="L2" s="459"/>
      <c r="M2" s="459"/>
      <c r="N2" s="459"/>
      <c r="O2" s="459"/>
      <c r="P2" s="459"/>
      <c r="Q2" s="459"/>
      <c r="R2" s="459"/>
      <c r="S2" s="459"/>
    </row>
    <row r="3" spans="1:22" ht="15.6">
      <c r="A3" s="1726" t="s">
        <v>686</v>
      </c>
      <c r="B3" s="2385">
        <f ca="1">ROUND(B2*10000/E2,0)</f>
        <v>14795</v>
      </c>
      <c r="C3" s="1727"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7" t="s">
        <v>1653</v>
      </c>
      <c r="B5" s="3460" t="s">
        <v>1654</v>
      </c>
      <c r="C5" s="3461"/>
      <c r="D5" s="2479"/>
      <c r="E5" s="1729"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13990.656000000001</v>
      </c>
      <c r="C6" s="1727" t="s">
        <v>1651</v>
      </c>
      <c r="D6" s="2478"/>
      <c r="E6" s="2390">
        <f>IF(OR(A6=0,F6="否"),0,'数据-取费表'!K6+'数据-取费表'!S6)</f>
        <v>9456.5000000000018</v>
      </c>
      <c r="F6" s="1730"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7" t="s">
        <v>1651</v>
      </c>
      <c r="D7" s="2478"/>
      <c r="E7" s="2390">
        <f>IF(OR(A7=0,F7="否"),0,'数据-取费表'!K7+'数据-取费表'!S7)</f>
        <v>0</v>
      </c>
      <c r="F7" s="1730"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7" t="s">
        <v>1651</v>
      </c>
      <c r="D8" s="2478"/>
      <c r="E8" s="2390">
        <f>IF(OR(A8=0,F8="否"),0,'数据-取费表'!K8+'数据-取费表'!S8)</f>
        <v>0</v>
      </c>
      <c r="F8" s="1730"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7" t="s">
        <v>1651</v>
      </c>
      <c r="D9" s="2478"/>
      <c r="E9" s="2390">
        <f>IF(OR(A9=0,F9="否"),0,'数据-取费表'!K9+'数据-取费表'!S9)</f>
        <v>0</v>
      </c>
      <c r="F9" s="1730"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7" t="s">
        <v>1651</v>
      </c>
      <c r="D10" s="2478"/>
      <c r="E10" s="2390">
        <f>IF(OR(A10=0,F10="否"),0,'数据-取费表'!K10+'数据-取费表'!S10)</f>
        <v>0</v>
      </c>
      <c r="F10" s="1730"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7" t="s">
        <v>1651</v>
      </c>
      <c r="D11" s="2478"/>
      <c r="E11" s="2390">
        <f>IF(OR(A11=0,F11="否"),0,'数据-取费表'!K11+'数据-取费表'!S11)</f>
        <v>0</v>
      </c>
      <c r="F11" s="1730"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7" t="s">
        <v>1651</v>
      </c>
      <c r="D12" s="2478"/>
      <c r="E12" s="2390">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1" t="s">
        <v>1651</v>
      </c>
      <c r="D13" s="2480"/>
      <c r="E13" s="2390">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2" t="s">
        <v>1661</v>
      </c>
      <c r="C1" s="1155" t="s">
        <v>1662</v>
      </c>
      <c r="D1" s="1142"/>
      <c r="E1" s="3123"/>
      <c r="F1" s="1733"/>
      <c r="G1" s="1152" t="s">
        <v>1663</v>
      </c>
      <c r="H1" s="1151"/>
      <c r="I1" s="1151"/>
      <c r="J1" s="1151"/>
      <c r="K1" s="1153"/>
      <c r="L1" s="1154"/>
      <c r="M1" s="1155"/>
      <c r="N1" s="1155"/>
      <c r="O1" s="1155"/>
      <c r="P1" s="1734"/>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5"/>
      <c r="D2" s="1052" t="e">
        <f ca="1">IF(E1="项目模式",SUMIF(INDIRECT("'"&amp;F2&amp;"'"&amp;"!A:A"),"承租人权益价值",INDIRECT("'"&amp;F2&amp;"'"&amp;"!c:c")),SUMIF(INDIRECT("'"&amp;F2&amp;"'"&amp;"!A:A"),"承租人权益价值（单套）",INDIRECT("'"&amp;F2&amp;"'"&amp;"!c:c")))</f>
        <v>#REF!</v>
      </c>
      <c r="E2" s="1736" t="s">
        <v>1664</v>
      </c>
      <c r="F2" s="1737"/>
      <c r="G2" s="854"/>
      <c r="H2" s="854"/>
      <c r="I2" s="854"/>
      <c r="J2" s="854"/>
      <c r="K2" s="1738"/>
      <c r="L2" s="2483"/>
      <c r="M2" s="2484"/>
      <c r="N2" s="2484"/>
      <c r="O2" s="2484"/>
      <c r="P2" s="1739"/>
      <c r="Q2" s="1740"/>
      <c r="R2" s="1740"/>
      <c r="S2" s="1740"/>
      <c r="T2" s="1740"/>
      <c r="U2" s="1740"/>
      <c r="V2" s="1740"/>
      <c r="W2" s="1740"/>
      <c r="X2" s="1740"/>
      <c r="Y2" s="1740"/>
      <c r="Z2" s="1740"/>
      <c r="AA2" s="1740"/>
      <c r="AB2" s="1740"/>
      <c r="AC2" s="998"/>
    </row>
    <row r="3" spans="1:29" s="338" customFormat="1" ht="28.5" customHeight="1" thickBot="1">
      <c r="A3" s="195" t="s">
        <v>686</v>
      </c>
      <c r="B3" s="343">
        <f>IF(C2="——",C49,ROUND(B2*10000/D3,0))</f>
        <v>0</v>
      </c>
      <c r="C3" s="344" t="s">
        <v>1665</v>
      </c>
      <c r="D3" s="343">
        <f>IF(D1="",'数据-汇总表'!E3,SUMIF('数据-汇总表'!$C19:$C33,D1,'数据-汇总表'!$E19:$E33))</f>
        <v>9456.5000000000018</v>
      </c>
      <c r="E3" s="854"/>
      <c r="F3" s="1741"/>
      <c r="G3" s="854"/>
      <c r="H3" s="854"/>
      <c r="I3" s="854"/>
      <c r="J3" s="854"/>
      <c r="K3" s="1738"/>
      <c r="L3" s="2483"/>
      <c r="M3" s="2484"/>
      <c r="N3" s="2484"/>
      <c r="O3" s="2484"/>
      <c r="P3" s="1739"/>
      <c r="Q3" s="1740"/>
      <c r="R3" s="1740"/>
      <c r="S3" s="1740"/>
      <c r="T3" s="1740"/>
      <c r="U3" s="1740"/>
      <c r="V3" s="1740"/>
      <c r="W3" s="1740"/>
      <c r="X3" s="1740"/>
      <c r="Y3" s="1740"/>
      <c r="Z3" s="1740"/>
      <c r="AA3" s="1740"/>
      <c r="AB3" s="1740"/>
      <c r="AC3" s="998"/>
    </row>
    <row r="4" spans="1:29" ht="14.4">
      <c r="A4" s="345" t="s">
        <v>1666</v>
      </c>
      <c r="B4" s="346"/>
      <c r="C4" s="3409" t="s">
        <v>1667</v>
      </c>
      <c r="D4" s="3410"/>
      <c r="E4" s="3411" t="s">
        <v>1668</v>
      </c>
      <c r="F4" s="3412"/>
      <c r="G4" s="3409" t="s">
        <v>1669</v>
      </c>
      <c r="H4" s="3410"/>
      <c r="I4" s="3409" t="s">
        <v>1670</v>
      </c>
      <c r="J4" s="3410"/>
      <c r="K4" s="1742" t="s">
        <v>1671</v>
      </c>
      <c r="L4" s="2485"/>
      <c r="M4" s="2486"/>
      <c r="N4" s="2486"/>
      <c r="O4" s="2486"/>
      <c r="P4" s="3466" t="s">
        <v>1672</v>
      </c>
      <c r="Q4" s="3467"/>
      <c r="R4" s="3470" t="s">
        <v>1668</v>
      </c>
      <c r="S4" s="3471"/>
      <c r="T4" s="3470" t="s">
        <v>1669</v>
      </c>
      <c r="U4" s="3471"/>
      <c r="V4" s="3393" t="s">
        <v>1670</v>
      </c>
      <c r="W4" s="3393"/>
      <c r="X4" s="1265"/>
      <c r="Y4" s="3470" t="s">
        <v>1672</v>
      </c>
      <c r="Z4" s="3471"/>
      <c r="AA4" s="3465" t="s">
        <v>1668</v>
      </c>
      <c r="AB4" s="3465" t="s">
        <v>1669</v>
      </c>
      <c r="AC4" s="3465" t="s">
        <v>1670</v>
      </c>
    </row>
    <row r="5" spans="1:29">
      <c r="A5" s="348"/>
      <c r="B5" s="349"/>
      <c r="C5" s="3428" t="s">
        <v>1673</v>
      </c>
      <c r="D5" s="3429"/>
      <c r="E5" s="3439" t="s">
        <v>1674</v>
      </c>
      <c r="F5" s="3440"/>
      <c r="G5" s="3428" t="s">
        <v>1675</v>
      </c>
      <c r="H5" s="3429"/>
      <c r="I5" s="3428" t="s">
        <v>1676</v>
      </c>
      <c r="J5" s="3429"/>
      <c r="K5" s="1743"/>
      <c r="L5" s="2485"/>
      <c r="M5" s="2486"/>
      <c r="N5" s="2486"/>
      <c r="O5" s="2486"/>
      <c r="P5" s="3468"/>
      <c r="Q5" s="3416"/>
      <c r="R5" s="3421"/>
      <c r="S5" s="3422"/>
      <c r="T5" s="3421"/>
      <c r="U5" s="3422"/>
      <c r="V5" s="3393"/>
      <c r="W5" s="3393"/>
      <c r="X5" s="1265"/>
      <c r="Y5" s="3421"/>
      <c r="Z5" s="3422"/>
      <c r="AA5" s="3437"/>
      <c r="AB5" s="3437"/>
      <c r="AC5" s="3437"/>
    </row>
    <row r="6" spans="1:29" ht="15" thickBot="1">
      <c r="A6" s="350"/>
      <c r="B6" s="351"/>
      <c r="C6" s="3426" t="s">
        <v>1677</v>
      </c>
      <c r="D6" s="3427"/>
      <c r="E6" s="3434" t="s">
        <v>1677</v>
      </c>
      <c r="F6" s="3435"/>
      <c r="G6" s="3426" t="s">
        <v>1677</v>
      </c>
      <c r="H6" s="3427"/>
      <c r="I6" s="3426" t="s">
        <v>1677</v>
      </c>
      <c r="J6" s="3427"/>
      <c r="K6" s="1743" t="s">
        <v>1678</v>
      </c>
      <c r="L6" s="2485"/>
      <c r="M6" s="2486"/>
      <c r="N6" s="2486"/>
      <c r="O6" s="2486"/>
      <c r="P6" s="3469"/>
      <c r="Q6" s="3418"/>
      <c r="R6" s="3421"/>
      <c r="S6" s="3422"/>
      <c r="T6" s="3423"/>
      <c r="U6" s="3424"/>
      <c r="V6" s="3393"/>
      <c r="W6" s="3393"/>
      <c r="X6" s="1265"/>
      <c r="Y6" s="3423"/>
      <c r="Z6" s="3424"/>
      <c r="AA6" s="3438"/>
      <c r="AB6" s="3438"/>
      <c r="AC6" s="3438"/>
    </row>
    <row r="7" spans="1:29" s="102" customFormat="1" ht="15" thickBot="1">
      <c r="A7" s="352" t="s">
        <v>1679</v>
      </c>
      <c r="B7" s="353"/>
      <c r="C7" s="354">
        <f>'数据-取费表'!B2</f>
        <v>46013</v>
      </c>
      <c r="D7" s="355">
        <v>100</v>
      </c>
      <c r="E7" s="356"/>
      <c r="F7" s="357">
        <f>SUMIF(58:58,YEAR(E7)&amp;"-"&amp;MONTH(E7),59:59)</f>
        <v>0</v>
      </c>
      <c r="G7" s="356"/>
      <c r="H7" s="355">
        <f>SUMIF(58:58,YEAR(G7)&amp;"-"&amp;MONTH(G7),59:59)</f>
        <v>0</v>
      </c>
      <c r="I7" s="356"/>
      <c r="J7" s="355">
        <f>SUMIF(58:58,YEAR(I7)&amp;"-"&amp;MONTH(I7),59:59)</f>
        <v>0</v>
      </c>
      <c r="K7" s="1744"/>
      <c r="L7" s="2487"/>
      <c r="M7" s="2438"/>
      <c r="N7" s="2438"/>
      <c r="O7" s="2438"/>
      <c r="P7" s="3432" t="s">
        <v>1680</v>
      </c>
      <c r="Q7" s="3433"/>
      <c r="R7" s="664" t="s">
        <v>20</v>
      </c>
      <c r="S7" s="665">
        <f t="shared" ref="S7:S15" si="0">F7</f>
        <v>0</v>
      </c>
      <c r="T7" s="664" t="s">
        <v>20</v>
      </c>
      <c r="U7" s="665">
        <f t="shared" ref="U7:U15" si="1">H7</f>
        <v>0</v>
      </c>
      <c r="V7" s="664" t="s">
        <v>20</v>
      </c>
      <c r="W7" s="665">
        <f t="shared" ref="W7:W15" si="2">J7</f>
        <v>0</v>
      </c>
      <c r="X7" s="666"/>
      <c r="Y7" s="3432" t="s">
        <v>1680</v>
      </c>
      <c r="Z7" s="3431"/>
      <c r="AA7" s="50" t="e">
        <f>D7/F7</f>
        <v>#DIV/0!</v>
      </c>
      <c r="AB7" s="50" t="e">
        <f>D7/H7</f>
        <v>#DIV/0!</v>
      </c>
      <c r="AC7" s="50" t="e">
        <f>D7/J7</f>
        <v>#DIV/0!</v>
      </c>
    </row>
    <row r="8" spans="1:29" s="102" customFormat="1" ht="1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7"/>
      <c r="M8" s="2438"/>
      <c r="N8" s="2438"/>
      <c r="O8" s="2438"/>
      <c r="P8" s="3432" t="s">
        <v>1683</v>
      </c>
      <c r="Q8" s="3431"/>
      <c r="R8" s="664" t="s">
        <v>20</v>
      </c>
      <c r="S8" s="665">
        <f t="shared" si="0"/>
        <v>100</v>
      </c>
      <c r="T8" s="664" t="s">
        <v>20</v>
      </c>
      <c r="U8" s="665">
        <f t="shared" si="1"/>
        <v>100</v>
      </c>
      <c r="V8" s="664" t="s">
        <v>20</v>
      </c>
      <c r="W8" s="665">
        <f t="shared" si="2"/>
        <v>100</v>
      </c>
      <c r="X8" s="666"/>
      <c r="Y8" s="3432" t="s">
        <v>1683</v>
      </c>
      <c r="Z8" s="343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7"/>
      <c r="M9" s="2438"/>
      <c r="N9" s="2438"/>
      <c r="O9" s="2438"/>
      <c r="P9" s="3391"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4"/>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1"/>
      <c r="Q11" s="530" t="str">
        <f t="shared" si="6"/>
        <v>容积率</v>
      </c>
      <c r="R11" s="664" t="s">
        <v>18</v>
      </c>
      <c r="S11" s="665" t="e">
        <f t="shared" si="0"/>
        <v>#N/A</v>
      </c>
      <c r="T11" s="664" t="s">
        <v>18</v>
      </c>
      <c r="U11" s="665" t="e">
        <f t="shared" si="1"/>
        <v>#N/A</v>
      </c>
      <c r="V11" s="664" t="s">
        <v>18</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91"/>
      <c r="Q12" s="530">
        <f t="shared" si="6"/>
        <v>111</v>
      </c>
      <c r="R12" s="664" t="s">
        <v>18</v>
      </c>
      <c r="S12" s="665">
        <f t="shared" si="0"/>
        <v>100</v>
      </c>
      <c r="T12" s="664" t="s">
        <v>18</v>
      </c>
      <c r="U12" s="665">
        <f t="shared" si="1"/>
        <v>100</v>
      </c>
      <c r="V12" s="664" t="s">
        <v>18</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91"/>
      <c r="Q13" s="530">
        <f t="shared" si="6"/>
        <v>111</v>
      </c>
      <c r="R13" s="664" t="s">
        <v>18</v>
      </c>
      <c r="S13" s="665">
        <f t="shared" si="0"/>
        <v>100</v>
      </c>
      <c r="T13" s="664" t="s">
        <v>18</v>
      </c>
      <c r="U13" s="665">
        <f t="shared" si="1"/>
        <v>100</v>
      </c>
      <c r="V13" s="664" t="s">
        <v>18</v>
      </c>
      <c r="W13" s="665">
        <f t="shared" si="2"/>
        <v>100</v>
      </c>
      <c r="X13" s="666"/>
      <c r="Y13" s="3271"/>
      <c r="Z13" s="50">
        <f t="shared" si="7"/>
        <v>111</v>
      </c>
      <c r="AA13" s="50">
        <f t="shared" si="3"/>
        <v>1</v>
      </c>
      <c r="AB13" s="50">
        <f t="shared" si="4"/>
        <v>1</v>
      </c>
      <c r="AC13" s="50">
        <f t="shared" si="5"/>
        <v>1</v>
      </c>
    </row>
    <row r="14" spans="1:29" ht="15.6"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91"/>
      <c r="Q14" s="530">
        <f t="shared" si="6"/>
        <v>111</v>
      </c>
      <c r="R14" s="664" t="s">
        <v>18</v>
      </c>
      <c r="S14" s="665">
        <f t="shared" si="0"/>
        <v>100</v>
      </c>
      <c r="T14" s="664" t="s">
        <v>18</v>
      </c>
      <c r="U14" s="665">
        <f t="shared" si="1"/>
        <v>100</v>
      </c>
      <c r="V14" s="664" t="s">
        <v>18</v>
      </c>
      <c r="W14" s="665">
        <f t="shared" si="2"/>
        <v>100</v>
      </c>
      <c r="X14" s="666"/>
      <c r="Y14" s="3271"/>
      <c r="Z14" s="50">
        <f t="shared" si="7"/>
        <v>111</v>
      </c>
      <c r="AA14" s="50">
        <f t="shared" si="3"/>
        <v>1</v>
      </c>
      <c r="AB14" s="50">
        <f t="shared" si="4"/>
        <v>1</v>
      </c>
      <c r="AC14" s="50">
        <f t="shared" si="5"/>
        <v>1</v>
      </c>
    </row>
    <row r="15" spans="1:29" ht="96.6">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7" t="s">
        <v>1691</v>
      </c>
      <c r="Q15" s="1263" t="str">
        <f t="shared" si="6"/>
        <v>居住社区成熟度</v>
      </c>
      <c r="R15" s="667" t="s">
        <v>18</v>
      </c>
      <c r="S15" s="668">
        <f t="shared" si="0"/>
        <v>100</v>
      </c>
      <c r="T15" s="667" t="s">
        <v>18</v>
      </c>
      <c r="U15" s="668">
        <f t="shared" si="1"/>
        <v>100</v>
      </c>
      <c r="V15" s="667" t="s">
        <v>18</v>
      </c>
      <c r="W15" s="668">
        <f t="shared" si="2"/>
        <v>100</v>
      </c>
      <c r="X15" s="1265"/>
      <c r="Y15" s="3399" t="s">
        <v>1691</v>
      </c>
      <c r="Z15" s="1264" t="str">
        <f t="shared" si="7"/>
        <v>居住社区成熟度</v>
      </c>
      <c r="AA15" s="1264">
        <f t="shared" si="3"/>
        <v>1</v>
      </c>
      <c r="AB15" s="1264">
        <f t="shared" si="4"/>
        <v>1</v>
      </c>
      <c r="AC15" s="1264">
        <f t="shared" si="5"/>
        <v>1</v>
      </c>
    </row>
    <row r="16" spans="1:29" ht="15">
      <c r="A16" s="367"/>
      <c r="B16" s="385"/>
      <c r="C16" s="386"/>
      <c r="D16" s="387"/>
      <c r="E16" s="1749"/>
      <c r="F16" s="387"/>
      <c r="G16" s="1750"/>
      <c r="H16" s="389"/>
      <c r="I16" s="1750"/>
      <c r="J16" s="387"/>
      <c r="K16" s="1751"/>
      <c r="L16" s="2491"/>
      <c r="M16" s="2486"/>
      <c r="N16" s="2486"/>
      <c r="O16" s="2486"/>
      <c r="P16" s="3398"/>
      <c r="Q16" s="1263"/>
      <c r="R16" s="667"/>
      <c r="S16" s="668"/>
      <c r="T16" s="667"/>
      <c r="U16" s="668"/>
      <c r="V16" s="667"/>
      <c r="W16" s="668"/>
      <c r="X16" s="1265"/>
      <c r="Y16" s="3400"/>
      <c r="Z16" s="1264"/>
      <c r="AA16" s="1264">
        <v>1</v>
      </c>
      <c r="AB16" s="1264">
        <v>1</v>
      </c>
      <c r="AC16" s="1264">
        <v>1</v>
      </c>
    </row>
    <row r="17" spans="1:29" ht="82.8">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8"/>
      <c r="Q17" s="1263" t="str">
        <f>B17</f>
        <v>交通便捷度</v>
      </c>
      <c r="R17" s="667" t="s">
        <v>18</v>
      </c>
      <c r="S17" s="668">
        <f>F17</f>
        <v>100</v>
      </c>
      <c r="T17" s="667" t="s">
        <v>18</v>
      </c>
      <c r="U17" s="668">
        <f>H17</f>
        <v>100</v>
      </c>
      <c r="V17" s="667" t="s">
        <v>18</v>
      </c>
      <c r="W17" s="668">
        <f>J17</f>
        <v>100</v>
      </c>
      <c r="X17" s="1265"/>
      <c r="Y17" s="3400"/>
      <c r="Z17" s="1264" t="str">
        <f>Q17</f>
        <v>交通便捷度</v>
      </c>
      <c r="AA17" s="1264">
        <f t="shared" si="3"/>
        <v>1</v>
      </c>
      <c r="AB17" s="1264">
        <f t="shared" si="4"/>
        <v>1</v>
      </c>
      <c r="AC17" s="1264">
        <f t="shared" si="5"/>
        <v>1</v>
      </c>
    </row>
    <row r="18" spans="1:29" ht="15">
      <c r="A18" s="367"/>
      <c r="B18" s="395"/>
      <c r="C18" s="1753"/>
      <c r="D18" s="389"/>
      <c r="E18" s="1754"/>
      <c r="F18" s="389"/>
      <c r="G18" s="1755"/>
      <c r="H18" s="387"/>
      <c r="I18" s="1755"/>
      <c r="J18" s="387"/>
      <c r="K18" s="1751"/>
      <c r="L18" s="2491"/>
      <c r="M18" s="2486"/>
      <c r="N18" s="2486"/>
      <c r="O18" s="2486"/>
      <c r="P18" s="3398"/>
      <c r="Q18" s="1263"/>
      <c r="R18" s="667"/>
      <c r="S18" s="668"/>
      <c r="T18" s="667"/>
      <c r="U18" s="668"/>
      <c r="V18" s="667"/>
      <c r="W18" s="668"/>
      <c r="X18" s="1265"/>
      <c r="Y18" s="3400"/>
      <c r="Z18" s="1264"/>
      <c r="AA18" s="1264">
        <v>1</v>
      </c>
      <c r="AB18" s="1264">
        <v>1</v>
      </c>
      <c r="AC18" s="1264">
        <v>1</v>
      </c>
    </row>
    <row r="19" spans="1:29" ht="41.4">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8"/>
      <c r="Q19" s="1263" t="str">
        <f>B19</f>
        <v>公共配套设施</v>
      </c>
      <c r="R19" s="667" t="s">
        <v>18</v>
      </c>
      <c r="S19" s="668">
        <f>F19</f>
        <v>100</v>
      </c>
      <c r="T19" s="667" t="s">
        <v>18</v>
      </c>
      <c r="U19" s="668">
        <f>H19</f>
        <v>100</v>
      </c>
      <c r="V19" s="667" t="s">
        <v>18</v>
      </c>
      <c r="W19" s="668">
        <f>J19</f>
        <v>100</v>
      </c>
      <c r="X19" s="1265"/>
      <c r="Y19" s="3400"/>
      <c r="Z19" s="1264" t="str">
        <f>Q19</f>
        <v>公共配套设施</v>
      </c>
      <c r="AA19" s="1264">
        <f t="shared" si="3"/>
        <v>1</v>
      </c>
      <c r="AB19" s="1264">
        <f t="shared" si="4"/>
        <v>1</v>
      </c>
      <c r="AC19" s="1264">
        <f t="shared" si="5"/>
        <v>1</v>
      </c>
    </row>
    <row r="20" spans="1:29" ht="15">
      <c r="A20" s="367"/>
      <c r="B20" s="395"/>
      <c r="C20" s="386"/>
      <c r="D20" s="387"/>
      <c r="E20" s="1749"/>
      <c r="F20" s="387"/>
      <c r="G20" s="1750"/>
      <c r="H20" s="387"/>
      <c r="I20" s="1750"/>
      <c r="J20" s="387"/>
      <c r="K20" s="1751"/>
      <c r="L20" s="2491"/>
      <c r="M20" s="2486"/>
      <c r="N20" s="2486"/>
      <c r="O20" s="2486"/>
      <c r="P20" s="3398"/>
      <c r="Q20" s="1263"/>
      <c r="R20" s="667"/>
      <c r="S20" s="668"/>
      <c r="T20" s="667"/>
      <c r="U20" s="668"/>
      <c r="V20" s="667"/>
      <c r="W20" s="668"/>
      <c r="X20" s="1265"/>
      <c r="Y20" s="3400"/>
      <c r="Z20" s="1264"/>
      <c r="AA20" s="1264">
        <v>1</v>
      </c>
      <c r="AB20" s="1264">
        <v>1</v>
      </c>
      <c r="AC20" s="1264">
        <v>1</v>
      </c>
    </row>
    <row r="21" spans="1:29" ht="27.6">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8"/>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3"/>
      <c r="D22" s="387"/>
      <c r="E22" s="386"/>
      <c r="F22" s="387"/>
      <c r="G22" s="1756"/>
      <c r="H22" s="387"/>
      <c r="I22" s="386"/>
      <c r="J22" s="387"/>
      <c r="K22" s="1757"/>
      <c r="L22" s="2491"/>
      <c r="M22" s="2486"/>
      <c r="N22" s="2486"/>
      <c r="O22" s="2486"/>
      <c r="P22" s="3398"/>
      <c r="Q22" s="1263"/>
      <c r="R22" s="667"/>
      <c r="S22" s="668"/>
      <c r="T22" s="667"/>
      <c r="U22" s="668"/>
      <c r="V22" s="667"/>
      <c r="W22" s="668"/>
      <c r="X22" s="1265"/>
      <c r="Y22" s="3400"/>
      <c r="Z22" s="1264"/>
      <c r="AA22" s="1264">
        <v>1</v>
      </c>
      <c r="AB22" s="1264">
        <v>1</v>
      </c>
      <c r="AC22" s="1264">
        <v>1</v>
      </c>
    </row>
    <row r="23" spans="1:29" ht="55.2">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8"/>
      <c r="Q23" s="1263" t="str">
        <f>B23</f>
        <v>自然及人文环境</v>
      </c>
      <c r="R23" s="667" t="s">
        <v>18</v>
      </c>
      <c r="S23" s="668">
        <f>F23</f>
        <v>100</v>
      </c>
      <c r="T23" s="667" t="s">
        <v>18</v>
      </c>
      <c r="U23" s="668">
        <f>H23</f>
        <v>100</v>
      </c>
      <c r="V23" s="667" t="s">
        <v>18</v>
      </c>
      <c r="W23" s="668">
        <f>J23</f>
        <v>100</v>
      </c>
      <c r="X23" s="1265"/>
      <c r="Y23" s="3400"/>
      <c r="Z23" s="1264" t="str">
        <f>Q23</f>
        <v>自然及人文环境</v>
      </c>
      <c r="AA23" s="1264">
        <f>D23/F23</f>
        <v>1</v>
      </c>
      <c r="AB23" s="1264">
        <f>D23/H23</f>
        <v>1</v>
      </c>
      <c r="AC23" s="1264">
        <f>D23/J23</f>
        <v>1</v>
      </c>
    </row>
    <row r="24" spans="1:29" ht="15">
      <c r="A24" s="367"/>
      <c r="B24" s="395"/>
      <c r="C24" s="386"/>
      <c r="D24" s="387"/>
      <c r="E24" s="1749"/>
      <c r="F24" s="387"/>
      <c r="G24" s="1750"/>
      <c r="H24" s="387"/>
      <c r="I24" s="1750"/>
      <c r="J24" s="387"/>
      <c r="K24" s="1751"/>
      <c r="L24" s="2491"/>
      <c r="M24" s="2486"/>
      <c r="N24" s="2486"/>
      <c r="O24" s="2486"/>
      <c r="P24" s="3398"/>
      <c r="Q24" s="1263"/>
      <c r="R24" s="667"/>
      <c r="S24" s="668"/>
      <c r="T24" s="667"/>
      <c r="U24" s="668"/>
      <c r="V24" s="667"/>
      <c r="W24" s="668"/>
      <c r="X24" s="1265"/>
      <c r="Y24" s="3400"/>
      <c r="Z24" s="1264"/>
      <c r="AA24" s="1264">
        <v>1</v>
      </c>
      <c r="AB24" s="1264">
        <v>1</v>
      </c>
      <c r="AC24" s="1264">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39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91"/>
      <c r="M26" s="2486"/>
      <c r="N26" s="2486"/>
      <c r="O26" s="2486"/>
      <c r="P26" s="3398"/>
      <c r="Q26" s="1263" t="str">
        <f t="shared" si="11"/>
        <v>朝向</v>
      </c>
      <c r="R26" s="667" t="s">
        <v>18</v>
      </c>
      <c r="S26" s="668">
        <f t="shared" si="12"/>
        <v>100</v>
      </c>
      <c r="T26" s="667" t="s">
        <v>18</v>
      </c>
      <c r="U26" s="668">
        <f t="shared" si="13"/>
        <v>100</v>
      </c>
      <c r="V26" s="667" t="s">
        <v>18</v>
      </c>
      <c r="W26" s="668">
        <f t="shared" si="14"/>
        <v>100</v>
      </c>
      <c r="X26" s="1265"/>
      <c r="Y26" s="340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6"/>
      <c r="L27" s="2487"/>
      <c r="M27" s="2438"/>
      <c r="N27" s="2438"/>
      <c r="O27" s="2438"/>
      <c r="P27" s="3398"/>
      <c r="Q27" s="530">
        <f t="shared" si="11"/>
        <v>111</v>
      </c>
      <c r="R27" s="664" t="s">
        <v>18</v>
      </c>
      <c r="S27" s="665">
        <f t="shared" si="12"/>
        <v>100</v>
      </c>
      <c r="T27" s="664" t="s">
        <v>18</v>
      </c>
      <c r="U27" s="665">
        <f t="shared" si="13"/>
        <v>100</v>
      </c>
      <c r="V27" s="664" t="s">
        <v>18</v>
      </c>
      <c r="W27" s="665">
        <f t="shared" si="14"/>
        <v>100</v>
      </c>
      <c r="X27" s="666"/>
      <c r="Y27" s="340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398"/>
      <c r="Q28" s="1263">
        <f t="shared" si="11"/>
        <v>111</v>
      </c>
      <c r="R28" s="667" t="s">
        <v>18</v>
      </c>
      <c r="S28" s="668">
        <f t="shared" si="12"/>
        <v>100</v>
      </c>
      <c r="T28" s="667" t="s">
        <v>18</v>
      </c>
      <c r="U28" s="668">
        <f t="shared" si="13"/>
        <v>100</v>
      </c>
      <c r="V28" s="667" t="s">
        <v>18</v>
      </c>
      <c r="W28" s="668">
        <f t="shared" si="14"/>
        <v>100</v>
      </c>
      <c r="X28" s="1265"/>
      <c r="Y28" s="340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398"/>
      <c r="Q29" s="1263">
        <f t="shared" si="11"/>
        <v>111</v>
      </c>
      <c r="R29" s="667" t="s">
        <v>18</v>
      </c>
      <c r="S29" s="668">
        <f t="shared" si="12"/>
        <v>100</v>
      </c>
      <c r="T29" s="667" t="s">
        <v>18</v>
      </c>
      <c r="U29" s="668">
        <f t="shared" si="13"/>
        <v>100</v>
      </c>
      <c r="V29" s="667" t="s">
        <v>18</v>
      </c>
      <c r="W29" s="668">
        <f t="shared" si="14"/>
        <v>100</v>
      </c>
      <c r="X29" s="1265"/>
      <c r="Y29" s="340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398"/>
      <c r="Q30" s="1263">
        <f t="shared" si="11"/>
        <v>111</v>
      </c>
      <c r="R30" s="667" t="s">
        <v>18</v>
      </c>
      <c r="S30" s="668">
        <f t="shared" si="12"/>
        <v>100</v>
      </c>
      <c r="T30" s="667" t="s">
        <v>18</v>
      </c>
      <c r="U30" s="668">
        <f t="shared" si="13"/>
        <v>100</v>
      </c>
      <c r="V30" s="667" t="s">
        <v>18</v>
      </c>
      <c r="W30" s="668">
        <f t="shared" si="14"/>
        <v>100</v>
      </c>
      <c r="X30" s="1265"/>
      <c r="Y30" s="340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398"/>
      <c r="Q31" s="1263">
        <f t="shared" si="11"/>
        <v>111</v>
      </c>
      <c r="R31" s="667" t="s">
        <v>18</v>
      </c>
      <c r="S31" s="668">
        <f t="shared" si="12"/>
        <v>100</v>
      </c>
      <c r="T31" s="667" t="s">
        <v>18</v>
      </c>
      <c r="U31" s="668">
        <f t="shared" si="13"/>
        <v>100</v>
      </c>
      <c r="V31" s="667" t="s">
        <v>18</v>
      </c>
      <c r="W31" s="668">
        <f t="shared" si="14"/>
        <v>100</v>
      </c>
      <c r="X31" s="1265"/>
      <c r="Y31" s="3400"/>
      <c r="Z31" s="1264">
        <f t="shared" si="18"/>
        <v>111</v>
      </c>
      <c r="AA31" s="1264">
        <f t="shared" si="15"/>
        <v>1</v>
      </c>
      <c r="AB31" s="1264">
        <f t="shared" si="16"/>
        <v>1</v>
      </c>
      <c r="AC31" s="1264">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401" t="s">
        <v>1696</v>
      </c>
      <c r="Q32" s="1263" t="str">
        <f t="shared" si="11"/>
        <v>建筑类型</v>
      </c>
      <c r="R32" s="667" t="s">
        <v>18</v>
      </c>
      <c r="S32" s="668">
        <f t="shared" si="12"/>
        <v>100</v>
      </c>
      <c r="T32" s="667" t="s">
        <v>18</v>
      </c>
      <c r="U32" s="668">
        <f t="shared" si="13"/>
        <v>100</v>
      </c>
      <c r="V32" s="667" t="s">
        <v>18</v>
      </c>
      <c r="W32" s="668">
        <f t="shared" si="14"/>
        <v>100</v>
      </c>
      <c r="X32" s="1265"/>
      <c r="Y32" s="340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90"/>
      <c r="M33" s="2492"/>
      <c r="N33" s="2492"/>
      <c r="O33" s="2492"/>
      <c r="P33" s="3402"/>
      <c r="Q33" s="531" t="str">
        <f t="shared" si="11"/>
        <v>项目建筑规模</v>
      </c>
      <c r="R33" s="669" t="s">
        <v>18</v>
      </c>
      <c r="S33" s="670" t="e">
        <f t="shared" si="12"/>
        <v>#N/A</v>
      </c>
      <c r="T33" s="669" t="s">
        <v>18</v>
      </c>
      <c r="U33" s="670" t="e">
        <f t="shared" si="13"/>
        <v>#N/A</v>
      </c>
      <c r="V33" s="669" t="s">
        <v>18</v>
      </c>
      <c r="W33" s="670" t="e">
        <f t="shared" si="14"/>
        <v>#N/A</v>
      </c>
      <c r="X33" s="671"/>
      <c r="Y33" s="3404"/>
      <c r="Z33" s="672" t="str">
        <f t="shared" si="18"/>
        <v>项目建筑规模</v>
      </c>
      <c r="AA33" s="1264" t="e">
        <f t="shared" si="15"/>
        <v>#N/A</v>
      </c>
      <c r="AB33" s="1264" t="e">
        <f t="shared" si="16"/>
        <v>#N/A</v>
      </c>
      <c r="AC33" s="1264"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402"/>
      <c r="Q34" s="1263" t="str">
        <f t="shared" si="11"/>
        <v>建筑结构</v>
      </c>
      <c r="R34" s="667" t="s">
        <v>18</v>
      </c>
      <c r="S34" s="668">
        <f t="shared" si="12"/>
        <v>100</v>
      </c>
      <c r="T34" s="667" t="s">
        <v>18</v>
      </c>
      <c r="U34" s="668">
        <f t="shared" si="13"/>
        <v>100</v>
      </c>
      <c r="V34" s="667" t="s">
        <v>18</v>
      </c>
      <c r="W34" s="668">
        <f t="shared" si="14"/>
        <v>100</v>
      </c>
      <c r="X34" s="1265"/>
      <c r="Y34" s="3404"/>
      <c r="Z34" s="1264" t="str">
        <f t="shared" si="18"/>
        <v>建筑结构</v>
      </c>
      <c r="AA34" s="1264">
        <f t="shared" si="15"/>
        <v>1</v>
      </c>
      <c r="AB34" s="1264">
        <f t="shared" si="16"/>
        <v>1</v>
      </c>
      <c r="AC34" s="1264">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402"/>
      <c r="Q35" s="1263" t="str">
        <f t="shared" si="11"/>
        <v>建筑品质</v>
      </c>
      <c r="R35" s="667" t="s">
        <v>18</v>
      </c>
      <c r="S35" s="668">
        <f t="shared" si="12"/>
        <v>100</v>
      </c>
      <c r="T35" s="667" t="s">
        <v>18</v>
      </c>
      <c r="U35" s="668">
        <f t="shared" si="13"/>
        <v>100</v>
      </c>
      <c r="V35" s="667" t="s">
        <v>18</v>
      </c>
      <c r="W35" s="668">
        <f t="shared" si="14"/>
        <v>100</v>
      </c>
      <c r="X35" s="1265"/>
      <c r="Y35" s="3404"/>
      <c r="Z35" s="1264" t="str">
        <f t="shared" si="18"/>
        <v>建筑品质</v>
      </c>
      <c r="AA35" s="1264">
        <f t="shared" si="15"/>
        <v>1</v>
      </c>
      <c r="AB35" s="1264">
        <f t="shared" si="16"/>
        <v>1</v>
      </c>
      <c r="AC35" s="1264">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402"/>
      <c r="Q36" s="1263" t="str">
        <f t="shared" si="11"/>
        <v>公共部分装修</v>
      </c>
      <c r="R36" s="667" t="s">
        <v>18</v>
      </c>
      <c r="S36" s="668">
        <f t="shared" si="12"/>
        <v>100</v>
      </c>
      <c r="T36" s="667" t="s">
        <v>18</v>
      </c>
      <c r="U36" s="668">
        <f t="shared" si="13"/>
        <v>100</v>
      </c>
      <c r="V36" s="667" t="s">
        <v>18</v>
      </c>
      <c r="W36" s="668">
        <f t="shared" si="14"/>
        <v>100</v>
      </c>
      <c r="X36" s="1265"/>
      <c r="Y36" s="340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02"/>
      <c r="Q37" s="530" t="str">
        <f t="shared" si="11"/>
        <v>成新度</v>
      </c>
      <c r="R37" s="664" t="s">
        <v>18</v>
      </c>
      <c r="S37" s="665" t="e">
        <f t="shared" si="12"/>
        <v>#N/A</v>
      </c>
      <c r="T37" s="664" t="s">
        <v>18</v>
      </c>
      <c r="U37" s="665" t="e">
        <f t="shared" si="13"/>
        <v>#N/A</v>
      </c>
      <c r="V37" s="664" t="s">
        <v>18</v>
      </c>
      <c r="W37" s="665" t="e">
        <f t="shared" si="14"/>
        <v>#N/A</v>
      </c>
      <c r="X37" s="666"/>
      <c r="Y37" s="3404"/>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402" t="s">
        <v>1696</v>
      </c>
      <c r="Q38" s="1263" t="str">
        <f t="shared" si="11"/>
        <v>物业管理</v>
      </c>
      <c r="R38" s="667" t="s">
        <v>18</v>
      </c>
      <c r="S38" s="668">
        <f t="shared" si="12"/>
        <v>100</v>
      </c>
      <c r="T38" s="667" t="s">
        <v>18</v>
      </c>
      <c r="U38" s="668">
        <f t="shared" si="13"/>
        <v>100</v>
      </c>
      <c r="V38" s="667" t="s">
        <v>18</v>
      </c>
      <c r="W38" s="668">
        <f t="shared" si="14"/>
        <v>100</v>
      </c>
      <c r="X38" s="1265"/>
      <c r="Y38" s="3404" t="s">
        <v>1696</v>
      </c>
      <c r="Z38" s="1264" t="str">
        <f t="shared" si="18"/>
        <v>物业管理</v>
      </c>
      <c r="AA38" s="1264">
        <f t="shared" si="15"/>
        <v>1</v>
      </c>
      <c r="AB38" s="1264">
        <f t="shared" si="16"/>
        <v>1</v>
      </c>
      <c r="AC38" s="1264">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402"/>
      <c r="Q39" s="1263" t="str">
        <f t="shared" si="11"/>
        <v>市政基础设施</v>
      </c>
      <c r="R39" s="667" t="s">
        <v>18</v>
      </c>
      <c r="S39" s="668">
        <f t="shared" si="12"/>
        <v>100</v>
      </c>
      <c r="T39" s="667" t="s">
        <v>18</v>
      </c>
      <c r="U39" s="668">
        <f t="shared" si="13"/>
        <v>100</v>
      </c>
      <c r="V39" s="667" t="s">
        <v>18</v>
      </c>
      <c r="W39" s="668">
        <f t="shared" si="14"/>
        <v>100</v>
      </c>
      <c r="X39" s="1265"/>
      <c r="Y39" s="3404"/>
      <c r="Z39" s="1264" t="str">
        <f t="shared" si="18"/>
        <v>市政基础设施</v>
      </c>
      <c r="AA39" s="1264">
        <f t="shared" si="15"/>
        <v>1</v>
      </c>
      <c r="AB39" s="1264">
        <f t="shared" si="16"/>
        <v>1</v>
      </c>
      <c r="AC39" s="1264">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402"/>
      <c r="Q40" s="1263" t="str">
        <f t="shared" si="11"/>
        <v>房型</v>
      </c>
      <c r="R40" s="667" t="s">
        <v>18</v>
      </c>
      <c r="S40" s="668">
        <f t="shared" si="12"/>
        <v>100</v>
      </c>
      <c r="T40" s="667" t="s">
        <v>18</v>
      </c>
      <c r="U40" s="668">
        <f t="shared" si="13"/>
        <v>100</v>
      </c>
      <c r="V40" s="667" t="s">
        <v>18</v>
      </c>
      <c r="W40" s="668">
        <f t="shared" si="14"/>
        <v>100</v>
      </c>
      <c r="X40" s="1265"/>
      <c r="Y40" s="340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402"/>
      <c r="Q41" s="531" t="str">
        <f t="shared" si="11"/>
        <v>单套/主力户型建筑面积</v>
      </c>
      <c r="R41" s="669" t="s">
        <v>18</v>
      </c>
      <c r="S41" s="670">
        <f t="shared" si="12"/>
        <v>100</v>
      </c>
      <c r="T41" s="669" t="s">
        <v>18</v>
      </c>
      <c r="U41" s="670">
        <f t="shared" si="13"/>
        <v>100</v>
      </c>
      <c r="V41" s="669" t="s">
        <v>18</v>
      </c>
      <c r="W41" s="670">
        <f t="shared" si="14"/>
        <v>100</v>
      </c>
      <c r="X41" s="671"/>
      <c r="Y41" s="3404"/>
      <c r="Z41" s="672" t="str">
        <f t="shared" si="18"/>
        <v>单套/主力户型建筑面积</v>
      </c>
      <c r="AA41" s="1264">
        <f t="shared" si="15"/>
        <v>1</v>
      </c>
      <c r="AB41" s="1264">
        <f t="shared" si="16"/>
        <v>1</v>
      </c>
      <c r="AC41" s="1264">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1"/>
      <c r="M42" s="2486"/>
      <c r="N42" s="2486"/>
      <c r="O42" s="2486"/>
      <c r="P42" s="3402"/>
      <c r="Q42" s="1263" t="str">
        <f t="shared" si="11"/>
        <v>内部装修</v>
      </c>
      <c r="R42" s="667" t="s">
        <v>18</v>
      </c>
      <c r="S42" s="668">
        <f t="shared" si="12"/>
        <v>100</v>
      </c>
      <c r="T42" s="667" t="s">
        <v>18</v>
      </c>
      <c r="U42" s="668">
        <f t="shared" si="13"/>
        <v>100</v>
      </c>
      <c r="V42" s="667" t="s">
        <v>18</v>
      </c>
      <c r="W42" s="668">
        <f t="shared" si="14"/>
        <v>100</v>
      </c>
      <c r="X42" s="1265"/>
      <c r="Y42" s="3404"/>
      <c r="Z42" s="1264" t="str">
        <f t="shared" si="18"/>
        <v>内部装修</v>
      </c>
      <c r="AA42" s="1264">
        <f t="shared" si="15"/>
        <v>1</v>
      </c>
      <c r="AB42" s="1264">
        <f t="shared" si="16"/>
        <v>1</v>
      </c>
      <c r="AC42" s="1264">
        <f t="shared" si="17"/>
        <v>1</v>
      </c>
    </row>
    <row r="43" spans="1:29" ht="28.8">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1"/>
      <c r="M43" s="2486"/>
      <c r="N43" s="2486"/>
      <c r="O43" s="2486"/>
      <c r="P43" s="3402"/>
      <c r="Q43" s="1263" t="str">
        <f t="shared" si="11"/>
        <v>内部装修维护情况</v>
      </c>
      <c r="R43" s="667" t="s">
        <v>18</v>
      </c>
      <c r="S43" s="668">
        <f t="shared" si="12"/>
        <v>100</v>
      </c>
      <c r="T43" s="667" t="s">
        <v>18</v>
      </c>
      <c r="U43" s="668">
        <f t="shared" si="13"/>
        <v>100</v>
      </c>
      <c r="V43" s="667" t="s">
        <v>18</v>
      </c>
      <c r="W43" s="668">
        <f t="shared" si="14"/>
        <v>100</v>
      </c>
      <c r="X43" s="1265"/>
      <c r="Y43" s="340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402"/>
      <c r="Q44" s="530">
        <f t="shared" si="11"/>
        <v>111</v>
      </c>
      <c r="R44" s="664" t="s">
        <v>18</v>
      </c>
      <c r="S44" s="665">
        <f t="shared" si="12"/>
        <v>100</v>
      </c>
      <c r="T44" s="664" t="s">
        <v>18</v>
      </c>
      <c r="U44" s="665">
        <f t="shared" si="13"/>
        <v>100</v>
      </c>
      <c r="V44" s="664" t="s">
        <v>18</v>
      </c>
      <c r="W44" s="665">
        <f t="shared" si="14"/>
        <v>100</v>
      </c>
      <c r="X44" s="666"/>
      <c r="Y44" s="340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402"/>
      <c r="Q45" s="1263">
        <f t="shared" si="11"/>
        <v>111</v>
      </c>
      <c r="R45" s="667" t="s">
        <v>18</v>
      </c>
      <c r="S45" s="668">
        <f t="shared" si="12"/>
        <v>100</v>
      </c>
      <c r="T45" s="667" t="s">
        <v>18</v>
      </c>
      <c r="U45" s="668">
        <f t="shared" si="13"/>
        <v>100</v>
      </c>
      <c r="V45" s="667" t="s">
        <v>18</v>
      </c>
      <c r="W45" s="668">
        <f t="shared" si="14"/>
        <v>100</v>
      </c>
      <c r="X45" s="1265"/>
      <c r="Y45" s="3404"/>
      <c r="Z45" s="1264">
        <f t="shared" si="18"/>
        <v>111</v>
      </c>
      <c r="AA45" s="1264">
        <f t="shared" si="15"/>
        <v>1</v>
      </c>
      <c r="AB45" s="1264">
        <f t="shared" si="16"/>
        <v>1</v>
      </c>
      <c r="AC45" s="1264">
        <f t="shared" si="17"/>
        <v>1</v>
      </c>
    </row>
    <row r="46" spans="1:29" ht="15.6"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403"/>
      <c r="Q46" s="1263">
        <f t="shared" si="11"/>
        <v>111</v>
      </c>
      <c r="R46" s="667" t="s">
        <v>17</v>
      </c>
      <c r="S46" s="668">
        <f t="shared" si="12"/>
        <v>100</v>
      </c>
      <c r="T46" s="667" t="s">
        <v>17</v>
      </c>
      <c r="U46" s="668">
        <f t="shared" si="13"/>
        <v>100</v>
      </c>
      <c r="V46" s="667" t="s">
        <v>17</v>
      </c>
      <c r="W46" s="668">
        <f t="shared" si="14"/>
        <v>100</v>
      </c>
      <c r="X46" s="1265"/>
      <c r="Y46" s="340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5"/>
      <c r="L47" s="2493"/>
      <c r="M47" s="2486"/>
      <c r="N47" s="2486"/>
      <c r="O47" s="2486"/>
      <c r="P47" s="3392" t="str">
        <f>A47</f>
        <v>成交单价（元/平方米）</v>
      </c>
      <c r="Q47" s="3392"/>
      <c r="R47" s="3393">
        <f>E47</f>
        <v>0</v>
      </c>
      <c r="S47" s="3393"/>
      <c r="T47" s="3393">
        <f>G47</f>
        <v>0</v>
      </c>
      <c r="U47" s="3393"/>
      <c r="V47" s="3393">
        <f>I47</f>
        <v>0</v>
      </c>
      <c r="W47" s="3393"/>
      <c r="X47" s="385"/>
      <c r="Y47" s="673"/>
      <c r="Z47" s="385"/>
      <c r="AA47" s="385"/>
      <c r="AB47" s="385"/>
      <c r="AC47" s="385"/>
    </row>
    <row r="48" spans="1:29" ht="15" thickBot="1">
      <c r="A48" s="423" t="s">
        <v>1709</v>
      </c>
      <c r="B48" s="424"/>
      <c r="C48" s="1082" t="e">
        <f>R49</f>
        <v>#DIV/0!</v>
      </c>
      <c r="D48" s="2139" t="s">
        <v>2138</v>
      </c>
      <c r="E48" s="1083" t="e">
        <f>R48</f>
        <v>#DIV/0!</v>
      </c>
      <c r="F48" s="2140"/>
      <c r="G48" s="1082" t="e">
        <f>T48</f>
        <v>#DIV/0!</v>
      </c>
      <c r="H48" s="2140"/>
      <c r="I48" s="1083" t="e">
        <f>V48</f>
        <v>#DIV/0!</v>
      </c>
      <c r="J48" s="2140"/>
      <c r="K48" s="2141">
        <f>F48+H48+J48</f>
        <v>0</v>
      </c>
      <c r="L48" s="2493"/>
      <c r="M48" s="2486"/>
      <c r="N48" s="2486"/>
      <c r="O48" s="2486"/>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 thickBot="1">
      <c r="A49" s="427" t="s">
        <v>1710</v>
      </c>
      <c r="B49" s="428"/>
      <c r="C49" s="1084" t="e">
        <f>R49</f>
        <v>#DIV/0!</v>
      </c>
      <c r="D49" s="351"/>
      <c r="E49" s="351"/>
      <c r="F49" s="351"/>
      <c r="G49" s="351"/>
      <c r="H49" s="351"/>
      <c r="I49" s="351"/>
      <c r="J49" s="351"/>
      <c r="K49" s="1766"/>
      <c r="L49" s="2493"/>
      <c r="M49" s="2486"/>
      <c r="N49" s="2486"/>
      <c r="O49" s="2486"/>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69"/>
      <c r="Q57" s="439"/>
    </row>
    <row r="58" spans="1:29" s="442" customFormat="1" ht="14.4">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0"/>
      <c r="C59" s="1102">
        <v>100</v>
      </c>
      <c r="D59" s="445"/>
      <c r="E59" s="446"/>
      <c r="F59" s="446"/>
      <c r="G59" s="446"/>
      <c r="H59" s="446"/>
      <c r="I59" s="446"/>
      <c r="J59" s="446"/>
      <c r="K59" s="446"/>
      <c r="L59" s="446"/>
      <c r="M59" s="447"/>
      <c r="N59" s="446"/>
      <c r="O59" s="447"/>
      <c r="P59" s="1771"/>
    </row>
    <row r="60" spans="1:29" s="102" customFormat="1" ht="15" thickBot="1">
      <c r="A60" s="449" t="s">
        <v>1716</v>
      </c>
      <c r="B60" s="450"/>
      <c r="C60" s="451"/>
      <c r="D60" s="452"/>
      <c r="E60" s="452"/>
      <c r="F60" s="452"/>
      <c r="G60" s="452"/>
      <c r="H60" s="452"/>
      <c r="I60" s="452"/>
      <c r="J60" s="452"/>
      <c r="K60" s="452"/>
      <c r="L60" s="452"/>
      <c r="M60" s="453"/>
      <c r="N60" s="452"/>
      <c r="O60" s="453"/>
      <c r="P60" s="1771"/>
      <c r="Q60" s="439"/>
    </row>
    <row r="61" spans="1:29" s="102" customFormat="1" ht="14.4">
      <c r="A61" s="455" t="s">
        <v>1717</v>
      </c>
      <c r="B61" s="444"/>
      <c r="C61" s="456" t="s">
        <v>1718</v>
      </c>
      <c r="D61" s="31"/>
      <c r="E61" s="31"/>
      <c r="F61" s="31"/>
      <c r="G61" s="31"/>
      <c r="H61" s="31"/>
      <c r="I61" s="31"/>
      <c r="J61" s="31"/>
      <c r="K61" s="31"/>
      <c r="L61" s="457"/>
      <c r="M61" s="458"/>
      <c r="N61" s="878"/>
      <c r="O61" s="878"/>
      <c r="P61" s="1772"/>
      <c r="Q61" s="439"/>
    </row>
    <row r="62" spans="1:29" s="102" customFormat="1" ht="14.4" thickBot="1">
      <c r="A62" s="455"/>
      <c r="B62" s="444"/>
      <c r="C62" s="445">
        <v>100</v>
      </c>
      <c r="D62" s="446"/>
      <c r="E62" s="446"/>
      <c r="F62" s="446"/>
      <c r="G62" s="446"/>
      <c r="H62" s="446"/>
      <c r="I62" s="446"/>
      <c r="J62" s="446"/>
      <c r="K62" s="446"/>
      <c r="L62" s="446"/>
      <c r="M62" s="448"/>
      <c r="N62" s="878"/>
      <c r="O62" s="878"/>
      <c r="P62" s="1771"/>
      <c r="Q62" s="439"/>
    </row>
    <row r="63" spans="1:29" ht="14.4">
      <c r="A63" s="379" t="s">
        <v>1719</v>
      </c>
      <c r="B63" s="460" t="s">
        <v>1685</v>
      </c>
      <c r="C63" s="461">
        <f>C9</f>
        <v>0</v>
      </c>
      <c r="D63" s="462"/>
      <c r="E63" s="462"/>
      <c r="F63" s="462"/>
      <c r="G63" s="462"/>
      <c r="H63" s="462"/>
      <c r="I63" s="462"/>
      <c r="J63" s="462"/>
      <c r="K63" s="463"/>
      <c r="L63" s="464"/>
      <c r="M63" s="465"/>
      <c r="N63" s="879"/>
      <c r="O63" s="879"/>
      <c r="P63" s="1773"/>
      <c r="Q63" s="439"/>
    </row>
    <row r="64" spans="1:29" ht="14.4" thickBot="1">
      <c r="A64" s="367"/>
      <c r="B64" s="466"/>
      <c r="C64" s="467">
        <v>100</v>
      </c>
      <c r="D64" s="467"/>
      <c r="E64" s="467"/>
      <c r="F64" s="467"/>
      <c r="G64" s="467"/>
      <c r="H64" s="467"/>
      <c r="I64" s="467"/>
      <c r="J64" s="467"/>
      <c r="K64" s="467"/>
      <c r="L64" s="467"/>
      <c r="M64" s="468"/>
      <c r="N64" s="880"/>
      <c r="O64" s="880"/>
      <c r="P64" s="1773"/>
      <c r="Q64" s="439"/>
    </row>
    <row r="65" spans="1:17" ht="29.4" thickTop="1">
      <c r="A65" s="367"/>
      <c r="B65" s="469" t="s">
        <v>1688</v>
      </c>
      <c r="C65" s="513"/>
      <c r="D65" s="513"/>
      <c r="E65" s="513"/>
      <c r="F65" s="513"/>
      <c r="G65" s="513"/>
      <c r="H65" s="513"/>
      <c r="I65" s="513"/>
      <c r="J65" s="513"/>
      <c r="K65" s="513"/>
      <c r="L65" s="513"/>
      <c r="M65" s="513"/>
      <c r="N65" s="880"/>
      <c r="O65" s="880"/>
      <c r="P65" s="1773"/>
      <c r="Q65" s="439"/>
    </row>
    <row r="66" spans="1:17" ht="14.4" thickBot="1">
      <c r="A66" s="367"/>
      <c r="B66" s="474"/>
      <c r="C66" s="467"/>
      <c r="D66" s="467"/>
      <c r="E66" s="467"/>
      <c r="F66" s="467"/>
      <c r="G66" s="467"/>
      <c r="H66" s="467"/>
      <c r="I66" s="467"/>
      <c r="J66" s="467"/>
      <c r="K66" s="467"/>
      <c r="L66" s="467"/>
      <c r="M66" s="468"/>
      <c r="N66" s="880"/>
      <c r="O66" s="880"/>
      <c r="P66" s="1773"/>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c r="A68" s="367"/>
      <c r="B68" s="479"/>
      <c r="C68" s="480"/>
      <c r="D68" s="480"/>
      <c r="E68" s="480"/>
      <c r="F68" s="480"/>
      <c r="G68" s="480"/>
      <c r="H68" s="480"/>
      <c r="I68" s="480"/>
      <c r="J68" s="480"/>
      <c r="K68" s="481"/>
      <c r="L68" s="482"/>
      <c r="M68" s="483"/>
      <c r="N68" s="879"/>
      <c r="O68" s="879"/>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4.4" thickTop="1">
      <c r="A70" s="484"/>
      <c r="B70" s="469">
        <f>B12</f>
        <v>111</v>
      </c>
      <c r="C70" s="485"/>
      <c r="D70" s="485"/>
      <c r="E70" s="485"/>
      <c r="F70" s="485"/>
      <c r="G70" s="485"/>
      <c r="H70" s="486"/>
      <c r="I70" s="486"/>
      <c r="J70" s="486"/>
      <c r="K70" s="486"/>
      <c r="L70" s="487"/>
      <c r="M70" s="488"/>
      <c r="N70" s="881"/>
      <c r="O70" s="881"/>
      <c r="P70" s="1774"/>
      <c r="Q70" s="490"/>
    </row>
    <row r="71" spans="1:17" s="408" customFormat="1" ht="14.4" thickBot="1">
      <c r="A71" s="484"/>
      <c r="B71" s="474"/>
      <c r="C71" s="491"/>
      <c r="D71" s="467"/>
      <c r="E71" s="467"/>
      <c r="F71" s="467"/>
      <c r="G71" s="467"/>
      <c r="H71" s="467"/>
      <c r="I71" s="467"/>
      <c r="J71" s="467"/>
      <c r="K71" s="467"/>
      <c r="L71" s="467"/>
      <c r="M71" s="468"/>
      <c r="N71" s="880"/>
      <c r="O71" s="880"/>
      <c r="P71" s="1774"/>
      <c r="Q71" s="490"/>
    </row>
    <row r="72" spans="1:17" s="408" customFormat="1" ht="14.4" thickTop="1">
      <c r="A72" s="484"/>
      <c r="B72" s="469">
        <f>B13</f>
        <v>111</v>
      </c>
      <c r="C72" s="485"/>
      <c r="D72" s="485"/>
      <c r="E72" s="485"/>
      <c r="F72" s="485"/>
      <c r="G72" s="485"/>
      <c r="H72" s="486"/>
      <c r="I72" s="486"/>
      <c r="J72" s="486"/>
      <c r="K72" s="486"/>
      <c r="L72" s="487"/>
      <c r="M72" s="488"/>
      <c r="N72" s="881"/>
      <c r="O72" s="881"/>
      <c r="P72" s="1775"/>
      <c r="Q72" s="492"/>
    </row>
    <row r="73" spans="1:17" s="408" customFormat="1" ht="14.4" thickBot="1">
      <c r="A73" s="484"/>
      <c r="B73" s="474"/>
      <c r="C73" s="491"/>
      <c r="D73" s="491"/>
      <c r="E73" s="491"/>
      <c r="F73" s="491"/>
      <c r="G73" s="491"/>
      <c r="H73" s="493"/>
      <c r="I73" s="493"/>
      <c r="J73" s="493"/>
      <c r="K73" s="493"/>
      <c r="L73" s="493"/>
      <c r="M73" s="494"/>
      <c r="N73" s="881"/>
      <c r="O73" s="881"/>
      <c r="P73" s="1774"/>
      <c r="Q73" s="490"/>
    </row>
    <row r="74" spans="1:17" s="408" customFormat="1" ht="14.4" thickTop="1">
      <c r="A74" s="484"/>
      <c r="B74" s="477">
        <f>B14</f>
        <v>111</v>
      </c>
      <c r="C74" s="485"/>
      <c r="D74" s="485"/>
      <c r="E74" s="485"/>
      <c r="F74" s="485"/>
      <c r="G74" s="31"/>
      <c r="H74" s="495"/>
      <c r="I74" s="495"/>
      <c r="J74" s="495"/>
      <c r="K74" s="495"/>
      <c r="L74" s="496"/>
      <c r="M74" s="497"/>
      <c r="N74" s="881"/>
      <c r="O74" s="881"/>
      <c r="P74" s="1776"/>
      <c r="Q74" s="490"/>
    </row>
    <row r="75" spans="1:17" s="408" customFormat="1" ht="14.4" thickBot="1">
      <c r="A75" s="499"/>
      <c r="B75" s="500"/>
      <c r="C75" s="501"/>
      <c r="D75" s="501"/>
      <c r="E75" s="501"/>
      <c r="F75" s="501"/>
      <c r="G75" s="501"/>
      <c r="H75" s="502"/>
      <c r="I75" s="502"/>
      <c r="J75" s="502"/>
      <c r="K75" s="502"/>
      <c r="L75" s="502"/>
      <c r="M75" s="503"/>
      <c r="N75" s="881"/>
      <c r="O75" s="881"/>
      <c r="P75" s="1774"/>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 thickTop="1">
      <c r="A86" s="370"/>
      <c r="B86" s="469" t="s">
        <v>1734</v>
      </c>
      <c r="C86" s="485"/>
      <c r="D86" s="485"/>
      <c r="E86" s="485"/>
      <c r="F86" s="485"/>
      <c r="G86" s="485"/>
      <c r="H86" s="485"/>
      <c r="I86" s="485"/>
      <c r="J86" s="485"/>
      <c r="K86" s="485"/>
      <c r="L86" s="510"/>
      <c r="M86" s="511"/>
      <c r="N86" s="878"/>
      <c r="O86" s="878"/>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 thickTop="1">
      <c r="A88" s="370"/>
      <c r="B88" s="469" t="s">
        <v>1735</v>
      </c>
      <c r="C88" s="485"/>
      <c r="D88" s="485"/>
      <c r="E88" s="485"/>
      <c r="F88" s="1778"/>
      <c r="G88" s="485"/>
      <c r="H88" s="485"/>
      <c r="I88" s="485"/>
      <c r="J88" s="485"/>
      <c r="K88" s="485"/>
      <c r="L88" s="485"/>
      <c r="M88" s="511"/>
      <c r="N88" s="878"/>
      <c r="O88" s="878"/>
      <c r="P88" s="1773"/>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3"/>
      <c r="Q89" s="439"/>
    </row>
    <row r="90" spans="1:17" s="408" customFormat="1" ht="14.4" thickTop="1">
      <c r="A90" s="484"/>
      <c r="B90" s="469">
        <f>B27</f>
        <v>111</v>
      </c>
      <c r="C90" s="485"/>
      <c r="D90" s="485"/>
      <c r="E90" s="485"/>
      <c r="F90" s="485"/>
      <c r="G90" s="485"/>
      <c r="H90" s="486"/>
      <c r="I90" s="486"/>
      <c r="J90" s="486"/>
      <c r="K90" s="486"/>
      <c r="L90" s="487"/>
      <c r="M90" s="488"/>
      <c r="N90" s="881"/>
      <c r="O90" s="881"/>
      <c r="P90" s="1774"/>
      <c r="Q90" s="490"/>
    </row>
    <row r="91" spans="1:17" s="408" customFormat="1" ht="14.4" thickBot="1">
      <c r="A91" s="484"/>
      <c r="B91" s="474"/>
      <c r="C91" s="491"/>
      <c r="D91" s="491"/>
      <c r="E91" s="491"/>
      <c r="F91" s="491"/>
      <c r="G91" s="491"/>
      <c r="H91" s="493"/>
      <c r="I91" s="493"/>
      <c r="J91" s="493"/>
      <c r="K91" s="493"/>
      <c r="L91" s="493"/>
      <c r="M91" s="494"/>
      <c r="N91" s="881"/>
      <c r="O91" s="881"/>
      <c r="P91" s="1774"/>
      <c r="Q91" s="490"/>
    </row>
    <row r="92" spans="1:17" ht="14.4" thickTop="1">
      <c r="A92" s="367"/>
      <c r="B92" s="469">
        <f>B28</f>
        <v>111</v>
      </c>
      <c r="C92" s="485"/>
      <c r="D92" s="485"/>
      <c r="E92" s="485"/>
      <c r="F92" s="485"/>
      <c r="G92" s="513"/>
      <c r="H92" s="513"/>
      <c r="I92" s="513"/>
      <c r="J92" s="513"/>
      <c r="K92" s="514"/>
      <c r="L92" s="515"/>
      <c r="M92" s="516"/>
      <c r="N92" s="879"/>
      <c r="O92" s="879"/>
      <c r="P92" s="1773"/>
      <c r="Q92" s="439"/>
    </row>
    <row r="93" spans="1:17" ht="14.4" thickBot="1">
      <c r="A93" s="367"/>
      <c r="B93" s="474"/>
      <c r="C93" s="491"/>
      <c r="D93" s="467"/>
      <c r="E93" s="467"/>
      <c r="F93" s="467"/>
      <c r="G93" s="467"/>
      <c r="H93" s="467"/>
      <c r="I93" s="467"/>
      <c r="J93" s="467"/>
      <c r="K93" s="467"/>
      <c r="L93" s="467"/>
      <c r="M93" s="468"/>
      <c r="N93" s="880"/>
      <c r="O93" s="880"/>
      <c r="P93" s="1773"/>
      <c r="Q93" s="439"/>
    </row>
    <row r="94" spans="1:17" ht="14.4" thickTop="1">
      <c r="A94" s="367"/>
      <c r="B94" s="469">
        <f>B29</f>
        <v>111</v>
      </c>
      <c r="C94" s="485"/>
      <c r="D94" s="485"/>
      <c r="E94" s="485"/>
      <c r="F94" s="485"/>
      <c r="G94" s="513"/>
      <c r="H94" s="513"/>
      <c r="I94" s="513"/>
      <c r="J94" s="513"/>
      <c r="K94" s="514"/>
      <c r="L94" s="515"/>
      <c r="M94" s="516"/>
      <c r="N94" s="879"/>
      <c r="O94" s="879"/>
      <c r="P94" s="1773"/>
      <c r="Q94" s="439"/>
    </row>
    <row r="95" spans="1:17" ht="14.4" thickBot="1">
      <c r="A95" s="367"/>
      <c r="B95" s="474"/>
      <c r="C95" s="491"/>
      <c r="D95" s="491"/>
      <c r="E95" s="491"/>
      <c r="F95" s="491"/>
      <c r="G95" s="467"/>
      <c r="H95" s="467"/>
      <c r="I95" s="467"/>
      <c r="J95" s="467"/>
      <c r="K95" s="467"/>
      <c r="L95" s="467"/>
      <c r="M95" s="468"/>
      <c r="N95" s="880"/>
      <c r="O95" s="880"/>
      <c r="P95" s="1773"/>
      <c r="Q95" s="439"/>
    </row>
    <row r="96" spans="1:17" ht="14.4" thickTop="1">
      <c r="A96" s="367"/>
      <c r="B96" s="469">
        <f>B30</f>
        <v>111</v>
      </c>
      <c r="C96" s="485"/>
      <c r="D96" s="485"/>
      <c r="E96" s="485"/>
      <c r="F96" s="485"/>
      <c r="G96" s="513"/>
      <c r="H96" s="513"/>
      <c r="I96" s="513"/>
      <c r="J96" s="513"/>
      <c r="K96" s="514"/>
      <c r="L96" s="515"/>
      <c r="M96" s="516"/>
      <c r="N96" s="879"/>
      <c r="O96" s="879"/>
      <c r="P96" s="1773"/>
      <c r="Q96" s="439"/>
    </row>
    <row r="97" spans="1:17" ht="14.4" thickBot="1">
      <c r="A97" s="367"/>
      <c r="B97" s="474"/>
      <c r="C97" s="501"/>
      <c r="D97" s="501"/>
      <c r="E97" s="501"/>
      <c r="F97" s="501"/>
      <c r="G97" s="467"/>
      <c r="H97" s="467"/>
      <c r="I97" s="467"/>
      <c r="J97" s="467"/>
      <c r="K97" s="467"/>
      <c r="L97" s="467"/>
      <c r="M97" s="468"/>
      <c r="N97" s="880"/>
      <c r="O97" s="880"/>
      <c r="P97" s="1773"/>
      <c r="Q97" s="439"/>
    </row>
    <row r="98" spans="1:17" ht="14.4" thickTop="1">
      <c r="A98" s="367"/>
      <c r="B98" s="477">
        <f>B31</f>
        <v>111</v>
      </c>
      <c r="C98" s="517"/>
      <c r="D98" s="517"/>
      <c r="E98" s="517"/>
      <c r="F98" s="517"/>
      <c r="G98" s="517"/>
      <c r="H98" s="517"/>
      <c r="I98" s="517"/>
      <c r="J98" s="517"/>
      <c r="K98" s="518"/>
      <c r="L98" s="519"/>
      <c r="M98" s="520"/>
      <c r="N98" s="879"/>
      <c r="O98" s="879"/>
      <c r="P98" s="1773"/>
      <c r="Q98" s="439"/>
    </row>
    <row r="99" spans="1:17" ht="14.4" thickBot="1">
      <c r="A99" s="375"/>
      <c r="B99" s="500"/>
      <c r="C99" s="521"/>
      <c r="D99" s="521"/>
      <c r="E99" s="521"/>
      <c r="F99" s="521"/>
      <c r="G99" s="521"/>
      <c r="H99" s="521"/>
      <c r="I99" s="521"/>
      <c r="J99" s="521"/>
      <c r="K99" s="521"/>
      <c r="L99" s="521"/>
      <c r="M99" s="522"/>
      <c r="N99" s="880"/>
      <c r="O99" s="880"/>
      <c r="P99" s="1773"/>
      <c r="Q99" s="439"/>
    </row>
    <row r="100" spans="1:17" ht="14.4">
      <c r="A100" s="379" t="s">
        <v>1694</v>
      </c>
      <c r="B100" s="460" t="s">
        <v>1736</v>
      </c>
      <c r="C100" s="462"/>
      <c r="D100" s="462"/>
      <c r="E100" s="462"/>
      <c r="F100" s="462"/>
      <c r="G100" s="462"/>
      <c r="H100" s="462"/>
      <c r="I100" s="462"/>
      <c r="J100" s="462"/>
      <c r="K100" s="463"/>
      <c r="L100" s="464"/>
      <c r="M100" s="465"/>
      <c r="N100" s="879"/>
      <c r="O100" s="879"/>
      <c r="P100" s="1773"/>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c r="D103" s="6"/>
      <c r="E103" s="6"/>
      <c r="F103" s="6"/>
      <c r="G103" s="6"/>
      <c r="H103" s="6"/>
      <c r="I103" s="6"/>
      <c r="J103" s="524"/>
      <c r="K103" s="524"/>
      <c r="L103" s="525"/>
      <c r="M103" s="526"/>
      <c r="N103" s="881"/>
      <c r="O103" s="881"/>
      <c r="P103" s="1774"/>
      <c r="Q103" s="490"/>
    </row>
    <row r="104" spans="1:17" s="408" customFormat="1" ht="14.4" thickBot="1">
      <c r="A104" s="484"/>
      <c r="B104" s="474"/>
      <c r="C104" s="491"/>
      <c r="D104" s="467"/>
      <c r="E104" s="467"/>
      <c r="F104" s="467"/>
      <c r="G104" s="467"/>
      <c r="H104" s="467"/>
      <c r="I104" s="467"/>
      <c r="J104" s="467"/>
      <c r="K104" s="467"/>
      <c r="L104" s="467"/>
      <c r="M104" s="467"/>
      <c r="N104" s="880"/>
      <c r="O104" s="880"/>
      <c r="P104" s="1774"/>
      <c r="Q104" s="490"/>
    </row>
    <row r="105" spans="1:17" ht="15" thickTop="1">
      <c r="A105" s="409"/>
      <c r="B105" s="469" t="s">
        <v>1738</v>
      </c>
      <c r="C105" s="485"/>
      <c r="D105" s="485"/>
      <c r="E105" s="513"/>
      <c r="F105" s="513"/>
      <c r="G105" s="513"/>
      <c r="H105" s="513"/>
      <c r="I105" s="513"/>
      <c r="J105" s="513"/>
      <c r="K105" s="514"/>
      <c r="L105" s="515"/>
      <c r="M105" s="516"/>
      <c r="N105" s="879"/>
      <c r="O105" s="879"/>
      <c r="P105" s="1773"/>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4.4"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485"/>
      <c r="D122" s="485"/>
      <c r="E122" s="485"/>
      <c r="F122" s="513"/>
      <c r="G122" s="513"/>
      <c r="H122" s="513"/>
      <c r="I122" s="513"/>
      <c r="J122" s="513"/>
      <c r="K122" s="514"/>
      <c r="L122" s="515"/>
      <c r="M122" s="516"/>
      <c r="N122" s="879"/>
      <c r="O122" s="879"/>
      <c r="P122" s="1773"/>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3"/>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4.4" thickBot="1">
      <c r="A127" s="484"/>
      <c r="B127" s="474"/>
      <c r="C127" s="491"/>
      <c r="D127" s="467"/>
      <c r="E127" s="467"/>
      <c r="F127" s="467"/>
      <c r="G127" s="491"/>
      <c r="H127" s="493"/>
      <c r="I127" s="493"/>
      <c r="J127" s="493"/>
      <c r="K127" s="493"/>
      <c r="L127" s="493"/>
      <c r="M127" s="494"/>
      <c r="N127" s="881"/>
      <c r="O127" s="881"/>
      <c r="P127" s="1774"/>
      <c r="Q127" s="490"/>
    </row>
    <row r="128" spans="1:17" ht="14.4" thickTop="1">
      <c r="A128" s="409"/>
      <c r="B128" s="469">
        <f>B45</f>
        <v>111</v>
      </c>
      <c r="C128" s="485"/>
      <c r="D128" s="485"/>
      <c r="E128" s="485"/>
      <c r="F128" s="485"/>
      <c r="G128" s="513"/>
      <c r="H128" s="513"/>
      <c r="I128" s="513"/>
      <c r="J128" s="513"/>
      <c r="K128" s="514"/>
      <c r="L128" s="515"/>
      <c r="M128" s="516"/>
      <c r="N128" s="879"/>
      <c r="O128" s="879"/>
      <c r="P128" s="1773"/>
      <c r="Q128" s="439"/>
    </row>
    <row r="129" spans="1:17" ht="14.4" thickBot="1">
      <c r="A129" s="367"/>
      <c r="B129" s="474"/>
      <c r="C129" s="491"/>
      <c r="D129" s="491"/>
      <c r="E129" s="491"/>
      <c r="F129" s="491"/>
      <c r="G129" s="467"/>
      <c r="H129" s="467"/>
      <c r="I129" s="467"/>
      <c r="J129" s="467"/>
      <c r="K129" s="467"/>
      <c r="L129" s="467"/>
      <c r="M129" s="468"/>
      <c r="N129" s="880"/>
      <c r="O129" s="880"/>
      <c r="P129" s="1773"/>
      <c r="Q129" s="439"/>
    </row>
    <row r="130" spans="1:17" ht="14.4" thickTop="1">
      <c r="A130" s="409"/>
      <c r="B130" s="477">
        <f>B46</f>
        <v>111</v>
      </c>
      <c r="C130" s="485"/>
      <c r="D130" s="485"/>
      <c r="E130" s="485"/>
      <c r="F130" s="485"/>
      <c r="G130" s="517"/>
      <c r="H130" s="517"/>
      <c r="I130" s="517"/>
      <c r="J130" s="517"/>
      <c r="K130" s="31"/>
      <c r="L130" s="457"/>
      <c r="M130" s="520"/>
      <c r="N130" s="879"/>
      <c r="O130" s="879"/>
      <c r="P130" s="1773"/>
      <c r="Q130" s="439"/>
    </row>
    <row r="131" spans="1:17" ht="14.4"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6.2"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D4F49-F538-442A-AE3E-869CC0749697}">
  <dimension ref="Q7:Q15"/>
  <sheetViews>
    <sheetView topLeftCell="A10" workbookViewId="0">
      <selection activeCell="Q16" sqref="Q16"/>
    </sheetView>
  </sheetViews>
  <sheetFormatPr defaultRowHeight="14.4"/>
  <sheetData>
    <row r="7" spans="17:17">
      <c r="Q7" s="3170" t="s">
        <v>3447</v>
      </c>
    </row>
    <row r="8" spans="17:17">
      <c r="Q8" s="3170" t="s">
        <v>3448</v>
      </c>
    </row>
    <row r="9" spans="17:17">
      <c r="Q9" s="3170" t="s">
        <v>3449</v>
      </c>
    </row>
    <row r="14" spans="17:17">
      <c r="Q14" s="1405" t="s">
        <v>3451</v>
      </c>
    </row>
    <row r="15" spans="17:17">
      <c r="Q15" s="1405" t="s">
        <v>3450</v>
      </c>
    </row>
  </sheetData>
  <phoneticPr fontId="13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估价对象为北京市房地产，为所有。根据《国有土地使用证》[]，估价对象（分摊）出让国有建设用地使用权面积为0平方米，建筑面积为9456.5平方米。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估价对象为北京市房地产,属开发建设的，该项目尚在开发建设中。根据《国有土地使用证》[]，估价对象（分摊）出让国有建设用地使用权面积为0平方米，规划建筑面积为9456.5平方米。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2025年12月22日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6" t="s">
        <v>1826</v>
      </c>
      <c r="C1" s="1141" t="s">
        <v>1662</v>
      </c>
      <c r="D1" s="1142"/>
      <c r="E1" s="3130"/>
      <c r="F1" s="1733"/>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5"/>
      <c r="D2" s="854" t="e">
        <f ca="1">IF(E1="项目模式",SUMIF(INDIRECT("'"&amp;F2&amp;"'"&amp;"!A:A"),"承租人权益价值",INDIRECT("'"&amp;F2&amp;"'"&amp;"!c:c")),SUMIF(INDIRECT("'"&amp;F2&amp;"'"&amp;"!A:A"),"承租人权益价值（单套）",INDIRECT("'"&amp;F2&amp;"'"&amp;"!c:c")))</f>
        <v>#REF!</v>
      </c>
      <c r="E2" s="1736" t="s">
        <v>1463</v>
      </c>
      <c r="F2" s="1737"/>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9456.5000000000018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9" t="s">
        <v>1770</v>
      </c>
      <c r="D4" s="3410"/>
      <c r="E4" s="3411" t="s">
        <v>1771</v>
      </c>
      <c r="F4" s="3412"/>
      <c r="G4" s="3409" t="s">
        <v>1772</v>
      </c>
      <c r="H4" s="3410"/>
      <c r="I4" s="3409" t="s">
        <v>1773</v>
      </c>
      <c r="J4" s="3410"/>
      <c r="K4" s="537" t="s">
        <v>1774</v>
      </c>
      <c r="L4" s="860"/>
      <c r="M4" s="861"/>
      <c r="N4" s="861"/>
      <c r="O4" s="861"/>
      <c r="P4" s="3466" t="s">
        <v>1775</v>
      </c>
      <c r="Q4" s="3467"/>
      <c r="R4" s="3470" t="s">
        <v>1771</v>
      </c>
      <c r="S4" s="3471"/>
      <c r="T4" s="3470" t="s">
        <v>1772</v>
      </c>
      <c r="U4" s="3471"/>
      <c r="V4" s="3393" t="s">
        <v>1773</v>
      </c>
      <c r="W4" s="3393"/>
      <c r="X4" s="1265"/>
      <c r="Y4" s="3470" t="s">
        <v>1775</v>
      </c>
      <c r="Z4" s="3471"/>
      <c r="AA4" s="3465" t="s">
        <v>1771</v>
      </c>
      <c r="AB4" s="3437" t="s">
        <v>1772</v>
      </c>
      <c r="AC4" s="3465" t="s">
        <v>1773</v>
      </c>
    </row>
    <row r="5" spans="1:29">
      <c r="A5" s="348"/>
      <c r="B5" s="349"/>
      <c r="C5" s="3428" t="s">
        <v>1673</v>
      </c>
      <c r="D5" s="3429"/>
      <c r="E5" s="3439" t="s">
        <v>1674</v>
      </c>
      <c r="F5" s="3440"/>
      <c r="G5" s="3428" t="s">
        <v>1675</v>
      </c>
      <c r="H5" s="3429"/>
      <c r="I5" s="3428" t="s">
        <v>1676</v>
      </c>
      <c r="J5" s="3429"/>
      <c r="K5" s="537"/>
      <c r="L5" s="860"/>
      <c r="M5" s="861"/>
      <c r="N5" s="861"/>
      <c r="O5" s="861"/>
      <c r="P5" s="3468"/>
      <c r="Q5" s="3416"/>
      <c r="R5" s="3421"/>
      <c r="S5" s="3422"/>
      <c r="T5" s="3421"/>
      <c r="U5" s="3422"/>
      <c r="V5" s="3393"/>
      <c r="W5" s="3393"/>
      <c r="X5" s="1265"/>
      <c r="Y5" s="3421"/>
      <c r="Z5" s="3422"/>
      <c r="AA5" s="3437"/>
      <c r="AB5" s="3437"/>
      <c r="AC5" s="3437"/>
    </row>
    <row r="6" spans="1:29" ht="15" thickBot="1">
      <c r="A6" s="350"/>
      <c r="B6" s="351"/>
      <c r="C6" s="3426" t="s">
        <v>1677</v>
      </c>
      <c r="D6" s="3427"/>
      <c r="E6" s="3434" t="s">
        <v>1677</v>
      </c>
      <c r="F6" s="3435"/>
      <c r="G6" s="3426" t="s">
        <v>1677</v>
      </c>
      <c r="H6" s="3427"/>
      <c r="I6" s="3426" t="s">
        <v>1677</v>
      </c>
      <c r="J6" s="3427"/>
      <c r="K6" s="537" t="s">
        <v>1678</v>
      </c>
      <c r="L6" s="860"/>
      <c r="M6" s="861"/>
      <c r="N6" s="861"/>
      <c r="O6" s="861"/>
      <c r="P6" s="3469"/>
      <c r="Q6" s="3418"/>
      <c r="R6" s="3421"/>
      <c r="S6" s="3422"/>
      <c r="T6" s="3423"/>
      <c r="U6" s="3424"/>
      <c r="V6" s="3393"/>
      <c r="W6" s="3393"/>
      <c r="X6" s="1265"/>
      <c r="Y6" s="3423"/>
      <c r="Z6" s="3424"/>
      <c r="AA6" s="3438"/>
      <c r="AB6" s="3438"/>
      <c r="AC6" s="3438"/>
    </row>
    <row r="7" spans="1:29" s="102" customFormat="1" ht="15" thickBot="1">
      <c r="A7" s="352" t="s">
        <v>1679</v>
      </c>
      <c r="B7" s="353"/>
      <c r="C7" s="354">
        <f>'数据-取费表'!B2</f>
        <v>46013</v>
      </c>
      <c r="D7" s="355">
        <v>100</v>
      </c>
      <c r="E7" s="356"/>
      <c r="F7" s="357">
        <f>SUMIF(52:52,YEAR(E7)&amp;"-"&amp;MONTH(E7),53:53)</f>
        <v>0</v>
      </c>
      <c r="G7" s="356"/>
      <c r="H7" s="355">
        <f>SUMIF(52:52,YEAR(G7)&amp;"-"&amp;MONTH(G7),53:53)</f>
        <v>0</v>
      </c>
      <c r="I7" s="356"/>
      <c r="J7" s="355">
        <f>SUMIF(52:52,YEAR(I7)&amp;"-"&amp;MONTH(I7),53:53)</f>
        <v>0</v>
      </c>
      <c r="K7" s="38"/>
      <c r="L7" s="862"/>
      <c r="M7" s="863"/>
      <c r="N7" s="863"/>
      <c r="O7" s="863"/>
      <c r="P7" s="3432" t="s">
        <v>1680</v>
      </c>
      <c r="Q7" s="3433"/>
      <c r="R7" s="664" t="s">
        <v>14</v>
      </c>
      <c r="S7" s="665">
        <f t="shared" ref="S7:S15" si="0">F7</f>
        <v>0</v>
      </c>
      <c r="T7" s="664" t="s">
        <v>14</v>
      </c>
      <c r="U7" s="665">
        <f t="shared" ref="U7:U15" si="1">H7</f>
        <v>0</v>
      </c>
      <c r="V7" s="664" t="s">
        <v>14</v>
      </c>
      <c r="W7" s="665">
        <f t="shared" ref="W7:W15" si="2">J7</f>
        <v>0</v>
      </c>
      <c r="X7" s="666"/>
      <c r="Y7" s="3432" t="s">
        <v>1680</v>
      </c>
      <c r="Z7" s="343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2" t="s">
        <v>1683</v>
      </c>
      <c r="Q8" s="3431"/>
      <c r="R8" s="664" t="s">
        <v>14</v>
      </c>
      <c r="S8" s="665">
        <f t="shared" si="0"/>
        <v>100</v>
      </c>
      <c r="T8" s="664" t="s">
        <v>14</v>
      </c>
      <c r="U8" s="665">
        <f t="shared" si="1"/>
        <v>100</v>
      </c>
      <c r="V8" s="664" t="s">
        <v>14</v>
      </c>
      <c r="W8" s="665">
        <f t="shared" si="2"/>
        <v>100</v>
      </c>
      <c r="X8" s="666"/>
      <c r="Y8" s="3432" t="s">
        <v>1683</v>
      </c>
      <c r="Z8" s="343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2"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2"/>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2"/>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92"/>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92"/>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92"/>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69">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9" t="s">
        <v>1691</v>
      </c>
      <c r="Q15" s="1263" t="str">
        <f t="shared" si="6"/>
        <v>产业集聚程度</v>
      </c>
      <c r="R15" s="667" t="s">
        <v>14</v>
      </c>
      <c r="S15" s="668">
        <f t="shared" si="0"/>
        <v>100</v>
      </c>
      <c r="T15" s="667" t="s">
        <v>14</v>
      </c>
      <c r="U15" s="668">
        <f t="shared" si="1"/>
        <v>100</v>
      </c>
      <c r="V15" s="667" t="s">
        <v>14</v>
      </c>
      <c r="W15" s="668">
        <f t="shared" si="2"/>
        <v>100</v>
      </c>
      <c r="X15" s="1265"/>
      <c r="Y15" s="339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0"/>
      <c r="Q16" s="1263"/>
      <c r="R16" s="667"/>
      <c r="S16" s="668"/>
      <c r="T16" s="667"/>
      <c r="U16" s="668"/>
      <c r="V16" s="667"/>
      <c r="W16" s="668"/>
      <c r="X16" s="1265"/>
      <c r="Y16" s="3400"/>
      <c r="Z16" s="1264"/>
      <c r="AA16" s="1264">
        <v>1</v>
      </c>
      <c r="AB16" s="1264">
        <v>1</v>
      </c>
      <c r="AC16" s="1264">
        <v>1</v>
      </c>
    </row>
    <row r="17" spans="1:29" ht="96.6">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0"/>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395"/>
      <c r="C18" s="1753"/>
      <c r="D18" s="389"/>
      <c r="E18" s="1755"/>
      <c r="F18" s="392"/>
      <c r="G18" s="1754"/>
      <c r="H18" s="387"/>
      <c r="I18" s="1755"/>
      <c r="J18" s="387"/>
      <c r="K18" s="541"/>
      <c r="L18" s="870"/>
      <c r="M18" s="861"/>
      <c r="N18" s="861"/>
      <c r="O18" s="869"/>
      <c r="P18" s="3400"/>
      <c r="Q18" s="1263"/>
      <c r="R18" s="667"/>
      <c r="S18" s="668"/>
      <c r="T18" s="667"/>
      <c r="U18" s="668"/>
      <c r="V18" s="667"/>
      <c r="W18" s="668"/>
      <c r="X18" s="1265"/>
      <c r="Y18" s="3400"/>
      <c r="Z18" s="1264"/>
      <c r="AA18" s="1264">
        <v>1</v>
      </c>
      <c r="AB18" s="1264">
        <v>1</v>
      </c>
      <c r="AC18" s="1264">
        <v>1</v>
      </c>
    </row>
    <row r="19" spans="1:29" ht="41.4">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0"/>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264">
        <f t="shared" si="5"/>
        <v>1</v>
      </c>
    </row>
    <row r="20" spans="1:29" ht="15">
      <c r="A20" s="367"/>
      <c r="B20" s="395"/>
      <c r="C20" s="386"/>
      <c r="D20" s="387"/>
      <c r="E20" s="1750"/>
      <c r="F20" s="388"/>
      <c r="G20" s="1749"/>
      <c r="H20" s="387"/>
      <c r="I20" s="1750"/>
      <c r="J20" s="387"/>
      <c r="K20" s="541"/>
      <c r="L20" s="870"/>
      <c r="M20" s="861"/>
      <c r="N20" s="861"/>
      <c r="O20" s="869"/>
      <c r="P20" s="3400"/>
      <c r="Q20" s="1263"/>
      <c r="R20" s="667"/>
      <c r="S20" s="668"/>
      <c r="T20" s="667"/>
      <c r="U20" s="668"/>
      <c r="V20" s="667"/>
      <c r="W20" s="668"/>
      <c r="X20" s="1265"/>
      <c r="Y20" s="3400"/>
      <c r="Z20" s="1264"/>
      <c r="AA20" s="1264">
        <v>1</v>
      </c>
      <c r="AB20" s="1264">
        <v>1</v>
      </c>
      <c r="AC20" s="1264">
        <v>1</v>
      </c>
    </row>
    <row r="21" spans="1:29" ht="41.4">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0"/>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3"/>
      <c r="D22" s="387"/>
      <c r="E22" s="386"/>
      <c r="F22" s="388"/>
      <c r="G22" s="386"/>
      <c r="H22" s="387"/>
      <c r="I22" s="386"/>
      <c r="J22" s="387"/>
      <c r="K22" s="1064"/>
      <c r="L22" s="870"/>
      <c r="M22" s="861"/>
      <c r="N22" s="861"/>
      <c r="O22" s="869"/>
      <c r="P22" s="3400"/>
      <c r="Q22" s="1263"/>
      <c r="R22" s="667"/>
      <c r="S22" s="668"/>
      <c r="T22" s="667"/>
      <c r="U22" s="668"/>
      <c r="V22" s="667"/>
      <c r="W22" s="668"/>
      <c r="X22" s="1265"/>
      <c r="Y22" s="3400"/>
      <c r="Z22" s="1264"/>
      <c r="AA22" s="1264">
        <v>1</v>
      </c>
      <c r="AB22" s="1264">
        <v>1</v>
      </c>
      <c r="AC22" s="1264">
        <v>1</v>
      </c>
    </row>
    <row r="23" spans="1:29" ht="82.8">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0"/>
      <c r="Q23" s="1263" t="str">
        <f>B23</f>
        <v>环境质量</v>
      </c>
      <c r="R23" s="667" t="s">
        <v>14</v>
      </c>
      <c r="S23" s="668">
        <f>F23</f>
        <v>100</v>
      </c>
      <c r="T23" s="667" t="s">
        <v>14</v>
      </c>
      <c r="U23" s="668">
        <f>H23</f>
        <v>100</v>
      </c>
      <c r="V23" s="667" t="s">
        <v>14</v>
      </c>
      <c r="W23" s="668">
        <f>J23</f>
        <v>100</v>
      </c>
      <c r="X23" s="1265"/>
      <c r="Y23" s="3400"/>
      <c r="Z23" s="1264" t="str">
        <f>Q23</f>
        <v>环境质量</v>
      </c>
      <c r="AA23" s="1264">
        <f t="shared" si="3"/>
        <v>1</v>
      </c>
      <c r="AB23" s="1264">
        <f t="shared" si="4"/>
        <v>1</v>
      </c>
      <c r="AC23" s="1264">
        <f t="shared" si="5"/>
        <v>1</v>
      </c>
    </row>
    <row r="24" spans="1:29" ht="15">
      <c r="A24" s="367"/>
      <c r="B24" s="586"/>
      <c r="C24" s="386"/>
      <c r="D24" s="387"/>
      <c r="E24" s="1750"/>
      <c r="F24" s="388"/>
      <c r="G24" s="1749"/>
      <c r="H24" s="387"/>
      <c r="I24" s="1750"/>
      <c r="J24" s="387"/>
      <c r="K24" s="541"/>
      <c r="L24" s="870"/>
      <c r="M24" s="861"/>
      <c r="N24" s="861"/>
      <c r="O24" s="869"/>
      <c r="P24" s="3400"/>
      <c r="Q24" s="1263"/>
      <c r="R24" s="667"/>
      <c r="S24" s="668"/>
      <c r="T24" s="667"/>
      <c r="U24" s="668"/>
      <c r="V24" s="667"/>
      <c r="W24" s="668"/>
      <c r="X24" s="1265"/>
      <c r="Y24" s="340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0"/>
      <c r="Q25" s="1263">
        <f>B25</f>
        <v>111</v>
      </c>
      <c r="R25" s="667" t="s">
        <v>14</v>
      </c>
      <c r="S25" s="668">
        <f>F25</f>
        <v>100</v>
      </c>
      <c r="T25" s="667" t="s">
        <v>14</v>
      </c>
      <c r="U25" s="668">
        <f>H25</f>
        <v>100</v>
      </c>
      <c r="V25" s="667" t="s">
        <v>14</v>
      </c>
      <c r="W25" s="668">
        <f>J25</f>
        <v>100</v>
      </c>
      <c r="X25" s="1265"/>
      <c r="Y25" s="340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0"/>
      <c r="Q26" s="1263">
        <f t="shared" ref="Q26:Q40" si="11">B26</f>
        <v>111</v>
      </c>
      <c r="R26" s="667" t="s">
        <v>14</v>
      </c>
      <c r="S26" s="668">
        <f>F26</f>
        <v>100</v>
      </c>
      <c r="T26" s="667" t="s">
        <v>14</v>
      </c>
      <c r="U26" s="668">
        <f>H26</f>
        <v>100</v>
      </c>
      <c r="V26" s="667" t="s">
        <v>14</v>
      </c>
      <c r="W26" s="668">
        <f>J26</f>
        <v>100</v>
      </c>
      <c r="X26" s="1265"/>
      <c r="Y26" s="340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0"/>
      <c r="Q27" s="530">
        <f t="shared" si="11"/>
        <v>111</v>
      </c>
      <c r="R27" s="664" t="s">
        <v>14</v>
      </c>
      <c r="S27" s="665">
        <f>F27</f>
        <v>100</v>
      </c>
      <c r="T27" s="664" t="s">
        <v>14</v>
      </c>
      <c r="U27" s="665">
        <f>H27</f>
        <v>100</v>
      </c>
      <c r="V27" s="664" t="s">
        <v>14</v>
      </c>
      <c r="W27" s="665">
        <f>J27</f>
        <v>100</v>
      </c>
      <c r="X27" s="666"/>
      <c r="Y27" s="340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0"/>
      <c r="Q28" s="1263">
        <f t="shared" si="11"/>
        <v>111</v>
      </c>
      <c r="R28" s="667" t="s">
        <v>14</v>
      </c>
      <c r="S28" s="668">
        <f t="shared" ref="S28:S40" si="12">F28</f>
        <v>100</v>
      </c>
      <c r="T28" s="667" t="s">
        <v>14</v>
      </c>
      <c r="U28" s="668">
        <f t="shared" ref="U28:U40" si="13">H28</f>
        <v>100</v>
      </c>
      <c r="V28" s="667" t="s">
        <v>14</v>
      </c>
      <c r="W28" s="668">
        <f t="shared" ref="W28:W40" si="14">J28</f>
        <v>100</v>
      </c>
      <c r="X28" s="1265"/>
      <c r="Y28" s="3400"/>
      <c r="Z28" s="1264">
        <f t="shared" ref="Z28:Z40" si="15">Q28</f>
        <v>111</v>
      </c>
      <c r="AA28" s="1264">
        <f t="shared" si="3"/>
        <v>1</v>
      </c>
      <c r="AB28" s="1264">
        <f t="shared" si="4"/>
        <v>1</v>
      </c>
      <c r="AC28" s="1264">
        <f t="shared" si="5"/>
        <v>1</v>
      </c>
    </row>
    <row r="29" spans="1:29" ht="30">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472" t="s">
        <v>1696</v>
      </c>
      <c r="Q29" s="1263" t="str">
        <f t="shared" si="11"/>
        <v>建筑类型</v>
      </c>
      <c r="R29" s="667" t="s">
        <v>14</v>
      </c>
      <c r="S29" s="668">
        <f t="shared" si="12"/>
        <v>100</v>
      </c>
      <c r="T29" s="667" t="s">
        <v>14</v>
      </c>
      <c r="U29" s="668">
        <f t="shared" si="13"/>
        <v>100</v>
      </c>
      <c r="V29" s="667" t="s">
        <v>14</v>
      </c>
      <c r="W29" s="668">
        <f t="shared" si="14"/>
        <v>100</v>
      </c>
      <c r="X29" s="1265"/>
      <c r="Y29" s="340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4"/>
      <c r="Q30" s="531" t="str">
        <f t="shared" si="11"/>
        <v>项目建筑规模</v>
      </c>
      <c r="R30" s="669" t="s">
        <v>14</v>
      </c>
      <c r="S30" s="670" t="e">
        <f t="shared" si="12"/>
        <v>#N/A</v>
      </c>
      <c r="T30" s="669" t="s">
        <v>14</v>
      </c>
      <c r="U30" s="670" t="e">
        <f t="shared" si="13"/>
        <v>#N/A</v>
      </c>
      <c r="V30" s="669" t="s">
        <v>14</v>
      </c>
      <c r="W30" s="670" t="e">
        <f t="shared" si="14"/>
        <v>#N/A</v>
      </c>
      <c r="X30" s="671"/>
      <c r="Y30" s="340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4"/>
      <c r="Q31" s="1263" t="str">
        <f t="shared" si="11"/>
        <v>建筑结构</v>
      </c>
      <c r="R31" s="667" t="s">
        <v>14</v>
      </c>
      <c r="S31" s="668">
        <f t="shared" si="12"/>
        <v>100</v>
      </c>
      <c r="T31" s="667" t="s">
        <v>14</v>
      </c>
      <c r="U31" s="668">
        <f t="shared" si="13"/>
        <v>100</v>
      </c>
      <c r="V31" s="667" t="s">
        <v>14</v>
      </c>
      <c r="W31" s="668">
        <f t="shared" si="14"/>
        <v>100</v>
      </c>
      <c r="X31" s="1265"/>
      <c r="Y31" s="340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4"/>
      <c r="Q32" s="1263" t="str">
        <f t="shared" si="11"/>
        <v>公共部分装修</v>
      </c>
      <c r="R32" s="667" t="s">
        <v>14</v>
      </c>
      <c r="S32" s="668">
        <f t="shared" si="12"/>
        <v>100</v>
      </c>
      <c r="T32" s="667" t="s">
        <v>14</v>
      </c>
      <c r="U32" s="668">
        <f t="shared" si="13"/>
        <v>100</v>
      </c>
      <c r="V32" s="667" t="s">
        <v>14</v>
      </c>
      <c r="W32" s="668">
        <f t="shared" si="14"/>
        <v>100</v>
      </c>
      <c r="X32" s="1265"/>
      <c r="Y32" s="340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4"/>
      <c r="Q33" s="1263" t="str">
        <f t="shared" si="11"/>
        <v>成新度</v>
      </c>
      <c r="R33" s="667" t="s">
        <v>14</v>
      </c>
      <c r="S33" s="668" t="e">
        <f t="shared" si="12"/>
        <v>#N/A</v>
      </c>
      <c r="T33" s="667" t="s">
        <v>14</v>
      </c>
      <c r="U33" s="668" t="e">
        <f t="shared" si="13"/>
        <v>#N/A</v>
      </c>
      <c r="V33" s="667" t="s">
        <v>14</v>
      </c>
      <c r="W33" s="668" t="e">
        <f t="shared" si="14"/>
        <v>#N/A</v>
      </c>
      <c r="X33" s="1265"/>
      <c r="Y33" s="340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4"/>
      <c r="Q34" s="530" t="str">
        <f t="shared" si="11"/>
        <v>物业管理</v>
      </c>
      <c r="R34" s="664" t="s">
        <v>14</v>
      </c>
      <c r="S34" s="665">
        <f t="shared" si="12"/>
        <v>100</v>
      </c>
      <c r="T34" s="664" t="s">
        <v>14</v>
      </c>
      <c r="U34" s="665">
        <f t="shared" si="13"/>
        <v>100</v>
      </c>
      <c r="V34" s="664" t="s">
        <v>14</v>
      </c>
      <c r="W34" s="665">
        <f t="shared" si="14"/>
        <v>100</v>
      </c>
      <c r="X34" s="666"/>
      <c r="Y34" s="340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4" t="s">
        <v>1696</v>
      </c>
      <c r="Q35" s="1263" t="str">
        <f t="shared" si="11"/>
        <v>市政基础设施</v>
      </c>
      <c r="R35" s="667" t="s">
        <v>14</v>
      </c>
      <c r="S35" s="668">
        <f t="shared" si="12"/>
        <v>100</v>
      </c>
      <c r="T35" s="667" t="s">
        <v>14</v>
      </c>
      <c r="U35" s="668">
        <f t="shared" si="13"/>
        <v>100</v>
      </c>
      <c r="V35" s="667" t="s">
        <v>14</v>
      </c>
      <c r="W35" s="668">
        <f t="shared" si="14"/>
        <v>100</v>
      </c>
      <c r="X35" s="1265"/>
      <c r="Y35" s="340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4"/>
      <c r="Q36" s="1263" t="str">
        <f t="shared" si="11"/>
        <v>内部装修</v>
      </c>
      <c r="R36" s="667" t="s">
        <v>14</v>
      </c>
      <c r="S36" s="668">
        <f t="shared" si="12"/>
        <v>100</v>
      </c>
      <c r="T36" s="667" t="s">
        <v>14</v>
      </c>
      <c r="U36" s="668">
        <f t="shared" si="13"/>
        <v>100</v>
      </c>
      <c r="V36" s="667" t="s">
        <v>14</v>
      </c>
      <c r="W36" s="668">
        <f t="shared" si="14"/>
        <v>100</v>
      </c>
      <c r="X36" s="1265"/>
      <c r="Y36" s="340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4"/>
      <c r="Q37" s="1263" t="str">
        <f t="shared" si="11"/>
        <v>内部装修状况</v>
      </c>
      <c r="R37" s="667" t="s">
        <v>14</v>
      </c>
      <c r="S37" s="668">
        <f t="shared" si="12"/>
        <v>100</v>
      </c>
      <c r="T37" s="667" t="s">
        <v>14</v>
      </c>
      <c r="U37" s="668">
        <f t="shared" si="13"/>
        <v>100</v>
      </c>
      <c r="V37" s="667" t="s">
        <v>14</v>
      </c>
      <c r="W37" s="668">
        <f t="shared" si="14"/>
        <v>100</v>
      </c>
      <c r="X37" s="1265"/>
      <c r="Y37" s="340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4"/>
      <c r="Q38" s="531">
        <f t="shared" si="11"/>
        <v>111</v>
      </c>
      <c r="R38" s="669" t="s">
        <v>14</v>
      </c>
      <c r="S38" s="670">
        <f t="shared" si="12"/>
        <v>100</v>
      </c>
      <c r="T38" s="669" t="s">
        <v>14</v>
      </c>
      <c r="U38" s="670">
        <f t="shared" si="13"/>
        <v>100</v>
      </c>
      <c r="V38" s="669" t="s">
        <v>14</v>
      </c>
      <c r="W38" s="670">
        <f t="shared" si="14"/>
        <v>100</v>
      </c>
      <c r="X38" s="671"/>
      <c r="Y38" s="340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4"/>
      <c r="Q39" s="1263">
        <f t="shared" si="11"/>
        <v>111</v>
      </c>
      <c r="R39" s="667" t="s">
        <v>14</v>
      </c>
      <c r="S39" s="668">
        <f t="shared" si="12"/>
        <v>100</v>
      </c>
      <c r="T39" s="667" t="s">
        <v>14</v>
      </c>
      <c r="U39" s="668">
        <f t="shared" si="13"/>
        <v>100</v>
      </c>
      <c r="V39" s="667" t="s">
        <v>14</v>
      </c>
      <c r="W39" s="668">
        <f t="shared" si="14"/>
        <v>100</v>
      </c>
      <c r="X39" s="1265"/>
      <c r="Y39" s="3404"/>
      <c r="Z39" s="1264">
        <f t="shared" si="15"/>
        <v>111</v>
      </c>
      <c r="AA39" s="1264">
        <f t="shared" si="3"/>
        <v>1</v>
      </c>
      <c r="AB39" s="1264">
        <f t="shared" si="4"/>
        <v>1</v>
      </c>
      <c r="AC39" s="1264">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5"/>
      <c r="Q40" s="1263">
        <f t="shared" si="11"/>
        <v>111</v>
      </c>
      <c r="R40" s="667" t="s">
        <v>14</v>
      </c>
      <c r="S40" s="668">
        <f t="shared" si="12"/>
        <v>100</v>
      </c>
      <c r="T40" s="667" t="s">
        <v>14</v>
      </c>
      <c r="U40" s="668">
        <f t="shared" si="13"/>
        <v>100</v>
      </c>
      <c r="V40" s="667" t="s">
        <v>14</v>
      </c>
      <c r="W40" s="668">
        <f t="shared" si="14"/>
        <v>100</v>
      </c>
      <c r="X40" s="1265"/>
      <c r="Y40" s="340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2" t="str">
        <f>A41</f>
        <v>成交单价（元/平方米）</v>
      </c>
      <c r="Q41" s="3392"/>
      <c r="R41" s="3393">
        <f>E41</f>
        <v>0</v>
      </c>
      <c r="S41" s="3393"/>
      <c r="T41" s="3393">
        <f>G41</f>
        <v>0</v>
      </c>
      <c r="U41" s="3393"/>
      <c r="V41" s="3393">
        <f>I41</f>
        <v>0</v>
      </c>
      <c r="W41" s="3393"/>
      <c r="X41" s="385"/>
      <c r="Y41" s="673"/>
      <c r="Z41" s="385"/>
      <c r="AA41" s="385"/>
      <c r="AB41" s="385"/>
      <c r="AC41" s="385"/>
    </row>
    <row r="42" spans="1:29" ht="1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92" t="str">
        <f>A42</f>
        <v>比较价值（元/平方米）</v>
      </c>
      <c r="Q42" s="3392"/>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3"/>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5"/>
      <c r="D2" s="854" t="e">
        <f ca="1">IF(E1="项目模式",SUMIF(INDIRECT("'"&amp;F2&amp;"'"&amp;"!A:A"),"承租人权益价值",INDIRECT("'"&amp;F2&amp;"'"&amp;"!c:c")),SUMIF(INDIRECT("'"&amp;F2&amp;"'"&amp;"!A:A"),"承租人权益价值（单套）",INDIRECT("'"&amp;F2&amp;"'"&amp;"!c:c")))</f>
        <v>#REF!</v>
      </c>
      <c r="E2" s="1736" t="s">
        <v>1463</v>
      </c>
      <c r="F2" s="1737"/>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09" t="s">
        <v>1770</v>
      </c>
      <c r="D4" s="3410"/>
      <c r="E4" s="3411" t="s">
        <v>1771</v>
      </c>
      <c r="F4" s="3412"/>
      <c r="G4" s="3409" t="s">
        <v>1772</v>
      </c>
      <c r="H4" s="3410"/>
      <c r="I4" s="3409" t="s">
        <v>1773</v>
      </c>
      <c r="J4" s="3410"/>
      <c r="K4" s="537" t="s">
        <v>1774</v>
      </c>
      <c r="L4" s="2485"/>
      <c r="M4" s="2486"/>
      <c r="N4" s="2486"/>
      <c r="O4" s="2486"/>
      <c r="P4" s="3466" t="s">
        <v>1775</v>
      </c>
      <c r="Q4" s="3467"/>
      <c r="R4" s="3470" t="s">
        <v>1771</v>
      </c>
      <c r="S4" s="3471"/>
      <c r="T4" s="3470" t="s">
        <v>1772</v>
      </c>
      <c r="U4" s="3471"/>
      <c r="V4" s="3393" t="s">
        <v>1773</v>
      </c>
      <c r="W4" s="3393"/>
      <c r="X4" s="1265"/>
      <c r="Y4" s="3470" t="s">
        <v>1775</v>
      </c>
      <c r="Z4" s="3471"/>
      <c r="AA4" s="3465" t="s">
        <v>1771</v>
      </c>
      <c r="AB4" s="3437" t="s">
        <v>1772</v>
      </c>
      <c r="AC4" s="3465" t="s">
        <v>1773</v>
      </c>
    </row>
    <row r="5" spans="1:29">
      <c r="A5" s="348"/>
      <c r="B5" s="349"/>
      <c r="C5" s="3428" t="s">
        <v>1673</v>
      </c>
      <c r="D5" s="3429"/>
      <c r="E5" s="3439" t="s">
        <v>1674</v>
      </c>
      <c r="F5" s="3440"/>
      <c r="G5" s="3428" t="s">
        <v>1675</v>
      </c>
      <c r="H5" s="3429"/>
      <c r="I5" s="3428" t="s">
        <v>1676</v>
      </c>
      <c r="J5" s="3429"/>
      <c r="K5" s="537"/>
      <c r="L5" s="2485"/>
      <c r="M5" s="2486"/>
      <c r="N5" s="2486"/>
      <c r="O5" s="2486"/>
      <c r="P5" s="3468"/>
      <c r="Q5" s="3416"/>
      <c r="R5" s="3421"/>
      <c r="S5" s="3422"/>
      <c r="T5" s="3421"/>
      <c r="U5" s="3422"/>
      <c r="V5" s="3393"/>
      <c r="W5" s="3393"/>
      <c r="X5" s="1265"/>
      <c r="Y5" s="3421"/>
      <c r="Z5" s="3422"/>
      <c r="AA5" s="3437"/>
      <c r="AB5" s="3437"/>
      <c r="AC5" s="3437"/>
    </row>
    <row r="6" spans="1:29" ht="15" thickBot="1">
      <c r="A6" s="350"/>
      <c r="B6" s="351"/>
      <c r="C6" s="3426" t="s">
        <v>1677</v>
      </c>
      <c r="D6" s="3427"/>
      <c r="E6" s="3434" t="s">
        <v>1677</v>
      </c>
      <c r="F6" s="3435"/>
      <c r="G6" s="3426" t="s">
        <v>1677</v>
      </c>
      <c r="H6" s="3427"/>
      <c r="I6" s="3426" t="s">
        <v>1677</v>
      </c>
      <c r="J6" s="3427"/>
      <c r="K6" s="537" t="s">
        <v>1678</v>
      </c>
      <c r="L6" s="2485"/>
      <c r="M6" s="2486"/>
      <c r="N6" s="2486"/>
      <c r="O6" s="2486"/>
      <c r="P6" s="3469"/>
      <c r="Q6" s="3418"/>
      <c r="R6" s="3421"/>
      <c r="S6" s="3422"/>
      <c r="T6" s="3423"/>
      <c r="U6" s="3424"/>
      <c r="V6" s="3393"/>
      <c r="W6" s="3393"/>
      <c r="X6" s="1265"/>
      <c r="Y6" s="3423"/>
      <c r="Z6" s="3424"/>
      <c r="AA6" s="3438"/>
      <c r="AB6" s="3438"/>
      <c r="AC6" s="3438"/>
    </row>
    <row r="7" spans="1:29" s="102" customFormat="1" ht="15" thickBot="1">
      <c r="A7" s="352" t="s">
        <v>1679</v>
      </c>
      <c r="B7" s="353"/>
      <c r="C7" s="354">
        <f>'数据-取费表'!B2</f>
        <v>46013</v>
      </c>
      <c r="D7" s="355">
        <v>100</v>
      </c>
      <c r="E7" s="356"/>
      <c r="F7" s="357">
        <f>SUMIF(48:48,YEAR(E7)&amp;"-"&amp;MONTH(E7),49:49)</f>
        <v>0</v>
      </c>
      <c r="G7" s="356"/>
      <c r="H7" s="355">
        <f>SUMIF(48:48,YEAR(G7)&amp;"-"&amp;MONTH(G7),49:49)</f>
        <v>0</v>
      </c>
      <c r="I7" s="356"/>
      <c r="J7" s="355">
        <f>SUMIF(48:48,YEAR(I7)&amp;"-"&amp;MONTH(I7),49:49)</f>
        <v>0</v>
      </c>
      <c r="K7" s="38"/>
      <c r="L7" s="2487"/>
      <c r="M7" s="2438"/>
      <c r="N7" s="2438"/>
      <c r="O7" s="2438"/>
      <c r="P7" s="3432" t="s">
        <v>1680</v>
      </c>
      <c r="Q7" s="3433"/>
      <c r="R7" s="664" t="s">
        <v>14</v>
      </c>
      <c r="S7" s="665">
        <f t="shared" ref="S7:S14" si="0">F7</f>
        <v>0</v>
      </c>
      <c r="T7" s="664" t="s">
        <v>14</v>
      </c>
      <c r="U7" s="665">
        <f t="shared" ref="U7:U14" si="1">H7</f>
        <v>0</v>
      </c>
      <c r="V7" s="664" t="s">
        <v>14</v>
      </c>
      <c r="W7" s="665">
        <f t="shared" ref="W7:W14" si="2">J7</f>
        <v>0</v>
      </c>
      <c r="X7" s="666"/>
      <c r="Y7" s="3432" t="s">
        <v>1680</v>
      </c>
      <c r="Z7" s="343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32" t="s">
        <v>1683</v>
      </c>
      <c r="Q8" s="3431"/>
      <c r="R8" s="664" t="s">
        <v>14</v>
      </c>
      <c r="S8" s="665">
        <f t="shared" si="0"/>
        <v>100</v>
      </c>
      <c r="T8" s="664" t="s">
        <v>14</v>
      </c>
      <c r="U8" s="665">
        <f t="shared" si="1"/>
        <v>100</v>
      </c>
      <c r="V8" s="664" t="s">
        <v>14</v>
      </c>
      <c r="W8" s="665">
        <f t="shared" si="2"/>
        <v>100</v>
      </c>
      <c r="X8" s="666"/>
      <c r="Y8" s="3432" t="s">
        <v>1683</v>
      </c>
      <c r="Z8" s="343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92" t="s">
        <v>1686</v>
      </c>
      <c r="Q9" s="530" t="str">
        <f t="shared" ref="Q9:Q14" si="6">B9</f>
        <v>用途</v>
      </c>
      <c r="R9" s="664" t="s">
        <v>14</v>
      </c>
      <c r="S9" s="665">
        <f t="shared" si="0"/>
        <v>100</v>
      </c>
      <c r="T9" s="664" t="s">
        <v>14</v>
      </c>
      <c r="U9" s="665">
        <f t="shared" si="1"/>
        <v>100</v>
      </c>
      <c r="V9" s="664" t="s">
        <v>14</v>
      </c>
      <c r="W9" s="665">
        <f t="shared" si="2"/>
        <v>100</v>
      </c>
      <c r="X9" s="666"/>
      <c r="Y9" s="3271"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2"/>
      <c r="Q11" s="530">
        <f t="shared" si="6"/>
        <v>111</v>
      </c>
      <c r="R11" s="664" t="s">
        <v>14</v>
      </c>
      <c r="S11" s="665">
        <f t="shared" si="0"/>
        <v>100</v>
      </c>
      <c r="T11" s="664" t="s">
        <v>14</v>
      </c>
      <c r="U11" s="665">
        <f t="shared" si="1"/>
        <v>100</v>
      </c>
      <c r="V11" s="664" t="s">
        <v>14</v>
      </c>
      <c r="W11" s="665">
        <f t="shared" si="2"/>
        <v>100</v>
      </c>
      <c r="X11" s="666"/>
      <c r="Y11" s="32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92"/>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96.6">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9" t="s">
        <v>1691</v>
      </c>
      <c r="Q14" s="1263" t="str">
        <f t="shared" si="6"/>
        <v>交通便捷度</v>
      </c>
      <c r="R14" s="667" t="s">
        <v>14</v>
      </c>
      <c r="S14" s="668">
        <f t="shared" si="0"/>
        <v>100</v>
      </c>
      <c r="T14" s="667" t="s">
        <v>14</v>
      </c>
      <c r="U14" s="668">
        <f t="shared" si="1"/>
        <v>100</v>
      </c>
      <c r="V14" s="667" t="s">
        <v>14</v>
      </c>
      <c r="W14" s="668">
        <f t="shared" si="2"/>
        <v>100</v>
      </c>
      <c r="X14" s="1265"/>
      <c r="Y14" s="339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0"/>
      <c r="Q15" s="1263"/>
      <c r="R15" s="667"/>
      <c r="S15" s="668"/>
      <c r="T15" s="667"/>
      <c r="U15" s="668"/>
      <c r="V15" s="667"/>
      <c r="W15" s="668"/>
      <c r="X15" s="1265"/>
      <c r="Y15" s="3400"/>
      <c r="Z15" s="1264"/>
      <c r="AA15" s="1264">
        <v>1</v>
      </c>
      <c r="AB15" s="1264">
        <v>1</v>
      </c>
      <c r="AC15" s="1264">
        <v>1</v>
      </c>
    </row>
    <row r="16" spans="1:29" ht="41.4">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0"/>
      <c r="Q16" s="1263" t="str">
        <f>B16</f>
        <v>公共配套设施</v>
      </c>
      <c r="R16" s="667" t="s">
        <v>14</v>
      </c>
      <c r="S16" s="668">
        <f>F16</f>
        <v>100</v>
      </c>
      <c r="T16" s="667" t="s">
        <v>14</v>
      </c>
      <c r="U16" s="668">
        <f>H16</f>
        <v>100</v>
      </c>
      <c r="V16" s="667" t="s">
        <v>14</v>
      </c>
      <c r="W16" s="668">
        <f>J16</f>
        <v>100</v>
      </c>
      <c r="X16" s="1265"/>
      <c r="Y16" s="3400"/>
      <c r="Z16" s="1264" t="str">
        <f>Q16</f>
        <v>公共配套设施</v>
      </c>
      <c r="AA16" s="1264">
        <f t="shared" si="3"/>
        <v>1</v>
      </c>
      <c r="AB16" s="1264">
        <f t="shared" si="4"/>
        <v>1</v>
      </c>
      <c r="AC16" s="1264">
        <f t="shared" si="5"/>
        <v>1</v>
      </c>
    </row>
    <row r="17" spans="1:29" ht="15">
      <c r="A17" s="348"/>
      <c r="B17" s="401"/>
      <c r="C17" s="1753"/>
      <c r="D17" s="387"/>
      <c r="E17" s="386"/>
      <c r="F17" s="388"/>
      <c r="G17" s="386"/>
      <c r="H17" s="387"/>
      <c r="I17" s="386"/>
      <c r="J17" s="387"/>
      <c r="K17" s="541"/>
      <c r="L17" s="2491"/>
      <c r="M17" s="2486"/>
      <c r="N17" s="2486"/>
      <c r="O17" s="2486"/>
      <c r="P17" s="3400"/>
      <c r="Q17" s="1263"/>
      <c r="R17" s="667"/>
      <c r="S17" s="668"/>
      <c r="T17" s="667"/>
      <c r="U17" s="668"/>
      <c r="V17" s="667"/>
      <c r="W17" s="668"/>
      <c r="X17" s="1265"/>
      <c r="Y17" s="3400"/>
      <c r="Z17" s="1264"/>
      <c r="AA17" s="1264">
        <v>1</v>
      </c>
      <c r="AB17" s="1264">
        <v>1</v>
      </c>
      <c r="AC17" s="1264">
        <v>1</v>
      </c>
    </row>
    <row r="18" spans="1:29" ht="41.4">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0"/>
      <c r="Q18" s="1263" t="str">
        <f>B18</f>
        <v>基础设施水平</v>
      </c>
      <c r="R18" s="667" t="s">
        <v>14</v>
      </c>
      <c r="S18" s="668">
        <f>F18</f>
        <v>100</v>
      </c>
      <c r="T18" s="667" t="s">
        <v>14</v>
      </c>
      <c r="U18" s="668">
        <f>H18</f>
        <v>100</v>
      </c>
      <c r="V18" s="667" t="s">
        <v>14</v>
      </c>
      <c r="W18" s="668">
        <f>J18</f>
        <v>100</v>
      </c>
      <c r="X18" s="1265"/>
      <c r="Y18" s="3400"/>
      <c r="Z18" s="1264" t="str">
        <f>Q18</f>
        <v>基础设施水平</v>
      </c>
      <c r="AA18" s="1264">
        <f t="shared" ref="AA18" si="8">D18/F18</f>
        <v>1</v>
      </c>
      <c r="AB18" s="1264">
        <f t="shared" ref="AB18" si="9">D18/H18</f>
        <v>1</v>
      </c>
      <c r="AC18" s="1264">
        <f t="shared" ref="AC18" si="10">D18/J18</f>
        <v>1</v>
      </c>
    </row>
    <row r="19" spans="1:29" ht="15">
      <c r="A19" s="348"/>
      <c r="B19" s="557"/>
      <c r="C19" s="1753"/>
      <c r="D19" s="389"/>
      <c r="E19" s="1753"/>
      <c r="F19" s="392"/>
      <c r="G19" s="1753"/>
      <c r="H19" s="387"/>
      <c r="I19" s="386"/>
      <c r="J19" s="387"/>
      <c r="K19" s="1064"/>
      <c r="L19" s="2491"/>
      <c r="M19" s="2486"/>
      <c r="N19" s="2486"/>
      <c r="O19" s="2486"/>
      <c r="P19" s="3400"/>
      <c r="Q19" s="1263"/>
      <c r="R19" s="667"/>
      <c r="S19" s="668"/>
      <c r="T19" s="667"/>
      <c r="U19" s="668"/>
      <c r="V19" s="667"/>
      <c r="W19" s="668"/>
      <c r="X19" s="1265"/>
      <c r="Y19" s="3400"/>
      <c r="Z19" s="1264"/>
      <c r="AA19" s="1264">
        <v>1</v>
      </c>
      <c r="AB19" s="1264">
        <v>1</v>
      </c>
      <c r="AC19" s="1264">
        <v>1</v>
      </c>
    </row>
    <row r="20" spans="1:29" ht="55.2">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0"/>
      <c r="Q20" s="1263" t="str">
        <f>B20</f>
        <v>自然及人文环境</v>
      </c>
      <c r="R20" s="667" t="s">
        <v>14</v>
      </c>
      <c r="S20" s="668">
        <f>F20</f>
        <v>100</v>
      </c>
      <c r="T20" s="667" t="s">
        <v>14</v>
      </c>
      <c r="U20" s="668">
        <f>H20</f>
        <v>100</v>
      </c>
      <c r="V20" s="667" t="s">
        <v>14</v>
      </c>
      <c r="W20" s="668">
        <f>J20</f>
        <v>100</v>
      </c>
      <c r="X20" s="1265"/>
      <c r="Y20" s="340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0"/>
      <c r="Q21" s="1263"/>
      <c r="R21" s="667"/>
      <c r="S21" s="668"/>
      <c r="T21" s="667"/>
      <c r="U21" s="668"/>
      <c r="V21" s="667"/>
      <c r="W21" s="668"/>
      <c r="X21" s="1265"/>
      <c r="Y21" s="340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0"/>
      <c r="Q22" s="1263" t="str">
        <f>B22</f>
        <v>楼层</v>
      </c>
      <c r="R22" s="667" t="s">
        <v>14</v>
      </c>
      <c r="S22" s="668">
        <f>F22</f>
        <v>100</v>
      </c>
      <c r="T22" s="667" t="s">
        <v>14</v>
      </c>
      <c r="U22" s="668">
        <f>H22</f>
        <v>100</v>
      </c>
      <c r="V22" s="667" t="s">
        <v>14</v>
      </c>
      <c r="W22" s="668">
        <f>J22</f>
        <v>100</v>
      </c>
      <c r="X22" s="1265"/>
      <c r="Y22" s="340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0"/>
      <c r="Q23" s="1263">
        <f>B23</f>
        <v>111</v>
      </c>
      <c r="R23" s="667" t="s">
        <v>14</v>
      </c>
      <c r="S23" s="668">
        <f>F23</f>
        <v>100</v>
      </c>
      <c r="T23" s="667" t="s">
        <v>14</v>
      </c>
      <c r="U23" s="668">
        <f>H23</f>
        <v>100</v>
      </c>
      <c r="V23" s="667" t="s">
        <v>14</v>
      </c>
      <c r="W23" s="668">
        <f>J23</f>
        <v>100</v>
      </c>
      <c r="X23" s="1265"/>
      <c r="Y23" s="340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0"/>
      <c r="Q24" s="1263">
        <f t="shared" ref="Q24:Q36" si="11">B24</f>
        <v>111</v>
      </c>
      <c r="R24" s="667" t="s">
        <v>14</v>
      </c>
      <c r="S24" s="668">
        <f>F24</f>
        <v>100</v>
      </c>
      <c r="T24" s="667" t="s">
        <v>14</v>
      </c>
      <c r="U24" s="668">
        <f>H24</f>
        <v>100</v>
      </c>
      <c r="V24" s="667" t="s">
        <v>14</v>
      </c>
      <c r="W24" s="668">
        <f>J24</f>
        <v>100</v>
      </c>
      <c r="X24" s="1265"/>
      <c r="Y24" s="340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00"/>
      <c r="Q25" s="530">
        <f t="shared" si="11"/>
        <v>111</v>
      </c>
      <c r="R25" s="664" t="s">
        <v>14</v>
      </c>
      <c r="S25" s="665">
        <f>F25</f>
        <v>100</v>
      </c>
      <c r="T25" s="664" t="s">
        <v>14</v>
      </c>
      <c r="U25" s="665">
        <f>H25</f>
        <v>100</v>
      </c>
      <c r="V25" s="664" t="s">
        <v>14</v>
      </c>
      <c r="W25" s="665">
        <f>J25</f>
        <v>100</v>
      </c>
      <c r="X25" s="666"/>
      <c r="Y25" s="3400"/>
      <c r="Z25" s="50">
        <f>Q25</f>
        <v>111</v>
      </c>
      <c r="AA25" s="1264">
        <f>D25/F25</f>
        <v>1</v>
      </c>
      <c r="AB25" s="1264">
        <f>D25/H25</f>
        <v>1</v>
      </c>
      <c r="AC25" s="1264">
        <f>D25/J25</f>
        <v>1</v>
      </c>
    </row>
    <row r="26" spans="1:29" ht="30">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7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4"/>
      <c r="Q27" s="531" t="str">
        <f t="shared" si="11"/>
        <v>项目停车位配比</v>
      </c>
      <c r="R27" s="669" t="s">
        <v>14</v>
      </c>
      <c r="S27" s="670">
        <f t="shared" si="12"/>
        <v>100</v>
      </c>
      <c r="T27" s="669" t="s">
        <v>14</v>
      </c>
      <c r="U27" s="670">
        <f t="shared" si="13"/>
        <v>100</v>
      </c>
      <c r="V27" s="669" t="s">
        <v>14</v>
      </c>
      <c r="W27" s="670">
        <f t="shared" si="14"/>
        <v>100</v>
      </c>
      <c r="X27" s="671"/>
      <c r="Y27" s="340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4"/>
      <c r="Q28" s="1263" t="str">
        <f t="shared" si="11"/>
        <v>公共部分装修</v>
      </c>
      <c r="R28" s="667" t="s">
        <v>14</v>
      </c>
      <c r="S28" s="668">
        <f t="shared" si="12"/>
        <v>100</v>
      </c>
      <c r="T28" s="667" t="s">
        <v>14</v>
      </c>
      <c r="U28" s="668">
        <f t="shared" si="13"/>
        <v>100</v>
      </c>
      <c r="V28" s="667" t="s">
        <v>14</v>
      </c>
      <c r="W28" s="668">
        <f t="shared" si="14"/>
        <v>100</v>
      </c>
      <c r="X28" s="1265"/>
      <c r="Y28" s="340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4"/>
      <c r="Q29" s="1263" t="str">
        <f t="shared" si="11"/>
        <v>成新率</v>
      </c>
      <c r="R29" s="667" t="s">
        <v>14</v>
      </c>
      <c r="S29" s="668" t="e">
        <f t="shared" si="12"/>
        <v>#N/A</v>
      </c>
      <c r="T29" s="667" t="s">
        <v>14</v>
      </c>
      <c r="U29" s="668" t="e">
        <f t="shared" si="13"/>
        <v>#N/A</v>
      </c>
      <c r="V29" s="667" t="s">
        <v>14</v>
      </c>
      <c r="W29" s="668" t="e">
        <f t="shared" si="14"/>
        <v>#N/A</v>
      </c>
      <c r="X29" s="1265"/>
      <c r="Y29" s="340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4"/>
      <c r="Q30" s="1263" t="str">
        <f t="shared" si="11"/>
        <v>物业等级</v>
      </c>
      <c r="R30" s="667" t="s">
        <v>14</v>
      </c>
      <c r="S30" s="668">
        <f t="shared" si="12"/>
        <v>100</v>
      </c>
      <c r="T30" s="667" t="s">
        <v>14</v>
      </c>
      <c r="U30" s="668">
        <f t="shared" si="13"/>
        <v>100</v>
      </c>
      <c r="V30" s="667" t="s">
        <v>14</v>
      </c>
      <c r="W30" s="668">
        <f t="shared" si="14"/>
        <v>100</v>
      </c>
      <c r="X30" s="1265"/>
      <c r="Y30" s="340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04"/>
      <c r="Q31" s="530" t="str">
        <f t="shared" si="11"/>
        <v>停车位面积</v>
      </c>
      <c r="R31" s="664" t="s">
        <v>14</v>
      </c>
      <c r="S31" s="665" t="e">
        <f t="shared" si="12"/>
        <v>#N/A</v>
      </c>
      <c r="T31" s="664" t="s">
        <v>14</v>
      </c>
      <c r="U31" s="665" t="e">
        <f t="shared" si="13"/>
        <v>#N/A</v>
      </c>
      <c r="V31" s="664" t="s">
        <v>14</v>
      </c>
      <c r="W31" s="665" t="e">
        <f t="shared" si="14"/>
        <v>#N/A</v>
      </c>
      <c r="X31" s="666"/>
      <c r="Y31" s="340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4" t="s">
        <v>1696</v>
      </c>
      <c r="Q32" s="1263" t="str">
        <f t="shared" si="11"/>
        <v>车位类型</v>
      </c>
      <c r="R32" s="667" t="s">
        <v>14</v>
      </c>
      <c r="S32" s="668">
        <f t="shared" si="12"/>
        <v>100</v>
      </c>
      <c r="T32" s="667" t="s">
        <v>14</v>
      </c>
      <c r="U32" s="668">
        <f t="shared" si="13"/>
        <v>100</v>
      </c>
      <c r="V32" s="667" t="s">
        <v>14</v>
      </c>
      <c r="W32" s="668">
        <f t="shared" si="14"/>
        <v>100</v>
      </c>
      <c r="X32" s="1265"/>
      <c r="Y32" s="340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4"/>
      <c r="Q33" s="1263" t="str">
        <f t="shared" si="11"/>
        <v>是否直接入户</v>
      </c>
      <c r="R33" s="667" t="s">
        <v>14</v>
      </c>
      <c r="S33" s="668">
        <f t="shared" si="12"/>
        <v>100</v>
      </c>
      <c r="T33" s="667" t="s">
        <v>14</v>
      </c>
      <c r="U33" s="668">
        <f t="shared" si="13"/>
        <v>100</v>
      </c>
      <c r="V33" s="667" t="s">
        <v>14</v>
      </c>
      <c r="W33" s="668">
        <f t="shared" si="14"/>
        <v>100</v>
      </c>
      <c r="X33" s="1265"/>
      <c r="Y33" s="340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4"/>
      <c r="Q34" s="1263">
        <f t="shared" si="11"/>
        <v>111</v>
      </c>
      <c r="R34" s="667" t="s">
        <v>14</v>
      </c>
      <c r="S34" s="668">
        <f t="shared" si="12"/>
        <v>100</v>
      </c>
      <c r="T34" s="667" t="s">
        <v>14</v>
      </c>
      <c r="U34" s="668">
        <f t="shared" si="13"/>
        <v>100</v>
      </c>
      <c r="V34" s="667" t="s">
        <v>14</v>
      </c>
      <c r="W34" s="668">
        <f t="shared" si="14"/>
        <v>100</v>
      </c>
      <c r="X34" s="1265"/>
      <c r="Y34" s="340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4"/>
      <c r="Q35" s="531">
        <f t="shared" si="11"/>
        <v>111</v>
      </c>
      <c r="R35" s="669" t="s">
        <v>14</v>
      </c>
      <c r="S35" s="670">
        <f t="shared" si="12"/>
        <v>100</v>
      </c>
      <c r="T35" s="669" t="s">
        <v>14</v>
      </c>
      <c r="U35" s="670">
        <f t="shared" si="13"/>
        <v>100</v>
      </c>
      <c r="V35" s="669" t="s">
        <v>14</v>
      </c>
      <c r="W35" s="670">
        <f t="shared" si="14"/>
        <v>100</v>
      </c>
      <c r="X35" s="671"/>
      <c r="Y35" s="340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4"/>
      <c r="Q36" s="1263">
        <f t="shared" si="11"/>
        <v>111</v>
      </c>
      <c r="R36" s="667" t="s">
        <v>14</v>
      </c>
      <c r="S36" s="668">
        <f t="shared" si="12"/>
        <v>100</v>
      </c>
      <c r="T36" s="667" t="s">
        <v>14</v>
      </c>
      <c r="U36" s="668">
        <f t="shared" si="13"/>
        <v>100</v>
      </c>
      <c r="V36" s="667" t="s">
        <v>14</v>
      </c>
      <c r="W36" s="668">
        <f t="shared" si="14"/>
        <v>100</v>
      </c>
      <c r="X36" s="1265"/>
      <c r="Y36" s="3404"/>
      <c r="Z36" s="1264">
        <f t="shared" si="15"/>
        <v>111</v>
      </c>
      <c r="AA36" s="1264">
        <f t="shared" si="3"/>
        <v>1</v>
      </c>
      <c r="AB36" s="1264">
        <f t="shared" si="4"/>
        <v>1</v>
      </c>
      <c r="AC36" s="1264">
        <f t="shared" si="5"/>
        <v>1</v>
      </c>
    </row>
    <row r="37" spans="1:29" ht="14.4">
      <c r="A37" s="416" t="s">
        <v>1844</v>
      </c>
      <c r="B37" s="1819" t="s">
        <v>3351</v>
      </c>
      <c r="C37" s="1081" t="s">
        <v>0</v>
      </c>
      <c r="D37" s="418"/>
      <c r="E37" s="419"/>
      <c r="F37" s="420"/>
      <c r="G37" s="421"/>
      <c r="H37" s="422"/>
      <c r="I37" s="419"/>
      <c r="J37" s="422"/>
      <c r="K37" s="545"/>
      <c r="L37" s="2493"/>
      <c r="M37" s="2486"/>
      <c r="N37" s="2486"/>
      <c r="O37" s="2486"/>
      <c r="P37" s="3392" t="str">
        <f>A37</f>
        <v>成交单价</v>
      </c>
      <c r="Q37" s="3392"/>
      <c r="R37" s="3393">
        <f>E37</f>
        <v>0</v>
      </c>
      <c r="S37" s="3393"/>
      <c r="T37" s="3393">
        <f>G37</f>
        <v>0</v>
      </c>
      <c r="U37" s="3393"/>
      <c r="V37" s="3393">
        <f>I37</f>
        <v>0</v>
      </c>
      <c r="W37" s="3393"/>
      <c r="X37" s="385"/>
      <c r="Y37" s="673"/>
      <c r="Z37" s="385"/>
      <c r="AA37" s="385"/>
      <c r="AB37" s="385"/>
      <c r="AC37" s="385"/>
    </row>
    <row r="38" spans="1:29" ht="1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392" t="str">
        <f>A38</f>
        <v>比较价值（元/平方米）</v>
      </c>
      <c r="Q38" s="3392"/>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62" t="str">
        <f>A39</f>
        <v>估价对象XX用房的比较价值（楼面单价，元/平方米）</v>
      </c>
      <c r="Q39" s="3463"/>
      <c r="R39" s="3473" t="e">
        <f>IF(F1="售价",ROUND(IF(D38="简单平均",AVERAGE(R38:W38),R38*F38+T38*H38+V38*J38),0),ROUND(IF(D38="简单平均",AVERAGE(R38:V38),R38*F38+T38*H38+V38*J38),1))</f>
        <v>#DIV/0!</v>
      </c>
      <c r="S39" s="3473"/>
      <c r="T39" s="3473"/>
      <c r="U39" s="3473"/>
      <c r="V39" s="3473"/>
      <c r="W39" s="347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3"/>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5"/>
      <c r="D2" s="854" t="e">
        <f ca="1">IF(E1="项目模式",SUMIF(INDIRECT("'"&amp;F2&amp;"'"&amp;"!A:A"),"承租人权益价值",INDIRECT("'"&amp;F2&amp;"'"&amp;"!c:c")),SUMIF(INDIRECT("'"&amp;F2&amp;"'"&amp;"!A:A"),"承租人权益价值（单套）",INDIRECT("'"&amp;F2&amp;"'"&amp;"!c:c")))</f>
        <v>#REF!</v>
      </c>
      <c r="E2" s="1736" t="s">
        <v>1463</v>
      </c>
      <c r="F2" s="1737"/>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9" t="s">
        <v>1770</v>
      </c>
      <c r="D4" s="3410"/>
      <c r="E4" s="3411" t="s">
        <v>1771</v>
      </c>
      <c r="F4" s="3412"/>
      <c r="G4" s="3409" t="s">
        <v>1772</v>
      </c>
      <c r="H4" s="3410"/>
      <c r="I4" s="3409" t="s">
        <v>1773</v>
      </c>
      <c r="J4" s="3410"/>
      <c r="K4" s="537" t="s">
        <v>1774</v>
      </c>
      <c r="L4" s="2485"/>
      <c r="M4" s="2486"/>
      <c r="N4" s="2486"/>
      <c r="O4" s="2486"/>
      <c r="P4" s="3466" t="s">
        <v>1775</v>
      </c>
      <c r="Q4" s="3467"/>
      <c r="R4" s="3470" t="s">
        <v>1771</v>
      </c>
      <c r="S4" s="3471"/>
      <c r="T4" s="3470" t="s">
        <v>1772</v>
      </c>
      <c r="U4" s="3471"/>
      <c r="V4" s="3393" t="s">
        <v>1773</v>
      </c>
      <c r="W4" s="3393"/>
      <c r="X4" s="1265"/>
      <c r="Y4" s="3470" t="s">
        <v>1775</v>
      </c>
      <c r="Z4" s="3471"/>
      <c r="AA4" s="3465" t="s">
        <v>1771</v>
      </c>
      <c r="AB4" s="3437" t="s">
        <v>1772</v>
      </c>
      <c r="AC4" s="3465" t="s">
        <v>1773</v>
      </c>
    </row>
    <row r="5" spans="1:29">
      <c r="A5" s="348"/>
      <c r="B5" s="349"/>
      <c r="C5" s="3428" t="s">
        <v>1673</v>
      </c>
      <c r="D5" s="3429"/>
      <c r="E5" s="3439" t="s">
        <v>1674</v>
      </c>
      <c r="F5" s="3440"/>
      <c r="G5" s="3428" t="s">
        <v>1675</v>
      </c>
      <c r="H5" s="3429"/>
      <c r="I5" s="3428" t="s">
        <v>1676</v>
      </c>
      <c r="J5" s="3429"/>
      <c r="K5" s="537"/>
      <c r="L5" s="2485"/>
      <c r="M5" s="2486"/>
      <c r="N5" s="2486"/>
      <c r="O5" s="2486"/>
      <c r="P5" s="3468"/>
      <c r="Q5" s="3416"/>
      <c r="R5" s="3421"/>
      <c r="S5" s="3422"/>
      <c r="T5" s="3421"/>
      <c r="U5" s="3422"/>
      <c r="V5" s="3393"/>
      <c r="W5" s="3393"/>
      <c r="X5" s="1265"/>
      <c r="Y5" s="3421"/>
      <c r="Z5" s="3422"/>
      <c r="AA5" s="3437"/>
      <c r="AB5" s="3437"/>
      <c r="AC5" s="3437"/>
    </row>
    <row r="6" spans="1:29" ht="15" thickBot="1">
      <c r="A6" s="350"/>
      <c r="B6" s="351"/>
      <c r="C6" s="3426" t="s">
        <v>1677</v>
      </c>
      <c r="D6" s="3427"/>
      <c r="E6" s="3434" t="s">
        <v>1677</v>
      </c>
      <c r="F6" s="3435"/>
      <c r="G6" s="3426" t="s">
        <v>1677</v>
      </c>
      <c r="H6" s="3427"/>
      <c r="I6" s="3426" t="s">
        <v>1677</v>
      </c>
      <c r="J6" s="3427"/>
      <c r="K6" s="537" t="s">
        <v>1678</v>
      </c>
      <c r="L6" s="2485"/>
      <c r="M6" s="2486"/>
      <c r="N6" s="2486"/>
      <c r="O6" s="2486"/>
      <c r="P6" s="3469"/>
      <c r="Q6" s="3418"/>
      <c r="R6" s="3421"/>
      <c r="S6" s="3422"/>
      <c r="T6" s="3423"/>
      <c r="U6" s="3424"/>
      <c r="V6" s="3393"/>
      <c r="W6" s="3393"/>
      <c r="X6" s="1265"/>
      <c r="Y6" s="3423"/>
      <c r="Z6" s="3424"/>
      <c r="AA6" s="3438"/>
      <c r="AB6" s="3438"/>
      <c r="AC6" s="3438"/>
    </row>
    <row r="7" spans="1:29" s="102" customFormat="1" ht="15" thickBot="1">
      <c r="A7" s="352" t="s">
        <v>1679</v>
      </c>
      <c r="B7" s="353"/>
      <c r="C7" s="354">
        <f>'数据-取费表'!B2</f>
        <v>46013</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32" t="s">
        <v>1680</v>
      </c>
      <c r="Q7" s="3433"/>
      <c r="R7" s="664" t="s">
        <v>14</v>
      </c>
      <c r="S7" s="665">
        <f t="shared" ref="S7:S14" si="0">F7</f>
        <v>0</v>
      </c>
      <c r="T7" s="664" t="s">
        <v>14</v>
      </c>
      <c r="U7" s="665">
        <f t="shared" ref="U7:U14" si="1">H7</f>
        <v>0</v>
      </c>
      <c r="V7" s="664" t="s">
        <v>14</v>
      </c>
      <c r="W7" s="665">
        <f t="shared" ref="W7:W14" si="2">J7</f>
        <v>0</v>
      </c>
      <c r="X7" s="666"/>
      <c r="Y7" s="3432" t="s">
        <v>1680</v>
      </c>
      <c r="Z7" s="343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32" t="s">
        <v>1683</v>
      </c>
      <c r="Q8" s="3431"/>
      <c r="R8" s="664" t="s">
        <v>14</v>
      </c>
      <c r="S8" s="665">
        <f t="shared" si="0"/>
        <v>100</v>
      </c>
      <c r="T8" s="664" t="s">
        <v>14</v>
      </c>
      <c r="U8" s="665">
        <f t="shared" si="1"/>
        <v>100</v>
      </c>
      <c r="V8" s="664" t="s">
        <v>14</v>
      </c>
      <c r="W8" s="665">
        <f t="shared" si="2"/>
        <v>100</v>
      </c>
      <c r="X8" s="666"/>
      <c r="Y8" s="3432" t="s">
        <v>1683</v>
      </c>
      <c r="Z8" s="343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92" t="s">
        <v>1686</v>
      </c>
      <c r="Q9" s="530" t="str">
        <f t="shared" ref="Q9:Q14" si="6">B9</f>
        <v>用途</v>
      </c>
      <c r="R9" s="664" t="s">
        <v>14</v>
      </c>
      <c r="S9" s="665">
        <f t="shared" si="0"/>
        <v>100</v>
      </c>
      <c r="T9" s="664" t="s">
        <v>14</v>
      </c>
      <c r="U9" s="665">
        <f t="shared" si="1"/>
        <v>100</v>
      </c>
      <c r="V9" s="664" t="s">
        <v>14</v>
      </c>
      <c r="W9" s="665">
        <f t="shared" si="2"/>
        <v>100</v>
      </c>
      <c r="X9" s="666"/>
      <c r="Y9" s="3271"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2"/>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2"/>
      <c r="Q11" s="530">
        <f t="shared" si="6"/>
        <v>111</v>
      </c>
      <c r="R11" s="664" t="s">
        <v>14</v>
      </c>
      <c r="S11" s="665">
        <f t="shared" si="0"/>
        <v>100</v>
      </c>
      <c r="T11" s="664" t="s">
        <v>14</v>
      </c>
      <c r="U11" s="665">
        <f t="shared" si="1"/>
        <v>100</v>
      </c>
      <c r="V11" s="664" t="s">
        <v>14</v>
      </c>
      <c r="W11" s="665">
        <f t="shared" si="2"/>
        <v>100</v>
      </c>
      <c r="X11" s="666"/>
      <c r="Y11" s="32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92"/>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92"/>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96.6">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9" t="s">
        <v>1691</v>
      </c>
      <c r="Q14" s="1263" t="str">
        <f t="shared" si="6"/>
        <v>交通便捷度</v>
      </c>
      <c r="R14" s="667" t="s">
        <v>14</v>
      </c>
      <c r="S14" s="668">
        <f t="shared" si="0"/>
        <v>100</v>
      </c>
      <c r="T14" s="667" t="s">
        <v>14</v>
      </c>
      <c r="U14" s="668">
        <f t="shared" si="1"/>
        <v>100</v>
      </c>
      <c r="V14" s="667" t="s">
        <v>14</v>
      </c>
      <c r="W14" s="668">
        <f t="shared" si="2"/>
        <v>100</v>
      </c>
      <c r="X14" s="1265"/>
      <c r="Y14" s="339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0"/>
      <c r="Q15" s="1263"/>
      <c r="R15" s="667"/>
      <c r="S15" s="668"/>
      <c r="T15" s="667"/>
      <c r="U15" s="668"/>
      <c r="V15" s="667"/>
      <c r="W15" s="668"/>
      <c r="X15" s="1265"/>
      <c r="Y15" s="3400"/>
      <c r="Z15" s="1264"/>
      <c r="AA15" s="1264">
        <v>1</v>
      </c>
      <c r="AB15" s="1264">
        <v>1</v>
      </c>
      <c r="AC15" s="1264">
        <v>1</v>
      </c>
    </row>
    <row r="16" spans="1:29" ht="41.4">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0"/>
      <c r="Q16" s="1263" t="str">
        <f>B16</f>
        <v>公共配套设施</v>
      </c>
      <c r="R16" s="667" t="s">
        <v>14</v>
      </c>
      <c r="S16" s="668">
        <f>F16</f>
        <v>100</v>
      </c>
      <c r="T16" s="667" t="s">
        <v>14</v>
      </c>
      <c r="U16" s="668">
        <f>H16</f>
        <v>100</v>
      </c>
      <c r="V16" s="667" t="s">
        <v>14</v>
      </c>
      <c r="W16" s="668">
        <f>J16</f>
        <v>100</v>
      </c>
      <c r="X16" s="1265"/>
      <c r="Y16" s="3400"/>
      <c r="Z16" s="1264" t="str">
        <f>Q16</f>
        <v>公共配套设施</v>
      </c>
      <c r="AA16" s="1264">
        <f t="shared" si="3"/>
        <v>1</v>
      </c>
      <c r="AB16" s="1264">
        <f t="shared" si="4"/>
        <v>1</v>
      </c>
      <c r="AC16" s="1264">
        <f t="shared" si="5"/>
        <v>1</v>
      </c>
    </row>
    <row r="17" spans="1:29" ht="15">
      <c r="A17" s="367"/>
      <c r="B17" s="395"/>
      <c r="C17" s="1753"/>
      <c r="D17" s="387"/>
      <c r="E17" s="386"/>
      <c r="F17" s="388"/>
      <c r="G17" s="386"/>
      <c r="H17" s="387"/>
      <c r="I17" s="386"/>
      <c r="J17" s="387"/>
      <c r="K17" s="541"/>
      <c r="L17" s="2491"/>
      <c r="M17" s="2486"/>
      <c r="N17" s="2486"/>
      <c r="O17" s="2541"/>
      <c r="P17" s="3400"/>
      <c r="Q17" s="1263"/>
      <c r="R17" s="667"/>
      <c r="S17" s="668"/>
      <c r="T17" s="667"/>
      <c r="U17" s="668"/>
      <c r="V17" s="667"/>
      <c r="W17" s="668"/>
      <c r="X17" s="1265"/>
      <c r="Y17" s="3400"/>
      <c r="Z17" s="1264"/>
      <c r="AA17" s="1264">
        <v>1</v>
      </c>
      <c r="AB17" s="1264">
        <v>1</v>
      </c>
      <c r="AC17" s="1264">
        <v>1</v>
      </c>
    </row>
    <row r="18" spans="1:29" ht="41.4">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0"/>
      <c r="Q18" s="1263" t="str">
        <f>B18</f>
        <v>基础设施水平</v>
      </c>
      <c r="R18" s="667" t="s">
        <v>14</v>
      </c>
      <c r="S18" s="668">
        <f>F18</f>
        <v>100</v>
      </c>
      <c r="T18" s="667" t="s">
        <v>14</v>
      </c>
      <c r="U18" s="668">
        <f>H18</f>
        <v>100</v>
      </c>
      <c r="V18" s="667" t="s">
        <v>14</v>
      </c>
      <c r="W18" s="668">
        <f>J18</f>
        <v>100</v>
      </c>
      <c r="X18" s="1265"/>
      <c r="Y18" s="3400"/>
      <c r="Z18" s="1264" t="str">
        <f>Q18</f>
        <v>基础设施水平</v>
      </c>
      <c r="AA18" s="1264">
        <f t="shared" ref="AA18" si="8">D18/F18</f>
        <v>1</v>
      </c>
      <c r="AB18" s="1264">
        <f t="shared" ref="AB18" si="9">D18/H18</f>
        <v>1</v>
      </c>
      <c r="AC18" s="1264">
        <f t="shared" ref="AC18" si="10">D18/J18</f>
        <v>1</v>
      </c>
    </row>
    <row r="19" spans="1:29" ht="15">
      <c r="A19" s="367"/>
      <c r="B19" s="586"/>
      <c r="C19" s="1753"/>
      <c r="D19" s="389"/>
      <c r="E19" s="1753"/>
      <c r="F19" s="392"/>
      <c r="G19" s="1753"/>
      <c r="H19" s="387"/>
      <c r="I19" s="386"/>
      <c r="J19" s="387"/>
      <c r="K19" s="1064"/>
      <c r="L19" s="2491"/>
      <c r="M19" s="2486"/>
      <c r="N19" s="2486"/>
      <c r="O19" s="2541"/>
      <c r="P19" s="3400"/>
      <c r="Q19" s="1263"/>
      <c r="R19" s="667"/>
      <c r="S19" s="668"/>
      <c r="T19" s="667"/>
      <c r="U19" s="668"/>
      <c r="V19" s="667"/>
      <c r="W19" s="668"/>
      <c r="X19" s="1265"/>
      <c r="Y19" s="3400"/>
      <c r="Z19" s="1264"/>
      <c r="AA19" s="1264">
        <v>1</v>
      </c>
      <c r="AB19" s="1264">
        <v>1</v>
      </c>
      <c r="AC19" s="1264">
        <v>1</v>
      </c>
    </row>
    <row r="20" spans="1:29" ht="55.2">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0"/>
      <c r="Q20" s="1263" t="str">
        <f>B20</f>
        <v>自然及人文环境</v>
      </c>
      <c r="R20" s="667" t="s">
        <v>14</v>
      </c>
      <c r="S20" s="668">
        <f>F20</f>
        <v>100</v>
      </c>
      <c r="T20" s="667" t="s">
        <v>14</v>
      </c>
      <c r="U20" s="668">
        <f>H20</f>
        <v>100</v>
      </c>
      <c r="V20" s="667" t="s">
        <v>14</v>
      </c>
      <c r="W20" s="668">
        <f>J20</f>
        <v>100</v>
      </c>
      <c r="X20" s="1265"/>
      <c r="Y20" s="340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0"/>
      <c r="Q21" s="1263"/>
      <c r="R21" s="667"/>
      <c r="S21" s="668"/>
      <c r="T21" s="667"/>
      <c r="U21" s="668"/>
      <c r="V21" s="667"/>
      <c r="W21" s="668"/>
      <c r="X21" s="1265"/>
      <c r="Y21" s="340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0"/>
      <c r="Q22" s="1263" t="str">
        <f>B22</f>
        <v>楼层</v>
      </c>
      <c r="R22" s="667" t="s">
        <v>14</v>
      </c>
      <c r="S22" s="668">
        <f>F22</f>
        <v>100</v>
      </c>
      <c r="T22" s="667" t="s">
        <v>14</v>
      </c>
      <c r="U22" s="668">
        <f>H22</f>
        <v>100</v>
      </c>
      <c r="V22" s="667" t="s">
        <v>14</v>
      </c>
      <c r="W22" s="668">
        <f>J22</f>
        <v>100</v>
      </c>
      <c r="X22" s="1265"/>
      <c r="Y22" s="340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0"/>
      <c r="Q23" s="1263">
        <f>B23</f>
        <v>111</v>
      </c>
      <c r="R23" s="667" t="s">
        <v>14</v>
      </c>
      <c r="S23" s="668">
        <f>F23</f>
        <v>100</v>
      </c>
      <c r="T23" s="667" t="s">
        <v>14</v>
      </c>
      <c r="U23" s="668">
        <f>H23</f>
        <v>100</v>
      </c>
      <c r="V23" s="667" t="s">
        <v>14</v>
      </c>
      <c r="W23" s="668">
        <f>J23</f>
        <v>100</v>
      </c>
      <c r="X23" s="1265"/>
      <c r="Y23" s="340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0"/>
      <c r="Q24" s="1263">
        <f t="shared" ref="Q24:Q34" si="11">B24</f>
        <v>111</v>
      </c>
      <c r="R24" s="667" t="s">
        <v>14</v>
      </c>
      <c r="S24" s="668">
        <f>F24</f>
        <v>100</v>
      </c>
      <c r="T24" s="667" t="s">
        <v>14</v>
      </c>
      <c r="U24" s="668">
        <f>H24</f>
        <v>100</v>
      </c>
      <c r="V24" s="667" t="s">
        <v>14</v>
      </c>
      <c r="W24" s="668">
        <f>J24</f>
        <v>100</v>
      </c>
      <c r="X24" s="1265"/>
      <c r="Y24" s="3400"/>
      <c r="Z24" s="1264">
        <f>Q24</f>
        <v>111</v>
      </c>
      <c r="AA24" s="1264">
        <f t="shared" si="3"/>
        <v>1</v>
      </c>
      <c r="AB24" s="1264">
        <f t="shared" si="4"/>
        <v>1</v>
      </c>
      <c r="AC24" s="1264">
        <f t="shared" si="5"/>
        <v>1</v>
      </c>
    </row>
    <row r="25" spans="1:29" s="102" customFormat="1" ht="15.6"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400"/>
      <c r="Q25" s="530">
        <f t="shared" si="11"/>
        <v>111</v>
      </c>
      <c r="R25" s="664" t="s">
        <v>14</v>
      </c>
      <c r="S25" s="665">
        <f>F25</f>
        <v>100</v>
      </c>
      <c r="T25" s="664" t="s">
        <v>14</v>
      </c>
      <c r="U25" s="665">
        <f>H25</f>
        <v>100</v>
      </c>
      <c r="V25" s="664" t="s">
        <v>14</v>
      </c>
      <c r="W25" s="665">
        <f>J25</f>
        <v>100</v>
      </c>
      <c r="X25" s="666"/>
      <c r="Y25" s="3400"/>
      <c r="Z25" s="50">
        <f>Q25</f>
        <v>111</v>
      </c>
      <c r="AA25" s="1264">
        <f>D25/F25</f>
        <v>1</v>
      </c>
      <c r="AB25" s="1264">
        <f>D25/H25</f>
        <v>1</v>
      </c>
      <c r="AC25" s="1264">
        <f>D25/J25</f>
        <v>1</v>
      </c>
    </row>
    <row r="26" spans="1:29" ht="30">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7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4"/>
      <c r="Q27" s="531" t="str">
        <f t="shared" si="11"/>
        <v>成新率</v>
      </c>
      <c r="R27" s="669" t="s">
        <v>14</v>
      </c>
      <c r="S27" s="670" t="e">
        <f t="shared" si="12"/>
        <v>#N/A</v>
      </c>
      <c r="T27" s="669" t="s">
        <v>14</v>
      </c>
      <c r="U27" s="670" t="e">
        <f t="shared" si="13"/>
        <v>#N/A</v>
      </c>
      <c r="V27" s="669" t="s">
        <v>14</v>
      </c>
      <c r="W27" s="670" t="e">
        <f t="shared" si="14"/>
        <v>#N/A</v>
      </c>
      <c r="X27" s="671"/>
      <c r="Y27" s="340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4"/>
      <c r="Q28" s="1263" t="str">
        <f t="shared" si="11"/>
        <v>物业等级</v>
      </c>
      <c r="R28" s="667" t="s">
        <v>14</v>
      </c>
      <c r="S28" s="668">
        <f t="shared" si="12"/>
        <v>100</v>
      </c>
      <c r="T28" s="667" t="s">
        <v>14</v>
      </c>
      <c r="U28" s="668">
        <f t="shared" si="13"/>
        <v>100</v>
      </c>
      <c r="V28" s="667" t="s">
        <v>14</v>
      </c>
      <c r="W28" s="668">
        <f t="shared" si="14"/>
        <v>100</v>
      </c>
      <c r="X28" s="1265"/>
      <c r="Y28" s="340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4"/>
      <c r="Q29" s="1263" t="str">
        <f t="shared" si="11"/>
        <v>有无电梯</v>
      </c>
      <c r="R29" s="667" t="s">
        <v>14</v>
      </c>
      <c r="S29" s="668">
        <f t="shared" si="12"/>
        <v>100</v>
      </c>
      <c r="T29" s="667" t="s">
        <v>14</v>
      </c>
      <c r="U29" s="668">
        <f t="shared" si="13"/>
        <v>100</v>
      </c>
      <c r="V29" s="667" t="s">
        <v>14</v>
      </c>
      <c r="W29" s="668">
        <f t="shared" si="14"/>
        <v>100</v>
      </c>
      <c r="X29" s="1265"/>
      <c r="Y29" s="340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4"/>
      <c r="Q30" s="1263" t="str">
        <f t="shared" si="11"/>
        <v>建筑面积</v>
      </c>
      <c r="R30" s="667" t="s">
        <v>14</v>
      </c>
      <c r="S30" s="668" t="e">
        <f t="shared" si="12"/>
        <v>#N/A</v>
      </c>
      <c r="T30" s="667" t="s">
        <v>14</v>
      </c>
      <c r="U30" s="668" t="e">
        <f t="shared" si="13"/>
        <v>#N/A</v>
      </c>
      <c r="V30" s="667" t="s">
        <v>14</v>
      </c>
      <c r="W30" s="668" t="e">
        <f t="shared" si="14"/>
        <v>#N/A</v>
      </c>
      <c r="X30" s="1265"/>
      <c r="Y30" s="340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04"/>
      <c r="Q31" s="530" t="str">
        <f t="shared" si="11"/>
        <v>是否封闭</v>
      </c>
      <c r="R31" s="664" t="s">
        <v>14</v>
      </c>
      <c r="S31" s="665">
        <f t="shared" si="12"/>
        <v>100</v>
      </c>
      <c r="T31" s="664" t="s">
        <v>14</v>
      </c>
      <c r="U31" s="665">
        <f t="shared" si="13"/>
        <v>100</v>
      </c>
      <c r="V31" s="664" t="s">
        <v>14</v>
      </c>
      <c r="W31" s="665">
        <f t="shared" si="14"/>
        <v>100</v>
      </c>
      <c r="X31" s="666"/>
      <c r="Y31" s="340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4" t="s">
        <v>1696</v>
      </c>
      <c r="Q32" s="1263">
        <f t="shared" si="11"/>
        <v>111</v>
      </c>
      <c r="R32" s="667" t="s">
        <v>14</v>
      </c>
      <c r="S32" s="668">
        <f t="shared" si="12"/>
        <v>100</v>
      </c>
      <c r="T32" s="667" t="s">
        <v>14</v>
      </c>
      <c r="U32" s="668">
        <f t="shared" si="13"/>
        <v>100</v>
      </c>
      <c r="V32" s="667" t="s">
        <v>14</v>
      </c>
      <c r="W32" s="668">
        <f t="shared" si="14"/>
        <v>100</v>
      </c>
      <c r="X32" s="1265"/>
      <c r="Y32" s="340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4"/>
      <c r="Q33" s="1263">
        <f t="shared" si="11"/>
        <v>111</v>
      </c>
      <c r="R33" s="667" t="s">
        <v>14</v>
      </c>
      <c r="S33" s="668">
        <f t="shared" si="12"/>
        <v>100</v>
      </c>
      <c r="T33" s="667" t="s">
        <v>14</v>
      </c>
      <c r="U33" s="668">
        <f t="shared" si="13"/>
        <v>100</v>
      </c>
      <c r="V33" s="667" t="s">
        <v>14</v>
      </c>
      <c r="W33" s="668">
        <f t="shared" si="14"/>
        <v>100</v>
      </c>
      <c r="X33" s="1265"/>
      <c r="Y33" s="3404"/>
      <c r="Z33" s="1264">
        <f t="shared" si="15"/>
        <v>111</v>
      </c>
      <c r="AA33" s="1264">
        <f t="shared" si="3"/>
        <v>1</v>
      </c>
      <c r="AB33" s="1264">
        <f t="shared" si="4"/>
        <v>1</v>
      </c>
      <c r="AC33" s="1264">
        <f t="shared" si="5"/>
        <v>1</v>
      </c>
    </row>
    <row r="34" spans="1:30" ht="15.6"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404"/>
      <c r="Q34" s="1263">
        <f t="shared" si="11"/>
        <v>111</v>
      </c>
      <c r="R34" s="667" t="s">
        <v>14</v>
      </c>
      <c r="S34" s="668">
        <f t="shared" si="12"/>
        <v>100</v>
      </c>
      <c r="T34" s="667" t="s">
        <v>14</v>
      </c>
      <c r="U34" s="668">
        <f t="shared" si="13"/>
        <v>100</v>
      </c>
      <c r="V34" s="667" t="s">
        <v>14</v>
      </c>
      <c r="W34" s="668">
        <f t="shared" si="14"/>
        <v>100</v>
      </c>
      <c r="X34" s="1265"/>
      <c r="Y34" s="340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92" t="str">
        <f>A35</f>
        <v>成交单价（元/平方米）</v>
      </c>
      <c r="Q35" s="3392"/>
      <c r="R35" s="3393">
        <f>E35</f>
        <v>0</v>
      </c>
      <c r="S35" s="3393"/>
      <c r="T35" s="3393">
        <f>G35</f>
        <v>0</v>
      </c>
      <c r="U35" s="3393"/>
      <c r="V35" s="3393">
        <f>I35</f>
        <v>0</v>
      </c>
      <c r="W35" s="3393"/>
      <c r="X35" s="385"/>
      <c r="Y35" s="673"/>
      <c r="Z35" s="385"/>
      <c r="AA35" s="385"/>
      <c r="AB35" s="385"/>
      <c r="AC35" s="385"/>
    </row>
    <row r="36" spans="1:30" ht="1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392" t="str">
        <f>A36</f>
        <v>比较价值（元/平方米）</v>
      </c>
      <c r="Q36" s="3392"/>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62" t="str">
        <f>A37</f>
        <v>估价对象XX用房的比较价值（楼面单价，元/平方米）</v>
      </c>
      <c r="Q37" s="3463"/>
      <c r="R37" s="3473" t="e">
        <f>IF(F1="售价",ROUND(IF(D36="简单平均",AVERAGE(R36:W36),R36*F36+T36*H36+V36*J36),0),ROUND(IF(D36="简单平均",AVERAGE(R36:V36),R36*F36+T36*H36+V36*J36),1))</f>
        <v>#DIV/0!</v>
      </c>
      <c r="S37" s="3473"/>
      <c r="T37" s="3473"/>
      <c r="U37" s="3473"/>
      <c r="V37" s="3473"/>
      <c r="W37" s="347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9" t="s">
        <v>1770</v>
      </c>
      <c r="D4" s="3410"/>
      <c r="E4" s="3411" t="s">
        <v>1771</v>
      </c>
      <c r="F4" s="3412"/>
      <c r="G4" s="3409" t="s">
        <v>1772</v>
      </c>
      <c r="H4" s="3410"/>
      <c r="I4" s="3409" t="s">
        <v>1773</v>
      </c>
      <c r="J4" s="3410"/>
      <c r="K4" s="537" t="s">
        <v>1774</v>
      </c>
      <c r="L4" s="2485"/>
      <c r="M4" s="2486"/>
      <c r="N4" s="2486"/>
      <c r="O4" s="2486"/>
      <c r="P4" s="3466" t="s">
        <v>1775</v>
      </c>
      <c r="Q4" s="3467"/>
      <c r="R4" s="3470" t="s">
        <v>1771</v>
      </c>
      <c r="S4" s="3471"/>
      <c r="T4" s="3470" t="s">
        <v>1772</v>
      </c>
      <c r="U4" s="3471"/>
      <c r="V4" s="3393" t="s">
        <v>1773</v>
      </c>
      <c r="W4" s="3393"/>
      <c r="X4" s="1265"/>
      <c r="Y4" s="3470" t="s">
        <v>1775</v>
      </c>
      <c r="Z4" s="3471"/>
      <c r="AA4" s="3465" t="s">
        <v>1771</v>
      </c>
      <c r="AB4" s="3437" t="s">
        <v>1772</v>
      </c>
      <c r="AC4" s="3465" t="s">
        <v>1773</v>
      </c>
    </row>
    <row r="5" spans="1:29">
      <c r="A5" s="348"/>
      <c r="B5" s="349"/>
      <c r="C5" s="3428" t="s">
        <v>1673</v>
      </c>
      <c r="D5" s="3429"/>
      <c r="E5" s="3439" t="s">
        <v>1674</v>
      </c>
      <c r="F5" s="3440"/>
      <c r="G5" s="3428" t="s">
        <v>1675</v>
      </c>
      <c r="H5" s="3429"/>
      <c r="I5" s="3428" t="s">
        <v>1676</v>
      </c>
      <c r="J5" s="3429"/>
      <c r="K5" s="537"/>
      <c r="L5" s="2485"/>
      <c r="M5" s="2486"/>
      <c r="N5" s="2486"/>
      <c r="O5" s="2486"/>
      <c r="P5" s="3468"/>
      <c r="Q5" s="3416"/>
      <c r="R5" s="3421"/>
      <c r="S5" s="3422"/>
      <c r="T5" s="3421"/>
      <c r="U5" s="3422"/>
      <c r="V5" s="3393"/>
      <c r="W5" s="3393"/>
      <c r="X5" s="1265"/>
      <c r="Y5" s="3421"/>
      <c r="Z5" s="3422"/>
      <c r="AA5" s="3437"/>
      <c r="AB5" s="3437"/>
      <c r="AC5" s="3437"/>
    </row>
    <row r="6" spans="1:29" ht="15" thickBot="1">
      <c r="A6" s="350"/>
      <c r="B6" s="351"/>
      <c r="C6" s="3426" t="s">
        <v>1677</v>
      </c>
      <c r="D6" s="3427"/>
      <c r="E6" s="3434" t="s">
        <v>1677</v>
      </c>
      <c r="F6" s="3435"/>
      <c r="G6" s="3426" t="s">
        <v>1677</v>
      </c>
      <c r="H6" s="3427"/>
      <c r="I6" s="3426" t="s">
        <v>1677</v>
      </c>
      <c r="J6" s="3427"/>
      <c r="K6" s="537" t="s">
        <v>1678</v>
      </c>
      <c r="L6" s="2485"/>
      <c r="M6" s="2486"/>
      <c r="N6" s="2486"/>
      <c r="O6" s="2486"/>
      <c r="P6" s="3469"/>
      <c r="Q6" s="3418"/>
      <c r="R6" s="3421"/>
      <c r="S6" s="3422"/>
      <c r="T6" s="3423"/>
      <c r="U6" s="3424"/>
      <c r="V6" s="3393"/>
      <c r="W6" s="3393"/>
      <c r="X6" s="1265"/>
      <c r="Y6" s="3423"/>
      <c r="Z6" s="3424"/>
      <c r="AA6" s="3438"/>
      <c r="AB6" s="3438"/>
      <c r="AC6" s="3438"/>
    </row>
    <row r="7" spans="1:29" s="102" customFormat="1" ht="15" thickBot="1">
      <c r="A7" s="352" t="s">
        <v>1679</v>
      </c>
      <c r="B7" s="353"/>
      <c r="C7" s="354">
        <f>'数据-取费表'!B2</f>
        <v>46013</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32" t="s">
        <v>1680</v>
      </c>
      <c r="Q7" s="3433"/>
      <c r="R7" s="664" t="s">
        <v>14</v>
      </c>
      <c r="S7" s="665">
        <f t="shared" ref="S7:S15" si="0">F7</f>
        <v>0</v>
      </c>
      <c r="T7" s="664" t="s">
        <v>14</v>
      </c>
      <c r="U7" s="665">
        <f t="shared" ref="U7:U15" si="1">H7</f>
        <v>0</v>
      </c>
      <c r="V7" s="664" t="s">
        <v>14</v>
      </c>
      <c r="W7" s="665">
        <f t="shared" ref="W7:W15" si="2">J7</f>
        <v>0</v>
      </c>
      <c r="X7" s="666"/>
      <c r="Y7" s="3432" t="s">
        <v>1680</v>
      </c>
      <c r="Z7" s="343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32" t="s">
        <v>1683</v>
      </c>
      <c r="Q8" s="3431"/>
      <c r="R8" s="664" t="s">
        <v>14</v>
      </c>
      <c r="S8" s="665">
        <f t="shared" si="0"/>
        <v>0</v>
      </c>
      <c r="T8" s="664" t="s">
        <v>14</v>
      </c>
      <c r="U8" s="665">
        <f t="shared" si="1"/>
        <v>0</v>
      </c>
      <c r="V8" s="664" t="s">
        <v>14</v>
      </c>
      <c r="W8" s="665">
        <f t="shared" si="2"/>
        <v>0</v>
      </c>
      <c r="X8" s="666"/>
      <c r="Y8" s="3432" t="s">
        <v>1683</v>
      </c>
      <c r="Z8" s="3431"/>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92"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106</v>
      </c>
      <c r="G10" s="402"/>
      <c r="H10" s="119">
        <f>ROUND(100/'数据-取费表'!G16,0)</f>
        <v>106</v>
      </c>
      <c r="I10" s="402"/>
      <c r="J10" s="119">
        <f>ROUND(100/'数据-取费表'!G16,0)</f>
        <v>106</v>
      </c>
      <c r="K10" s="592"/>
      <c r="L10" s="2488"/>
      <c r="M10" s="2489"/>
      <c r="N10" s="2489"/>
      <c r="O10" s="2540"/>
      <c r="P10" s="3392"/>
      <c r="Q10" s="530" t="str">
        <f t="shared" si="6"/>
        <v>土地使用年限（年）</v>
      </c>
      <c r="R10" s="664" t="s">
        <v>14</v>
      </c>
      <c r="S10" s="665">
        <f t="shared" si="0"/>
        <v>106</v>
      </c>
      <c r="T10" s="664" t="s">
        <v>14</v>
      </c>
      <c r="U10" s="665">
        <f t="shared" si="1"/>
        <v>106</v>
      </c>
      <c r="V10" s="664" t="s">
        <v>14</v>
      </c>
      <c r="W10" s="665">
        <f t="shared" si="2"/>
        <v>106</v>
      </c>
      <c r="X10" s="666"/>
      <c r="Y10" s="3271"/>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2"/>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92"/>
      <c r="Q12" s="530" t="str">
        <f t="shared" si="6"/>
        <v>配建</v>
      </c>
      <c r="R12" s="664" t="s">
        <v>14</v>
      </c>
      <c r="S12" s="665">
        <f t="shared" si="0"/>
        <v>100</v>
      </c>
      <c r="T12" s="664" t="s">
        <v>14</v>
      </c>
      <c r="U12" s="665">
        <f t="shared" si="1"/>
        <v>100</v>
      </c>
      <c r="V12" s="664" t="s">
        <v>14</v>
      </c>
      <c r="W12" s="665">
        <f t="shared" si="2"/>
        <v>100</v>
      </c>
      <c r="X12" s="666"/>
      <c r="Y12" s="32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2"/>
      <c r="Q13" s="530">
        <f t="shared" si="6"/>
        <v>111</v>
      </c>
      <c r="R13" s="664" t="s">
        <v>14</v>
      </c>
      <c r="S13" s="665">
        <f t="shared" si="0"/>
        <v>100</v>
      </c>
      <c r="T13" s="664" t="s">
        <v>14</v>
      </c>
      <c r="U13" s="665">
        <f t="shared" si="1"/>
        <v>100</v>
      </c>
      <c r="V13" s="664" t="s">
        <v>14</v>
      </c>
      <c r="W13" s="665">
        <f t="shared" si="2"/>
        <v>100</v>
      </c>
      <c r="X13" s="666"/>
      <c r="Y13" s="3271"/>
      <c r="Z13" s="50">
        <f t="shared" si="7"/>
        <v>111</v>
      </c>
      <c r="AA13" s="50">
        <f>D13/F13</f>
        <v>1</v>
      </c>
      <c r="AB13" s="50">
        <f>D13/H13</f>
        <v>1</v>
      </c>
      <c r="AC13" s="50">
        <f>D13/J13</f>
        <v>1</v>
      </c>
    </row>
    <row r="14" spans="1:29" ht="15.6"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2"/>
      <c r="Q14" s="530">
        <f t="shared" si="6"/>
        <v>111</v>
      </c>
      <c r="R14" s="664" t="s">
        <v>14</v>
      </c>
      <c r="S14" s="665">
        <f t="shared" si="0"/>
        <v>100</v>
      </c>
      <c r="T14" s="664" t="s">
        <v>14</v>
      </c>
      <c r="U14" s="665">
        <f t="shared" si="1"/>
        <v>100</v>
      </c>
      <c r="V14" s="664" t="s">
        <v>14</v>
      </c>
      <c r="W14" s="665">
        <f t="shared" si="2"/>
        <v>100</v>
      </c>
      <c r="X14" s="666"/>
      <c r="Y14" s="3271"/>
      <c r="Z14" s="50">
        <f t="shared" si="7"/>
        <v>111</v>
      </c>
      <c r="AA14" s="50">
        <f>D14/F14</f>
        <v>1</v>
      </c>
      <c r="AB14" s="50">
        <f>D14/H14</f>
        <v>1</v>
      </c>
      <c r="AC14" s="50">
        <f>D14/J14</f>
        <v>1</v>
      </c>
    </row>
    <row r="15" spans="1:29" ht="96.6">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9" t="s">
        <v>1691</v>
      </c>
      <c r="Q15" s="1263" t="str">
        <f t="shared" si="6"/>
        <v>居住社区成熟度</v>
      </c>
      <c r="R15" s="667" t="s">
        <v>14</v>
      </c>
      <c r="S15" s="668">
        <f t="shared" si="0"/>
        <v>100</v>
      </c>
      <c r="T15" s="667" t="s">
        <v>14</v>
      </c>
      <c r="U15" s="668">
        <f t="shared" si="1"/>
        <v>100</v>
      </c>
      <c r="V15" s="667" t="s">
        <v>14</v>
      </c>
      <c r="W15" s="668">
        <f t="shared" si="2"/>
        <v>100</v>
      </c>
      <c r="X15" s="1265"/>
      <c r="Y15" s="3399"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0"/>
      <c r="H16" s="389"/>
      <c r="I16" s="1749"/>
      <c r="J16" s="387"/>
      <c r="K16" s="592"/>
      <c r="L16" s="2491"/>
      <c r="M16" s="2486"/>
      <c r="N16" s="2486"/>
      <c r="O16" s="2541"/>
      <c r="P16" s="3400"/>
      <c r="Q16" s="1263"/>
      <c r="R16" s="667"/>
      <c r="S16" s="668"/>
      <c r="T16" s="667"/>
      <c r="U16" s="668"/>
      <c r="V16" s="667"/>
      <c r="W16" s="668"/>
      <c r="X16" s="1265"/>
      <c r="Y16" s="3400"/>
      <c r="Z16" s="1264"/>
      <c r="AA16" s="1264">
        <v>1</v>
      </c>
      <c r="AB16" s="1264">
        <v>1</v>
      </c>
      <c r="AC16" s="1264">
        <v>1</v>
      </c>
    </row>
    <row r="17" spans="1:29" ht="82.8">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0"/>
      <c r="Q17" s="1263" t="str">
        <f>B17</f>
        <v>商业繁华度</v>
      </c>
      <c r="R17" s="667" t="s">
        <v>14</v>
      </c>
      <c r="S17" s="668">
        <f>F17</f>
        <v>100</v>
      </c>
      <c r="T17" s="667" t="s">
        <v>14</v>
      </c>
      <c r="U17" s="668">
        <f>H17</f>
        <v>100</v>
      </c>
      <c r="V17" s="667" t="s">
        <v>14</v>
      </c>
      <c r="W17" s="668">
        <f>J17</f>
        <v>100</v>
      </c>
      <c r="X17" s="1265"/>
      <c r="Y17" s="3400"/>
      <c r="Z17" s="1264" t="str">
        <f>Q17</f>
        <v>商业繁华度</v>
      </c>
      <c r="AA17" s="1264">
        <f t="shared" si="3"/>
        <v>1</v>
      </c>
      <c r="AB17" s="1264">
        <f t="shared" si="4"/>
        <v>1</v>
      </c>
      <c r="AC17" s="1264">
        <f t="shared" si="5"/>
        <v>1</v>
      </c>
    </row>
    <row r="18" spans="1:29" ht="15">
      <c r="A18" s="367"/>
      <c r="B18" s="395"/>
      <c r="C18" s="1753"/>
      <c r="D18" s="389"/>
      <c r="E18" s="1755"/>
      <c r="F18" s="389"/>
      <c r="G18" s="1755"/>
      <c r="H18" s="387"/>
      <c r="I18" s="1754"/>
      <c r="J18" s="387"/>
      <c r="K18" s="592"/>
      <c r="L18" s="2491"/>
      <c r="M18" s="2486"/>
      <c r="N18" s="2486"/>
      <c r="O18" s="2541"/>
      <c r="P18" s="3400"/>
      <c r="Q18" s="1263"/>
      <c r="R18" s="667"/>
      <c r="S18" s="668"/>
      <c r="T18" s="667"/>
      <c r="U18" s="668"/>
      <c r="V18" s="667"/>
      <c r="W18" s="668"/>
      <c r="X18" s="1265"/>
      <c r="Y18" s="3400"/>
      <c r="Z18" s="1264"/>
      <c r="AA18" s="1264">
        <v>1</v>
      </c>
      <c r="AB18" s="1264">
        <v>1</v>
      </c>
      <c r="AC18" s="1264">
        <v>1</v>
      </c>
    </row>
    <row r="19" spans="1:29" ht="82.8">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0"/>
      <c r="Q19" s="1263" t="str">
        <f>B19</f>
        <v>办公集聚程度</v>
      </c>
      <c r="R19" s="667" t="s">
        <v>14</v>
      </c>
      <c r="S19" s="668">
        <f>F19</f>
        <v>100</v>
      </c>
      <c r="T19" s="667" t="s">
        <v>14</v>
      </c>
      <c r="U19" s="668">
        <f>H19</f>
        <v>100</v>
      </c>
      <c r="V19" s="667" t="s">
        <v>14</v>
      </c>
      <c r="W19" s="668">
        <f>J19</f>
        <v>100</v>
      </c>
      <c r="X19" s="1265"/>
      <c r="Y19" s="3400"/>
      <c r="Z19" s="1264" t="str">
        <f>Q19</f>
        <v>办公集聚程度</v>
      </c>
      <c r="AA19" s="1264">
        <f t="shared" si="3"/>
        <v>1</v>
      </c>
      <c r="AB19" s="1264">
        <f t="shared" si="4"/>
        <v>1</v>
      </c>
      <c r="AC19" s="1264">
        <f t="shared" si="5"/>
        <v>1</v>
      </c>
    </row>
    <row r="20" spans="1:29" ht="15">
      <c r="A20" s="367"/>
      <c r="B20" s="395"/>
      <c r="C20" s="386"/>
      <c r="D20" s="387"/>
      <c r="E20" s="1750"/>
      <c r="F20" s="387"/>
      <c r="G20" s="1750"/>
      <c r="H20" s="387"/>
      <c r="I20" s="1749"/>
      <c r="J20" s="387"/>
      <c r="K20" s="592"/>
      <c r="L20" s="2491"/>
      <c r="M20" s="2486"/>
      <c r="N20" s="2486"/>
      <c r="O20" s="2541"/>
      <c r="P20" s="3400"/>
      <c r="Q20" s="1263"/>
      <c r="R20" s="667"/>
      <c r="S20" s="668"/>
      <c r="T20" s="667"/>
      <c r="U20" s="668"/>
      <c r="V20" s="667"/>
      <c r="W20" s="668"/>
      <c r="X20" s="1265"/>
      <c r="Y20" s="3400"/>
      <c r="Z20" s="1264"/>
      <c r="AA20" s="1264">
        <v>1</v>
      </c>
      <c r="AB20" s="1264">
        <v>1</v>
      </c>
      <c r="AC20" s="1264">
        <v>1</v>
      </c>
    </row>
    <row r="21" spans="1:29" ht="96.6">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0"/>
      <c r="Q21" s="1263" t="str">
        <f>B21</f>
        <v>交通便捷度</v>
      </c>
      <c r="R21" s="667" t="s">
        <v>14</v>
      </c>
      <c r="S21" s="668">
        <f>F21</f>
        <v>100</v>
      </c>
      <c r="T21" s="667" t="s">
        <v>14</v>
      </c>
      <c r="U21" s="668">
        <f>H21</f>
        <v>100</v>
      </c>
      <c r="V21" s="667" t="s">
        <v>14</v>
      </c>
      <c r="W21" s="668">
        <f>J21</f>
        <v>100</v>
      </c>
      <c r="X21" s="1265"/>
      <c r="Y21" s="3400"/>
      <c r="Z21" s="1264" t="str">
        <f>Q21</f>
        <v>交通便捷度</v>
      </c>
      <c r="AA21" s="1264">
        <f t="shared" si="3"/>
        <v>1</v>
      </c>
      <c r="AB21" s="1264">
        <f t="shared" si="4"/>
        <v>1</v>
      </c>
      <c r="AC21" s="1264">
        <f t="shared" si="5"/>
        <v>1</v>
      </c>
    </row>
    <row r="22" spans="1:29" ht="15">
      <c r="A22" s="367"/>
      <c r="B22" s="586"/>
      <c r="C22" s="386"/>
      <c r="D22" s="389"/>
      <c r="E22" s="1750"/>
      <c r="F22" s="387"/>
      <c r="G22" s="1750"/>
      <c r="H22" s="387"/>
      <c r="I22" s="1749"/>
      <c r="J22" s="387"/>
      <c r="K22" s="592"/>
      <c r="L22" s="2491"/>
      <c r="M22" s="2486"/>
      <c r="N22" s="2486"/>
      <c r="O22" s="2541"/>
      <c r="P22" s="3400"/>
      <c r="Q22" s="1263"/>
      <c r="R22" s="667"/>
      <c r="S22" s="668"/>
      <c r="T22" s="667"/>
      <c r="U22" s="668"/>
      <c r="V22" s="667"/>
      <c r="W22" s="668"/>
      <c r="X22" s="1265"/>
      <c r="Y22" s="340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0"/>
      <c r="Q23" s="1263" t="str">
        <f t="shared" ref="Q23:Q37" si="8">B23</f>
        <v>区域土地利用方向</v>
      </c>
      <c r="R23" s="667" t="s">
        <v>14</v>
      </c>
      <c r="S23" s="668">
        <f>F23</f>
        <v>100</v>
      </c>
      <c r="T23" s="667" t="s">
        <v>14</v>
      </c>
      <c r="U23" s="668">
        <f>H23</f>
        <v>100</v>
      </c>
      <c r="V23" s="667" t="s">
        <v>14</v>
      </c>
      <c r="W23" s="668">
        <f>J23</f>
        <v>100</v>
      </c>
      <c r="X23" s="1265"/>
      <c r="Y23" s="3400"/>
      <c r="Z23" s="1264" t="str">
        <f>Q23</f>
        <v>区域土地利用方向</v>
      </c>
      <c r="AA23" s="1264">
        <f t="shared" si="3"/>
        <v>1</v>
      </c>
      <c r="AB23" s="1264">
        <f t="shared" si="4"/>
        <v>1</v>
      </c>
      <c r="AC23" s="1264">
        <f t="shared" si="5"/>
        <v>1</v>
      </c>
    </row>
    <row r="24" spans="1:29" ht="15">
      <c r="A24" s="348"/>
      <c r="B24" s="395"/>
      <c r="C24" s="542"/>
      <c r="D24" s="387"/>
      <c r="E24" s="1750"/>
      <c r="F24" s="387"/>
      <c r="G24" s="1749"/>
      <c r="H24" s="387"/>
      <c r="I24" s="1749"/>
      <c r="J24" s="387"/>
      <c r="K24" s="698"/>
      <c r="L24" s="2491"/>
      <c r="M24" s="2486"/>
      <c r="N24" s="2486"/>
      <c r="O24" s="2541"/>
      <c r="P24" s="3400"/>
      <c r="Q24" s="1263"/>
      <c r="R24" s="667"/>
      <c r="S24" s="668"/>
      <c r="T24" s="667"/>
      <c r="U24" s="668"/>
      <c r="V24" s="667"/>
      <c r="W24" s="668"/>
      <c r="X24" s="1265"/>
      <c r="Y24" s="3400"/>
      <c r="Z24" s="1264"/>
      <c r="AA24" s="1264"/>
      <c r="AB24" s="1264"/>
      <c r="AC24" s="1264"/>
    </row>
    <row r="25" spans="1:29" ht="55.2">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0"/>
      <c r="Q25" s="1263" t="str">
        <f t="shared" si="8"/>
        <v>自然及人文环境状况</v>
      </c>
      <c r="R25" s="667" t="s">
        <v>14</v>
      </c>
      <c r="S25" s="668">
        <f>F25</f>
        <v>100</v>
      </c>
      <c r="T25" s="667" t="s">
        <v>14</v>
      </c>
      <c r="U25" s="668">
        <f>H25</f>
        <v>100</v>
      </c>
      <c r="V25" s="667" t="s">
        <v>14</v>
      </c>
      <c r="W25" s="668">
        <f>J25</f>
        <v>100</v>
      </c>
      <c r="X25" s="1265"/>
      <c r="Y25" s="3400"/>
      <c r="Z25" s="1264" t="str">
        <f>Q25</f>
        <v>自然及人文环境状况</v>
      </c>
      <c r="AA25" s="1264">
        <f t="shared" si="3"/>
        <v>1</v>
      </c>
      <c r="AB25" s="1264">
        <f t="shared" si="4"/>
        <v>1</v>
      </c>
      <c r="AC25" s="1264">
        <f t="shared" si="5"/>
        <v>1</v>
      </c>
    </row>
    <row r="26" spans="1:29" ht="15">
      <c r="A26" s="348"/>
      <c r="B26" s="395"/>
      <c r="C26" s="386"/>
      <c r="D26" s="387"/>
      <c r="E26" s="1756"/>
      <c r="F26" s="387"/>
      <c r="G26" s="1756"/>
      <c r="H26" s="387"/>
      <c r="I26" s="386"/>
      <c r="J26" s="387"/>
      <c r="K26" s="592"/>
      <c r="L26" s="2491"/>
      <c r="M26" s="2486"/>
      <c r="N26" s="2486"/>
      <c r="O26" s="2541"/>
      <c r="P26" s="3400"/>
      <c r="Q26" s="1263"/>
      <c r="R26" s="667"/>
      <c r="S26" s="668"/>
      <c r="T26" s="667"/>
      <c r="U26" s="668"/>
      <c r="V26" s="667"/>
      <c r="W26" s="668"/>
      <c r="X26" s="1265"/>
      <c r="Y26" s="3400"/>
      <c r="Z26" s="1264"/>
      <c r="AA26" s="1264">
        <v>1</v>
      </c>
      <c r="AB26" s="1264">
        <v>1</v>
      </c>
      <c r="AC26" s="1264">
        <v>1</v>
      </c>
    </row>
    <row r="27" spans="1:29" s="102" customFormat="1" ht="41.4">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00"/>
      <c r="Q27" s="530" t="str">
        <f t="shared" si="8"/>
        <v>公共配套设施</v>
      </c>
      <c r="R27" s="664" t="s">
        <v>14</v>
      </c>
      <c r="S27" s="665">
        <f>F27</f>
        <v>100</v>
      </c>
      <c r="T27" s="664" t="s">
        <v>14</v>
      </c>
      <c r="U27" s="665">
        <f>H27</f>
        <v>100</v>
      </c>
      <c r="V27" s="664" t="s">
        <v>14</v>
      </c>
      <c r="W27" s="665">
        <f>J27</f>
        <v>100</v>
      </c>
      <c r="X27" s="666"/>
      <c r="Y27" s="3400"/>
      <c r="Z27" s="50" t="str">
        <f>Q27</f>
        <v>公共配套设施</v>
      </c>
      <c r="AA27" s="1264">
        <f>D27/F27</f>
        <v>1</v>
      </c>
      <c r="AB27" s="1264">
        <f>D27/H27</f>
        <v>1</v>
      </c>
      <c r="AC27" s="1264">
        <f>D27/J27</f>
        <v>1</v>
      </c>
    </row>
    <row r="28" spans="1:29" s="102" customFormat="1" ht="15">
      <c r="A28" s="443"/>
      <c r="B28" s="395"/>
      <c r="C28" s="1824"/>
      <c r="D28" s="387"/>
      <c r="E28" s="1756"/>
      <c r="F28" s="387"/>
      <c r="G28" s="1756"/>
      <c r="H28" s="387"/>
      <c r="I28" s="386"/>
      <c r="J28" s="387"/>
      <c r="K28" s="592"/>
      <c r="L28" s="2487"/>
      <c r="M28" s="2438"/>
      <c r="N28" s="2438"/>
      <c r="O28" s="2539"/>
      <c r="P28" s="3400"/>
      <c r="Q28" s="530"/>
      <c r="R28" s="664"/>
      <c r="S28" s="665"/>
      <c r="T28" s="664"/>
      <c r="U28" s="665"/>
      <c r="V28" s="664"/>
      <c r="W28" s="665"/>
      <c r="X28" s="666"/>
      <c r="Y28" s="3400"/>
      <c r="Z28" s="50"/>
      <c r="AA28" s="1264">
        <v>1</v>
      </c>
      <c r="AB28" s="1264">
        <v>1</v>
      </c>
      <c r="AC28" s="1264">
        <v>1</v>
      </c>
    </row>
    <row r="29" spans="1:29" s="102" customFormat="1" ht="41.4">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00"/>
      <c r="Q29" s="530" t="str">
        <f t="shared" ref="Q29" si="9">B29</f>
        <v>基础设施水平</v>
      </c>
      <c r="R29" s="664" t="s">
        <v>14</v>
      </c>
      <c r="S29" s="665">
        <f>F29</f>
        <v>100</v>
      </c>
      <c r="T29" s="664" t="s">
        <v>14</v>
      </c>
      <c r="U29" s="665">
        <f>H29</f>
        <v>100</v>
      </c>
      <c r="V29" s="664" t="s">
        <v>14</v>
      </c>
      <c r="W29" s="665">
        <f>J29</f>
        <v>100</v>
      </c>
      <c r="X29" s="666"/>
      <c r="Y29" s="3400"/>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400"/>
      <c r="Q30" s="530"/>
      <c r="R30" s="664"/>
      <c r="S30" s="665"/>
      <c r="T30" s="664"/>
      <c r="U30" s="665"/>
      <c r="V30" s="664"/>
      <c r="W30" s="665"/>
      <c r="X30" s="666"/>
      <c r="Y30" s="340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0"/>
      <c r="Q32" s="1263" t="str">
        <f t="shared" si="8"/>
        <v>毗邻道路的类型与等级</v>
      </c>
      <c r="R32" s="667" t="s">
        <v>14</v>
      </c>
      <c r="S32" s="668">
        <f t="shared" si="10"/>
        <v>100</v>
      </c>
      <c r="T32" s="667" t="s">
        <v>14</v>
      </c>
      <c r="U32" s="668">
        <f t="shared" si="11"/>
        <v>100</v>
      </c>
      <c r="V32" s="667" t="s">
        <v>14</v>
      </c>
      <c r="W32" s="668">
        <f t="shared" si="12"/>
        <v>100</v>
      </c>
      <c r="X32" s="1265"/>
      <c r="Y32" s="3400"/>
      <c r="Z32" s="1264" t="str">
        <f t="shared" si="13"/>
        <v>毗邻道路的类型与等级</v>
      </c>
      <c r="AA32" s="1264">
        <f t="shared" si="3"/>
        <v>1</v>
      </c>
      <c r="AB32" s="1264">
        <f t="shared" si="4"/>
        <v>1</v>
      </c>
      <c r="AC32" s="1264">
        <f t="shared" si="5"/>
        <v>1</v>
      </c>
    </row>
    <row r="33" spans="1:29" ht="15">
      <c r="A33" s="367"/>
      <c r="B33" s="395"/>
      <c r="C33" s="386"/>
      <c r="D33" s="387"/>
      <c r="E33" s="1756"/>
      <c r="F33" s="387"/>
      <c r="G33" s="1756"/>
      <c r="H33" s="387"/>
      <c r="I33" s="386"/>
      <c r="J33" s="387"/>
      <c r="K33" s="539"/>
      <c r="L33" s="2491"/>
      <c r="M33" s="2486"/>
      <c r="N33" s="2486"/>
      <c r="O33" s="2541"/>
      <c r="P33" s="3400"/>
      <c r="Q33" s="1263"/>
      <c r="R33" s="667"/>
      <c r="S33" s="668"/>
      <c r="T33" s="667"/>
      <c r="U33" s="668"/>
      <c r="V33" s="667"/>
      <c r="W33" s="668"/>
      <c r="X33" s="1265"/>
      <c r="Y33" s="340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0"/>
      <c r="Q34" s="1263" t="str">
        <f t="shared" si="8"/>
        <v>土地级别</v>
      </c>
      <c r="R34" s="667" t="s">
        <v>14</v>
      </c>
      <c r="S34" s="668">
        <f t="shared" si="10"/>
        <v>100</v>
      </c>
      <c r="T34" s="667" t="s">
        <v>14</v>
      </c>
      <c r="U34" s="668">
        <f t="shared" si="11"/>
        <v>100</v>
      </c>
      <c r="V34" s="667" t="s">
        <v>14</v>
      </c>
      <c r="W34" s="668">
        <f t="shared" si="12"/>
        <v>100</v>
      </c>
      <c r="X34" s="1265"/>
      <c r="Y34" s="340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0"/>
      <c r="Q35" s="1263">
        <f t="shared" si="8"/>
        <v>111</v>
      </c>
      <c r="R35" s="667" t="s">
        <v>14</v>
      </c>
      <c r="S35" s="668">
        <f t="shared" si="10"/>
        <v>100</v>
      </c>
      <c r="T35" s="667" t="s">
        <v>14</v>
      </c>
      <c r="U35" s="668">
        <f t="shared" si="11"/>
        <v>100</v>
      </c>
      <c r="V35" s="667" t="s">
        <v>14</v>
      </c>
      <c r="W35" s="668">
        <f t="shared" si="12"/>
        <v>100</v>
      </c>
      <c r="X35" s="1265"/>
      <c r="Y35" s="340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72" t="s">
        <v>1696</v>
      </c>
      <c r="Q36" s="1263">
        <f t="shared" si="8"/>
        <v>111</v>
      </c>
      <c r="R36" s="667" t="s">
        <v>14</v>
      </c>
      <c r="S36" s="668">
        <f t="shared" si="10"/>
        <v>100</v>
      </c>
      <c r="T36" s="667" t="s">
        <v>14</v>
      </c>
      <c r="U36" s="668">
        <f t="shared" si="11"/>
        <v>100</v>
      </c>
      <c r="V36" s="667" t="s">
        <v>14</v>
      </c>
      <c r="W36" s="668">
        <f t="shared" si="12"/>
        <v>100</v>
      </c>
      <c r="X36" s="1265"/>
      <c r="Y36" s="340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4"/>
      <c r="Q37" s="1263">
        <f t="shared" si="8"/>
        <v>111</v>
      </c>
      <c r="R37" s="669" t="s">
        <v>14</v>
      </c>
      <c r="S37" s="670">
        <f t="shared" si="10"/>
        <v>100</v>
      </c>
      <c r="T37" s="669" t="s">
        <v>14</v>
      </c>
      <c r="U37" s="670">
        <f t="shared" si="11"/>
        <v>100</v>
      </c>
      <c r="V37" s="669" t="s">
        <v>14</v>
      </c>
      <c r="W37" s="670">
        <f t="shared" si="12"/>
        <v>100</v>
      </c>
      <c r="X37" s="671"/>
      <c r="Y37" s="340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4"/>
      <c r="Q38" s="1263" t="str">
        <f>B38</f>
        <v>宗地面积</v>
      </c>
      <c r="R38" s="667" t="s">
        <v>14</v>
      </c>
      <c r="S38" s="668" t="e">
        <f t="shared" si="10"/>
        <v>#N/A</v>
      </c>
      <c r="T38" s="667" t="s">
        <v>14</v>
      </c>
      <c r="U38" s="668" t="e">
        <f t="shared" si="11"/>
        <v>#N/A</v>
      </c>
      <c r="V38" s="667" t="s">
        <v>14</v>
      </c>
      <c r="W38" s="668" t="e">
        <f t="shared" si="12"/>
        <v>#N/A</v>
      </c>
      <c r="X38" s="1265"/>
      <c r="Y38" s="3404"/>
      <c r="Z38" s="1264" t="str">
        <f t="shared" si="13"/>
        <v>宗地面积</v>
      </c>
      <c r="AA38" s="1264" t="e">
        <f t="shared" si="3"/>
        <v>#N/A</v>
      </c>
      <c r="AB38" s="1264" t="e">
        <f t="shared" si="4"/>
        <v>#N/A</v>
      </c>
      <c r="AC38" s="1264"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404"/>
      <c r="Q39" s="1263" t="str">
        <f t="shared" ref="Q39:Q45" si="14">B39</f>
        <v>宗地形状</v>
      </c>
      <c r="R39" s="667" t="s">
        <v>14</v>
      </c>
      <c r="S39" s="668">
        <f t="shared" si="10"/>
        <v>100</v>
      </c>
      <c r="T39" s="667" t="s">
        <v>14</v>
      </c>
      <c r="U39" s="668">
        <f t="shared" si="11"/>
        <v>100</v>
      </c>
      <c r="V39" s="667" t="s">
        <v>14</v>
      </c>
      <c r="W39" s="668">
        <f t="shared" si="12"/>
        <v>100</v>
      </c>
      <c r="X39" s="1265"/>
      <c r="Y39" s="3404"/>
      <c r="Z39" s="1264" t="str">
        <f t="shared" si="13"/>
        <v>宗地形状</v>
      </c>
      <c r="AA39" s="1264">
        <f t="shared" si="3"/>
        <v>1</v>
      </c>
      <c r="AB39" s="1264">
        <f t="shared" si="4"/>
        <v>1</v>
      </c>
      <c r="AC39" s="1264">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404"/>
      <c r="Q40" s="1263" t="str">
        <f t="shared" si="14"/>
        <v>临街宽度及深度</v>
      </c>
      <c r="R40" s="667" t="s">
        <v>14</v>
      </c>
      <c r="S40" s="668">
        <f t="shared" si="10"/>
        <v>100</v>
      </c>
      <c r="T40" s="667" t="s">
        <v>14</v>
      </c>
      <c r="U40" s="668">
        <f t="shared" si="11"/>
        <v>100</v>
      </c>
      <c r="V40" s="667" t="s">
        <v>14</v>
      </c>
      <c r="W40" s="668">
        <f t="shared" si="12"/>
        <v>100</v>
      </c>
      <c r="X40" s="1265"/>
      <c r="Y40" s="3404"/>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404"/>
      <c r="Q41" s="1263" t="str">
        <f t="shared" si="14"/>
        <v>宗地开发程度</v>
      </c>
      <c r="R41" s="664" t="s">
        <v>14</v>
      </c>
      <c r="S41" s="665">
        <f t="shared" si="10"/>
        <v>100</v>
      </c>
      <c r="T41" s="664" t="s">
        <v>14</v>
      </c>
      <c r="U41" s="665">
        <f t="shared" si="11"/>
        <v>100</v>
      </c>
      <c r="V41" s="664" t="s">
        <v>14</v>
      </c>
      <c r="W41" s="665">
        <f t="shared" si="12"/>
        <v>100</v>
      </c>
      <c r="X41" s="666"/>
      <c r="Y41" s="3404"/>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404" t="s">
        <v>1696</v>
      </c>
      <c r="Q42" s="1263" t="str">
        <f t="shared" si="14"/>
        <v>工程地质条件</v>
      </c>
      <c r="R42" s="667" t="s">
        <v>14</v>
      </c>
      <c r="S42" s="668">
        <f t="shared" si="10"/>
        <v>100</v>
      </c>
      <c r="T42" s="667" t="s">
        <v>14</v>
      </c>
      <c r="U42" s="668">
        <f t="shared" si="11"/>
        <v>100</v>
      </c>
      <c r="V42" s="667" t="s">
        <v>14</v>
      </c>
      <c r="W42" s="668">
        <f t="shared" si="12"/>
        <v>100</v>
      </c>
      <c r="X42" s="1265"/>
      <c r="Y42" s="340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4"/>
      <c r="Q43" s="1263">
        <f t="shared" si="14"/>
        <v>111</v>
      </c>
      <c r="R43" s="667" t="s">
        <v>14</v>
      </c>
      <c r="S43" s="668">
        <f t="shared" si="10"/>
        <v>100</v>
      </c>
      <c r="T43" s="667" t="s">
        <v>14</v>
      </c>
      <c r="U43" s="668">
        <f t="shared" si="11"/>
        <v>100</v>
      </c>
      <c r="V43" s="667" t="s">
        <v>14</v>
      </c>
      <c r="W43" s="668">
        <f t="shared" si="12"/>
        <v>100</v>
      </c>
      <c r="X43" s="1265"/>
      <c r="Y43" s="340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4"/>
      <c r="Q44" s="1263">
        <f t="shared" si="14"/>
        <v>111</v>
      </c>
      <c r="R44" s="667" t="s">
        <v>14</v>
      </c>
      <c r="S44" s="668">
        <f t="shared" si="10"/>
        <v>100</v>
      </c>
      <c r="T44" s="667" t="s">
        <v>14</v>
      </c>
      <c r="U44" s="668">
        <f t="shared" si="11"/>
        <v>100</v>
      </c>
      <c r="V44" s="667" t="s">
        <v>14</v>
      </c>
      <c r="W44" s="668">
        <f t="shared" si="12"/>
        <v>100</v>
      </c>
      <c r="X44" s="1265"/>
      <c r="Y44" s="3404"/>
      <c r="Z44" s="1264">
        <f t="shared" si="13"/>
        <v>111</v>
      </c>
      <c r="AA44" s="1264">
        <f t="shared" si="3"/>
        <v>1</v>
      </c>
      <c r="AB44" s="1264">
        <f t="shared" si="4"/>
        <v>1</v>
      </c>
      <c r="AC44" s="1264">
        <f t="shared" si="5"/>
        <v>1</v>
      </c>
    </row>
    <row r="45" spans="1:29" s="408" customFormat="1" ht="15.6"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4"/>
      <c r="Q45" s="1263">
        <f t="shared" si="14"/>
        <v>111</v>
      </c>
      <c r="R45" s="669" t="s">
        <v>14</v>
      </c>
      <c r="S45" s="670">
        <f t="shared" si="10"/>
        <v>100</v>
      </c>
      <c r="T45" s="669" t="s">
        <v>14</v>
      </c>
      <c r="U45" s="670">
        <f t="shared" si="11"/>
        <v>100</v>
      </c>
      <c r="V45" s="669" t="s">
        <v>14</v>
      </c>
      <c r="W45" s="670">
        <f t="shared" si="12"/>
        <v>100</v>
      </c>
      <c r="X45" s="671"/>
      <c r="Y45" s="3404"/>
      <c r="Z45" s="672">
        <f t="shared" si="13"/>
        <v>111</v>
      </c>
      <c r="AA45" s="1264">
        <f t="shared" si="3"/>
        <v>1</v>
      </c>
      <c r="AB45" s="1264">
        <f t="shared" si="4"/>
        <v>1</v>
      </c>
      <c r="AC45" s="1264">
        <f t="shared" si="5"/>
        <v>1</v>
      </c>
    </row>
    <row r="46" spans="1:29" ht="14.4">
      <c r="A46" s="416" t="s">
        <v>1844</v>
      </c>
      <c r="B46" s="1828" t="s">
        <v>1879</v>
      </c>
      <c r="C46" s="602" t="s">
        <v>0</v>
      </c>
      <c r="D46" s="418"/>
      <c r="E46" s="419"/>
      <c r="F46" s="420"/>
      <c r="G46" s="421"/>
      <c r="H46" s="422"/>
      <c r="I46" s="419"/>
      <c r="J46" s="422"/>
      <c r="K46" s="674"/>
      <c r="L46" s="2493"/>
      <c r="M46" s="2486"/>
      <c r="N46" s="2486"/>
      <c r="O46" s="2486"/>
      <c r="P46" s="3392" t="str">
        <f>A46</f>
        <v>成交单价</v>
      </c>
      <c r="Q46" s="3392"/>
      <c r="R46" s="3393">
        <f>E46</f>
        <v>0</v>
      </c>
      <c r="S46" s="3393"/>
      <c r="T46" s="3393">
        <f>G46</f>
        <v>0</v>
      </c>
      <c r="U46" s="3393"/>
      <c r="V46" s="3393">
        <f>I46</f>
        <v>0</v>
      </c>
      <c r="W46" s="3393"/>
      <c r="X46" s="385"/>
      <c r="Y46" s="673"/>
      <c r="Z46" s="385"/>
      <c r="AA46" s="385"/>
      <c r="AB46" s="385"/>
      <c r="AC46" s="385"/>
    </row>
    <row r="47" spans="1:29" ht="1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392" t="str">
        <f>A47</f>
        <v>比较价值（元/平方米）</v>
      </c>
      <c r="Q47" s="3392"/>
      <c r="R47" s="3474" t="e">
        <f>ROUND(PRODUCT(R46,AA7:AA45),0)</f>
        <v>#DIV/0!</v>
      </c>
      <c r="S47" s="3474"/>
      <c r="T47" s="3474" t="e">
        <f>ROUND(PRODUCT(T46,AB7:AB45),0)</f>
        <v>#DIV/0!</v>
      </c>
      <c r="U47" s="3474"/>
      <c r="V47" s="3474" t="e">
        <f>ROUND(PRODUCT(V46,AC7:AC45),0)</f>
        <v>#DIV/0!</v>
      </c>
      <c r="W47" s="347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62" t="str">
        <f>A48</f>
        <v>估价对象XX用房的比较价值（楼面单价，元/平方米）</v>
      </c>
      <c r="Q48" s="3463"/>
      <c r="R48" s="3475" t="e">
        <f>ROUND(IF(D47="简单平均",AVERAGE(R47:W47),R47*F47+T47*H47+V47*J47),0)</f>
        <v>#DIV/0!</v>
      </c>
      <c r="S48" s="3475"/>
      <c r="T48" s="3475"/>
      <c r="U48" s="3475"/>
      <c r="V48" s="3475"/>
      <c r="W48" s="347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409" t="s">
        <v>1887</v>
      </c>
      <c r="H55" s="3476"/>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9456.5000000000018</v>
      </c>
      <c r="F56" s="833" t="e">
        <f t="shared" ref="F56:F64" si="15">ROUND(B56*E56/10000,0)</f>
        <v>#DIV/0!</v>
      </c>
      <c r="G56" s="3391"/>
      <c r="H56" s="339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六级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六级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六级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3" t="s">
        <v>1892</v>
      </c>
      <c r="H63" s="834" t="str">
        <f>项目基本情况!B37</f>
        <v>六级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9456.5000000000018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28"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9" t="s">
        <v>1770</v>
      </c>
      <c r="D4" s="3410"/>
      <c r="E4" s="3411" t="s">
        <v>1771</v>
      </c>
      <c r="F4" s="3412"/>
      <c r="G4" s="3409" t="s">
        <v>1772</v>
      </c>
      <c r="H4" s="3410"/>
      <c r="I4" s="3409" t="s">
        <v>1773</v>
      </c>
      <c r="J4" s="3410"/>
      <c r="K4" s="537" t="s">
        <v>1774</v>
      </c>
      <c r="L4" s="2485"/>
      <c r="M4" s="2486"/>
      <c r="N4" s="2486"/>
      <c r="O4" s="2486"/>
      <c r="P4" s="3466" t="s">
        <v>1775</v>
      </c>
      <c r="Q4" s="3467"/>
      <c r="R4" s="3470" t="s">
        <v>1771</v>
      </c>
      <c r="S4" s="3471"/>
      <c r="T4" s="3470" t="s">
        <v>1772</v>
      </c>
      <c r="U4" s="3471"/>
      <c r="V4" s="3393" t="s">
        <v>1773</v>
      </c>
      <c r="W4" s="3393"/>
      <c r="X4" s="1265"/>
      <c r="Y4" s="3470" t="s">
        <v>1775</v>
      </c>
      <c r="Z4" s="3471"/>
      <c r="AA4" s="3465" t="s">
        <v>1771</v>
      </c>
      <c r="AB4" s="3437" t="s">
        <v>1772</v>
      </c>
      <c r="AC4" s="3465" t="s">
        <v>1773</v>
      </c>
    </row>
    <row r="5" spans="1:29">
      <c r="A5" s="348"/>
      <c r="B5" s="349"/>
      <c r="C5" s="3428" t="s">
        <v>1673</v>
      </c>
      <c r="D5" s="3429"/>
      <c r="E5" s="3439" t="s">
        <v>1674</v>
      </c>
      <c r="F5" s="3440"/>
      <c r="G5" s="3428" t="s">
        <v>1675</v>
      </c>
      <c r="H5" s="3429"/>
      <c r="I5" s="3428" t="s">
        <v>1676</v>
      </c>
      <c r="J5" s="3429"/>
      <c r="K5" s="537"/>
      <c r="L5" s="2485"/>
      <c r="M5" s="2486"/>
      <c r="N5" s="2486"/>
      <c r="O5" s="2486"/>
      <c r="P5" s="3468"/>
      <c r="Q5" s="3416"/>
      <c r="R5" s="3421"/>
      <c r="S5" s="3422"/>
      <c r="T5" s="3421"/>
      <c r="U5" s="3422"/>
      <c r="V5" s="3393"/>
      <c r="W5" s="3393"/>
      <c r="X5" s="1265"/>
      <c r="Y5" s="3421"/>
      <c r="Z5" s="3422"/>
      <c r="AA5" s="3437"/>
      <c r="AB5" s="3437"/>
      <c r="AC5" s="3437"/>
    </row>
    <row r="6" spans="1:29" ht="15" thickBot="1">
      <c r="A6" s="350"/>
      <c r="B6" s="351"/>
      <c r="C6" s="3477" t="s">
        <v>1919</v>
      </c>
      <c r="D6" s="3478"/>
      <c r="E6" s="3479" t="s">
        <v>1919</v>
      </c>
      <c r="F6" s="3480"/>
      <c r="G6" s="3477" t="s">
        <v>1919</v>
      </c>
      <c r="H6" s="3478"/>
      <c r="I6" s="3477" t="s">
        <v>1919</v>
      </c>
      <c r="J6" s="3478"/>
      <c r="K6" s="537" t="s">
        <v>1678</v>
      </c>
      <c r="L6" s="2485"/>
      <c r="M6" s="2486"/>
      <c r="N6" s="2486"/>
      <c r="O6" s="2486"/>
      <c r="P6" s="3469"/>
      <c r="Q6" s="3418"/>
      <c r="R6" s="3421"/>
      <c r="S6" s="3422"/>
      <c r="T6" s="3423"/>
      <c r="U6" s="3424"/>
      <c r="V6" s="3393"/>
      <c r="W6" s="3393"/>
      <c r="X6" s="1265"/>
      <c r="Y6" s="3423"/>
      <c r="Z6" s="3424"/>
      <c r="AA6" s="3438"/>
      <c r="AB6" s="3438"/>
      <c r="AC6" s="3438"/>
    </row>
    <row r="7" spans="1:29" s="102" customFormat="1" ht="15" thickBot="1">
      <c r="A7" s="352" t="s">
        <v>1679</v>
      </c>
      <c r="B7" s="353"/>
      <c r="C7" s="354">
        <f>'数据-取费表'!B2</f>
        <v>46013</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32" t="s">
        <v>1680</v>
      </c>
      <c r="Q7" s="3433"/>
      <c r="R7" s="664" t="s">
        <v>14</v>
      </c>
      <c r="S7" s="665">
        <f t="shared" ref="S7:S15" si="0">F7</f>
        <v>0</v>
      </c>
      <c r="T7" s="664" t="s">
        <v>14</v>
      </c>
      <c r="U7" s="665">
        <f t="shared" ref="U7:U15" si="1">H7</f>
        <v>0</v>
      </c>
      <c r="V7" s="664" t="s">
        <v>14</v>
      </c>
      <c r="W7" s="665">
        <f t="shared" ref="W7:W15" si="2">J7</f>
        <v>0</v>
      </c>
      <c r="X7" s="666"/>
      <c r="Y7" s="3432" t="s">
        <v>1680</v>
      </c>
      <c r="Z7" s="343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32" t="s">
        <v>1683</v>
      </c>
      <c r="Q8" s="3431"/>
      <c r="R8" s="664" t="s">
        <v>14</v>
      </c>
      <c r="S8" s="665">
        <f t="shared" si="0"/>
        <v>0</v>
      </c>
      <c r="T8" s="664" t="s">
        <v>14</v>
      </c>
      <c r="U8" s="665">
        <f t="shared" si="1"/>
        <v>0</v>
      </c>
      <c r="V8" s="664" t="s">
        <v>14</v>
      </c>
      <c r="W8" s="665">
        <f t="shared" si="2"/>
        <v>0</v>
      </c>
      <c r="X8" s="666"/>
      <c r="Y8" s="3432" t="s">
        <v>1683</v>
      </c>
      <c r="Z8" s="3431"/>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92"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106</v>
      </c>
      <c r="G10" s="371"/>
      <c r="H10" s="119">
        <f>ROUND(100/'数据-取费表'!G16,0)</f>
        <v>106</v>
      </c>
      <c r="I10" s="371"/>
      <c r="J10" s="119">
        <f>ROUND(100/'数据-取费表'!G16,0)</f>
        <v>106</v>
      </c>
      <c r="K10" s="592"/>
      <c r="L10" s="2488"/>
      <c r="M10" s="2489"/>
      <c r="N10" s="2489"/>
      <c r="O10" s="2540"/>
      <c r="P10" s="3392"/>
      <c r="Q10" s="530" t="str">
        <f t="shared" si="6"/>
        <v>土地使用年限（年）</v>
      </c>
      <c r="R10" s="664" t="s">
        <v>14</v>
      </c>
      <c r="S10" s="665">
        <f t="shared" si="0"/>
        <v>106</v>
      </c>
      <c r="T10" s="664" t="s">
        <v>14</v>
      </c>
      <c r="U10" s="665">
        <f t="shared" si="1"/>
        <v>106</v>
      </c>
      <c r="V10" s="664" t="s">
        <v>14</v>
      </c>
      <c r="W10" s="665">
        <f t="shared" si="2"/>
        <v>106</v>
      </c>
      <c r="X10" s="666"/>
      <c r="Y10" s="3271"/>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2"/>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92"/>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2"/>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6"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2"/>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69">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9" t="s">
        <v>1691</v>
      </c>
      <c r="Q15" s="1263" t="str">
        <f t="shared" si="6"/>
        <v>产业集聚程度</v>
      </c>
      <c r="R15" s="667" t="s">
        <v>14</v>
      </c>
      <c r="S15" s="668">
        <f t="shared" si="0"/>
        <v>100</v>
      </c>
      <c r="T15" s="667" t="s">
        <v>14</v>
      </c>
      <c r="U15" s="668">
        <f t="shared" si="1"/>
        <v>100</v>
      </c>
      <c r="V15" s="667" t="s">
        <v>14</v>
      </c>
      <c r="W15" s="668">
        <f t="shared" si="2"/>
        <v>100</v>
      </c>
      <c r="X15" s="1265"/>
      <c r="Y15" s="3399" t="s">
        <v>1691</v>
      </c>
      <c r="Z15" s="1264" t="str">
        <f t="shared" si="7"/>
        <v>产业集聚程度</v>
      </c>
      <c r="AA15" s="1264">
        <f t="shared" si="3"/>
        <v>1</v>
      </c>
      <c r="AB15" s="1264">
        <f t="shared" si="4"/>
        <v>1</v>
      </c>
      <c r="AC15" s="1264">
        <f t="shared" si="5"/>
        <v>1</v>
      </c>
    </row>
    <row r="16" spans="1:29" ht="15">
      <c r="A16" s="367"/>
      <c r="B16" s="555"/>
      <c r="C16" s="386"/>
      <c r="D16" s="387"/>
      <c r="E16" s="1756"/>
      <c r="F16" s="387"/>
      <c r="G16" s="1756"/>
      <c r="H16" s="389"/>
      <c r="I16" s="1756"/>
      <c r="J16" s="387"/>
      <c r="K16" s="592"/>
      <c r="L16" s="2491"/>
      <c r="M16" s="2486"/>
      <c r="N16" s="2486"/>
      <c r="O16" s="2541"/>
      <c r="P16" s="3400"/>
      <c r="Q16" s="1263"/>
      <c r="R16" s="667"/>
      <c r="S16" s="668"/>
      <c r="T16" s="667"/>
      <c r="U16" s="668"/>
      <c r="V16" s="667"/>
      <c r="W16" s="668"/>
      <c r="X16" s="1265"/>
      <c r="Y16" s="3400"/>
      <c r="Z16" s="1264"/>
      <c r="AA16" s="1264">
        <v>1</v>
      </c>
      <c r="AB16" s="1264">
        <v>1</v>
      </c>
      <c r="AC16" s="1264">
        <v>1</v>
      </c>
    </row>
    <row r="17" spans="1:29" ht="96.6">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0"/>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401"/>
      <c r="C18" s="386"/>
      <c r="D18" s="387"/>
      <c r="E18" s="1750"/>
      <c r="F18" s="387"/>
      <c r="G18" s="1750"/>
      <c r="H18" s="387"/>
      <c r="I18" s="1749"/>
      <c r="J18" s="387"/>
      <c r="K18" s="592"/>
      <c r="L18" s="2491"/>
      <c r="M18" s="2486"/>
      <c r="N18" s="2486"/>
      <c r="O18" s="2541"/>
      <c r="P18" s="3400"/>
      <c r="Q18" s="1263"/>
      <c r="R18" s="667"/>
      <c r="S18" s="668"/>
      <c r="T18" s="667"/>
      <c r="U18" s="668"/>
      <c r="V18" s="667"/>
      <c r="W18" s="668"/>
      <c r="X18" s="1265"/>
      <c r="Y18" s="3400"/>
      <c r="Z18" s="1264"/>
      <c r="AA18" s="1264">
        <v>1</v>
      </c>
      <c r="AB18" s="1264">
        <v>1</v>
      </c>
      <c r="AC18" s="1264">
        <v>1</v>
      </c>
    </row>
    <row r="19" spans="1:29" ht="28.8">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0"/>
      <c r="Q19" s="1263" t="str">
        <f t="shared" ref="Q19:Q33" si="8">B19</f>
        <v>区域土地利用方向</v>
      </c>
      <c r="R19" s="667" t="s">
        <v>14</v>
      </c>
      <c r="S19" s="668">
        <f>F19</f>
        <v>100</v>
      </c>
      <c r="T19" s="667" t="s">
        <v>14</v>
      </c>
      <c r="U19" s="668">
        <f>H19</f>
        <v>100</v>
      </c>
      <c r="V19" s="667" t="s">
        <v>14</v>
      </c>
      <c r="W19" s="668">
        <f>J19</f>
        <v>100</v>
      </c>
      <c r="X19" s="1265"/>
      <c r="Y19" s="3400"/>
      <c r="Z19" s="1264" t="str">
        <f>Q19</f>
        <v>区域土地利用方向</v>
      </c>
      <c r="AA19" s="1264">
        <f t="shared" si="3"/>
        <v>1</v>
      </c>
      <c r="AB19" s="1264">
        <f t="shared" si="4"/>
        <v>1</v>
      </c>
      <c r="AC19" s="1264">
        <f t="shared" si="5"/>
        <v>1</v>
      </c>
    </row>
    <row r="20" spans="1:29" ht="15">
      <c r="A20" s="348"/>
      <c r="B20" s="401"/>
      <c r="C20" s="386"/>
      <c r="D20" s="387"/>
      <c r="E20" s="1750"/>
      <c r="F20" s="387"/>
      <c r="G20" s="1750"/>
      <c r="H20" s="387"/>
      <c r="I20" s="1750"/>
      <c r="J20" s="387"/>
      <c r="K20" s="698"/>
      <c r="L20" s="2491"/>
      <c r="M20" s="2486"/>
      <c r="N20" s="2486"/>
      <c r="O20" s="2541"/>
      <c r="P20" s="3400"/>
      <c r="Q20" s="1263"/>
      <c r="R20" s="667"/>
      <c r="S20" s="668"/>
      <c r="T20" s="667"/>
      <c r="U20" s="668"/>
      <c r="V20" s="667"/>
      <c r="W20" s="668"/>
      <c r="X20" s="1265"/>
      <c r="Y20" s="3400"/>
      <c r="Z20" s="1264"/>
      <c r="AA20" s="1264"/>
      <c r="AB20" s="1264"/>
      <c r="AC20" s="1264"/>
    </row>
    <row r="21" spans="1:29" ht="82.8">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0"/>
      <c r="Q21" s="1263" t="str">
        <f t="shared" si="8"/>
        <v>环境状况</v>
      </c>
      <c r="R21" s="667" t="s">
        <v>14</v>
      </c>
      <c r="S21" s="668">
        <f>F21</f>
        <v>100</v>
      </c>
      <c r="T21" s="667" t="s">
        <v>14</v>
      </c>
      <c r="U21" s="668">
        <f>H21</f>
        <v>100</v>
      </c>
      <c r="V21" s="667" t="s">
        <v>14</v>
      </c>
      <c r="W21" s="668">
        <f>J21</f>
        <v>100</v>
      </c>
      <c r="X21" s="1265"/>
      <c r="Y21" s="3400"/>
      <c r="Z21" s="1264" t="str">
        <f>Q21</f>
        <v>环境状况</v>
      </c>
      <c r="AA21" s="1264">
        <f t="shared" si="3"/>
        <v>1</v>
      </c>
      <c r="AB21" s="1264">
        <f t="shared" si="4"/>
        <v>1</v>
      </c>
      <c r="AC21" s="1264">
        <f t="shared" si="5"/>
        <v>1</v>
      </c>
    </row>
    <row r="22" spans="1:29" ht="15">
      <c r="A22" s="348"/>
      <c r="B22" s="401"/>
      <c r="C22" s="386"/>
      <c r="D22" s="387"/>
      <c r="E22" s="1756"/>
      <c r="F22" s="387"/>
      <c r="G22" s="1756"/>
      <c r="H22" s="387"/>
      <c r="I22" s="386"/>
      <c r="J22" s="387"/>
      <c r="K22" s="592"/>
      <c r="L22" s="2491"/>
      <c r="M22" s="2486"/>
      <c r="N22" s="2486"/>
      <c r="O22" s="2541"/>
      <c r="P22" s="3400"/>
      <c r="Q22" s="1263"/>
      <c r="R22" s="667"/>
      <c r="S22" s="668"/>
      <c r="T22" s="667"/>
      <c r="U22" s="668"/>
      <c r="V22" s="667"/>
      <c r="W22" s="668"/>
      <c r="X22" s="1265"/>
      <c r="Y22" s="3400"/>
      <c r="Z22" s="1264"/>
      <c r="AA22" s="1264">
        <v>1</v>
      </c>
      <c r="AB22" s="1264">
        <v>1</v>
      </c>
      <c r="AC22" s="1264">
        <v>1</v>
      </c>
    </row>
    <row r="23" spans="1:29" s="102" customFormat="1" ht="41.4">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00"/>
      <c r="Q23" s="530" t="str">
        <f t="shared" si="8"/>
        <v>公共配套设施</v>
      </c>
      <c r="R23" s="664" t="s">
        <v>14</v>
      </c>
      <c r="S23" s="665">
        <f>F23</f>
        <v>100</v>
      </c>
      <c r="T23" s="664" t="s">
        <v>14</v>
      </c>
      <c r="U23" s="665">
        <f>H23</f>
        <v>100</v>
      </c>
      <c r="V23" s="664" t="s">
        <v>14</v>
      </c>
      <c r="W23" s="665">
        <f>J23</f>
        <v>100</v>
      </c>
      <c r="X23" s="666"/>
      <c r="Y23" s="3400"/>
      <c r="Z23" s="50" t="str">
        <f>Q23</f>
        <v>公共配套设施</v>
      </c>
      <c r="AA23" s="1264">
        <f>D23/F23</f>
        <v>1</v>
      </c>
      <c r="AB23" s="1264">
        <f>D23/H23</f>
        <v>1</v>
      </c>
      <c r="AC23" s="1264">
        <f>D23/J23</f>
        <v>1</v>
      </c>
    </row>
    <row r="24" spans="1:29" s="102" customFormat="1" ht="15">
      <c r="A24" s="443"/>
      <c r="B24" s="401"/>
      <c r="C24" s="1824"/>
      <c r="D24" s="387"/>
      <c r="E24" s="1756"/>
      <c r="F24" s="387"/>
      <c r="G24" s="1756"/>
      <c r="H24" s="387"/>
      <c r="I24" s="386"/>
      <c r="J24" s="387"/>
      <c r="K24" s="592"/>
      <c r="L24" s="2487"/>
      <c r="M24" s="2438"/>
      <c r="N24" s="2438"/>
      <c r="O24" s="2539"/>
      <c r="P24" s="3400"/>
      <c r="Q24" s="530"/>
      <c r="R24" s="664"/>
      <c r="S24" s="665"/>
      <c r="T24" s="664"/>
      <c r="U24" s="665"/>
      <c r="V24" s="664"/>
      <c r="W24" s="665"/>
      <c r="X24" s="666"/>
      <c r="Y24" s="3400"/>
      <c r="Z24" s="50"/>
      <c r="AA24" s="50">
        <v>1</v>
      </c>
      <c r="AB24" s="50">
        <v>1</v>
      </c>
      <c r="AC24" s="50">
        <v>1</v>
      </c>
    </row>
    <row r="25" spans="1:29" s="102" customFormat="1" ht="41.4">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00"/>
      <c r="Q25" s="530" t="str">
        <f t="shared" ref="Q25" si="9">B25</f>
        <v>基础设施水平</v>
      </c>
      <c r="R25" s="664" t="s">
        <v>14</v>
      </c>
      <c r="S25" s="665">
        <f>F25</f>
        <v>100</v>
      </c>
      <c r="T25" s="664" t="s">
        <v>14</v>
      </c>
      <c r="U25" s="665">
        <f>H25</f>
        <v>100</v>
      </c>
      <c r="V25" s="664" t="s">
        <v>14</v>
      </c>
      <c r="W25" s="665">
        <f>J25</f>
        <v>100</v>
      </c>
      <c r="X25" s="666"/>
      <c r="Y25" s="3400"/>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400"/>
      <c r="Q26" s="530"/>
      <c r="R26" s="664"/>
      <c r="S26" s="665"/>
      <c r="T26" s="664"/>
      <c r="U26" s="665"/>
      <c r="V26" s="664"/>
      <c r="W26" s="665"/>
      <c r="X26" s="666"/>
      <c r="Y26" s="340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0"/>
      <c r="Z27" s="1264" t="str">
        <f t="shared" ref="Z27:Z40" si="13">Q27</f>
        <v>临街状况</v>
      </c>
      <c r="AA27" s="1264">
        <f t="shared" si="3"/>
        <v>1</v>
      </c>
      <c r="AB27" s="1264">
        <f t="shared" si="4"/>
        <v>1</v>
      </c>
      <c r="AC27" s="1264">
        <f t="shared" si="5"/>
        <v>1</v>
      </c>
    </row>
    <row r="28" spans="1:29" ht="28.8">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0"/>
      <c r="Q28" s="1263" t="str">
        <f t="shared" si="8"/>
        <v>毗邻道路的类型与等级</v>
      </c>
      <c r="R28" s="667" t="s">
        <v>14</v>
      </c>
      <c r="S28" s="668">
        <f t="shared" si="10"/>
        <v>100</v>
      </c>
      <c r="T28" s="667" t="s">
        <v>14</v>
      </c>
      <c r="U28" s="668">
        <f t="shared" si="11"/>
        <v>100</v>
      </c>
      <c r="V28" s="667" t="s">
        <v>14</v>
      </c>
      <c r="W28" s="668">
        <f t="shared" si="12"/>
        <v>100</v>
      </c>
      <c r="X28" s="1265"/>
      <c r="Y28" s="3400"/>
      <c r="Z28" s="1264" t="str">
        <f t="shared" si="13"/>
        <v>毗邻道路的类型与等级</v>
      </c>
      <c r="AA28" s="1264">
        <f t="shared" si="3"/>
        <v>1</v>
      </c>
      <c r="AB28" s="1264">
        <f t="shared" si="4"/>
        <v>1</v>
      </c>
      <c r="AC28" s="1264">
        <f t="shared" si="5"/>
        <v>1</v>
      </c>
    </row>
    <row r="29" spans="1:29" ht="15">
      <c r="A29" s="367"/>
      <c r="B29" s="401"/>
      <c r="C29" s="386"/>
      <c r="D29" s="387"/>
      <c r="E29" s="1756"/>
      <c r="F29" s="387"/>
      <c r="G29" s="1756"/>
      <c r="H29" s="387"/>
      <c r="I29" s="1756"/>
      <c r="J29" s="387"/>
      <c r="K29" s="539"/>
      <c r="L29" s="2491"/>
      <c r="M29" s="2486"/>
      <c r="N29" s="2486"/>
      <c r="O29" s="2541"/>
      <c r="P29" s="3400"/>
      <c r="Q29" s="1263"/>
      <c r="R29" s="667"/>
      <c r="S29" s="668"/>
      <c r="T29" s="667"/>
      <c r="U29" s="668"/>
      <c r="V29" s="667"/>
      <c r="W29" s="668"/>
      <c r="X29" s="1265"/>
      <c r="Y29" s="340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0"/>
      <c r="Q30" s="1263" t="str">
        <f t="shared" si="8"/>
        <v>土地级别</v>
      </c>
      <c r="R30" s="667" t="s">
        <v>14</v>
      </c>
      <c r="S30" s="668">
        <f t="shared" si="10"/>
        <v>100</v>
      </c>
      <c r="T30" s="667" t="s">
        <v>14</v>
      </c>
      <c r="U30" s="668">
        <f t="shared" si="11"/>
        <v>100</v>
      </c>
      <c r="V30" s="667" t="s">
        <v>14</v>
      </c>
      <c r="W30" s="668">
        <f t="shared" si="12"/>
        <v>100</v>
      </c>
      <c r="X30" s="1265"/>
      <c r="Y30" s="340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0"/>
      <c r="Q31" s="1263">
        <f t="shared" si="8"/>
        <v>111</v>
      </c>
      <c r="R31" s="667" t="s">
        <v>14</v>
      </c>
      <c r="S31" s="668">
        <f t="shared" si="10"/>
        <v>100</v>
      </c>
      <c r="T31" s="667" t="s">
        <v>14</v>
      </c>
      <c r="U31" s="668">
        <f t="shared" si="11"/>
        <v>100</v>
      </c>
      <c r="V31" s="667" t="s">
        <v>14</v>
      </c>
      <c r="W31" s="668">
        <f t="shared" si="12"/>
        <v>100</v>
      </c>
      <c r="X31" s="1265"/>
      <c r="Y31" s="3400"/>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72" t="s">
        <v>1696</v>
      </c>
      <c r="Q32" s="1263">
        <f t="shared" si="8"/>
        <v>111</v>
      </c>
      <c r="R32" s="667" t="s">
        <v>14</v>
      </c>
      <c r="S32" s="668">
        <f t="shared" si="10"/>
        <v>100</v>
      </c>
      <c r="T32" s="667" t="s">
        <v>14</v>
      </c>
      <c r="U32" s="668">
        <f t="shared" si="11"/>
        <v>100</v>
      </c>
      <c r="V32" s="667" t="s">
        <v>14</v>
      </c>
      <c r="W32" s="668">
        <f t="shared" si="12"/>
        <v>100</v>
      </c>
      <c r="X32" s="1265"/>
      <c r="Y32" s="3404" t="s">
        <v>1696</v>
      </c>
      <c r="Z32" s="1264">
        <f t="shared" si="13"/>
        <v>111</v>
      </c>
      <c r="AA32" s="1264">
        <f t="shared" si="3"/>
        <v>1</v>
      </c>
      <c r="AB32" s="1264">
        <f t="shared" si="4"/>
        <v>1</v>
      </c>
      <c r="AC32" s="1264">
        <f t="shared" si="5"/>
        <v>1</v>
      </c>
    </row>
    <row r="33" spans="1:31" s="408" customFormat="1" ht="15.6"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4"/>
      <c r="Q33" s="1263">
        <f t="shared" si="8"/>
        <v>111</v>
      </c>
      <c r="R33" s="669" t="s">
        <v>14</v>
      </c>
      <c r="S33" s="670">
        <f t="shared" si="10"/>
        <v>100</v>
      </c>
      <c r="T33" s="669" t="s">
        <v>14</v>
      </c>
      <c r="U33" s="670">
        <f t="shared" si="11"/>
        <v>100</v>
      </c>
      <c r="V33" s="669" t="s">
        <v>14</v>
      </c>
      <c r="W33" s="670">
        <f t="shared" si="12"/>
        <v>100</v>
      </c>
      <c r="X33" s="671"/>
      <c r="Y33" s="340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4"/>
      <c r="Q34" s="1263" t="str">
        <f>B34</f>
        <v>宗地面积</v>
      </c>
      <c r="R34" s="667" t="s">
        <v>14</v>
      </c>
      <c r="S34" s="668" t="e">
        <f t="shared" si="10"/>
        <v>#N/A</v>
      </c>
      <c r="T34" s="667" t="s">
        <v>14</v>
      </c>
      <c r="U34" s="668" t="e">
        <f t="shared" si="11"/>
        <v>#N/A</v>
      </c>
      <c r="V34" s="667" t="s">
        <v>14</v>
      </c>
      <c r="W34" s="668" t="e">
        <f t="shared" si="12"/>
        <v>#N/A</v>
      </c>
      <c r="X34" s="1265"/>
      <c r="Y34" s="3404"/>
      <c r="Z34" s="1264" t="str">
        <f t="shared" si="13"/>
        <v>宗地面积</v>
      </c>
      <c r="AA34" s="1264" t="e">
        <f t="shared" si="3"/>
        <v>#N/A</v>
      </c>
      <c r="AB34" s="1264" t="e">
        <f t="shared" si="4"/>
        <v>#N/A</v>
      </c>
      <c r="AC34" s="1264"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404"/>
      <c r="Q35" s="1263" t="str">
        <f t="shared" ref="Q35:Q40" si="14">B35</f>
        <v>宗地形状</v>
      </c>
      <c r="R35" s="667" t="s">
        <v>14</v>
      </c>
      <c r="S35" s="668">
        <f t="shared" si="10"/>
        <v>100</v>
      </c>
      <c r="T35" s="667" t="s">
        <v>14</v>
      </c>
      <c r="U35" s="668">
        <f t="shared" si="11"/>
        <v>100</v>
      </c>
      <c r="V35" s="667" t="s">
        <v>14</v>
      </c>
      <c r="W35" s="668">
        <f t="shared" si="12"/>
        <v>100</v>
      </c>
      <c r="X35" s="1265"/>
      <c r="Y35" s="3404"/>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404"/>
      <c r="Q36" s="1263" t="str">
        <f t="shared" si="14"/>
        <v>宗地开发程度</v>
      </c>
      <c r="R36" s="664" t="s">
        <v>14</v>
      </c>
      <c r="S36" s="665">
        <f t="shared" si="10"/>
        <v>100</v>
      </c>
      <c r="T36" s="664" t="s">
        <v>14</v>
      </c>
      <c r="U36" s="665">
        <f t="shared" si="11"/>
        <v>100</v>
      </c>
      <c r="V36" s="664" t="s">
        <v>14</v>
      </c>
      <c r="W36" s="665">
        <f t="shared" si="12"/>
        <v>100</v>
      </c>
      <c r="X36" s="666"/>
      <c r="Y36" s="3404"/>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404" t="s">
        <v>1696</v>
      </c>
      <c r="Q37" s="1263" t="str">
        <f t="shared" si="14"/>
        <v>工程地质条件</v>
      </c>
      <c r="R37" s="667" t="s">
        <v>14</v>
      </c>
      <c r="S37" s="668">
        <f t="shared" si="10"/>
        <v>100</v>
      </c>
      <c r="T37" s="667" t="s">
        <v>14</v>
      </c>
      <c r="U37" s="668">
        <f t="shared" si="11"/>
        <v>100</v>
      </c>
      <c r="V37" s="667" t="s">
        <v>14</v>
      </c>
      <c r="W37" s="668">
        <f t="shared" si="12"/>
        <v>100</v>
      </c>
      <c r="X37" s="1265"/>
      <c r="Y37" s="340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4"/>
      <c r="Q38" s="1263">
        <f t="shared" si="14"/>
        <v>111</v>
      </c>
      <c r="R38" s="667" t="s">
        <v>14</v>
      </c>
      <c r="S38" s="668">
        <f t="shared" si="10"/>
        <v>100</v>
      </c>
      <c r="T38" s="667" t="s">
        <v>14</v>
      </c>
      <c r="U38" s="668">
        <f t="shared" si="11"/>
        <v>100</v>
      </c>
      <c r="V38" s="667" t="s">
        <v>14</v>
      </c>
      <c r="W38" s="668">
        <f t="shared" si="12"/>
        <v>100</v>
      </c>
      <c r="X38" s="1265"/>
      <c r="Y38" s="340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4"/>
      <c r="Q39" s="1263">
        <f t="shared" si="14"/>
        <v>111</v>
      </c>
      <c r="R39" s="667" t="s">
        <v>14</v>
      </c>
      <c r="S39" s="668">
        <f t="shared" si="10"/>
        <v>100</v>
      </c>
      <c r="T39" s="667" t="s">
        <v>14</v>
      </c>
      <c r="U39" s="668">
        <f t="shared" si="11"/>
        <v>100</v>
      </c>
      <c r="V39" s="667" t="s">
        <v>14</v>
      </c>
      <c r="W39" s="668">
        <f t="shared" si="12"/>
        <v>100</v>
      </c>
      <c r="X39" s="1265"/>
      <c r="Y39" s="3404"/>
      <c r="Z39" s="1264">
        <f t="shared" si="13"/>
        <v>111</v>
      </c>
      <c r="AA39" s="1264">
        <f t="shared" si="3"/>
        <v>1</v>
      </c>
      <c r="AB39" s="1264">
        <f t="shared" si="4"/>
        <v>1</v>
      </c>
      <c r="AC39" s="1264">
        <f t="shared" si="5"/>
        <v>1</v>
      </c>
    </row>
    <row r="40" spans="1:31" s="408" customFormat="1" ht="15.6"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4"/>
      <c r="Q40" s="1263">
        <f t="shared" si="14"/>
        <v>111</v>
      </c>
      <c r="R40" s="669" t="s">
        <v>14</v>
      </c>
      <c r="S40" s="670">
        <f t="shared" si="10"/>
        <v>100</v>
      </c>
      <c r="T40" s="669" t="s">
        <v>14</v>
      </c>
      <c r="U40" s="670">
        <f t="shared" si="11"/>
        <v>100</v>
      </c>
      <c r="V40" s="669" t="s">
        <v>14</v>
      </c>
      <c r="W40" s="670">
        <f t="shared" si="12"/>
        <v>100</v>
      </c>
      <c r="X40" s="671"/>
      <c r="Y40" s="3404"/>
      <c r="Z40" s="672">
        <f t="shared" si="13"/>
        <v>111</v>
      </c>
      <c r="AA40" s="1264">
        <f t="shared" si="3"/>
        <v>1</v>
      </c>
      <c r="AB40" s="1264">
        <f t="shared" si="4"/>
        <v>1</v>
      </c>
      <c r="AC40" s="1264">
        <f t="shared" si="5"/>
        <v>1</v>
      </c>
    </row>
    <row r="41" spans="1:31" ht="14.4">
      <c r="A41" s="416" t="s">
        <v>1844</v>
      </c>
      <c r="B41" s="1828" t="s">
        <v>1922</v>
      </c>
      <c r="C41" s="602" t="s">
        <v>0</v>
      </c>
      <c r="D41" s="418"/>
      <c r="E41" s="419"/>
      <c r="F41" s="420"/>
      <c r="G41" s="421"/>
      <c r="H41" s="422"/>
      <c r="I41" s="419"/>
      <c r="J41" s="422"/>
      <c r="K41" s="674"/>
      <c r="L41" s="2493"/>
      <c r="M41" s="2486"/>
      <c r="N41" s="2486"/>
      <c r="O41" s="2486"/>
      <c r="P41" s="3392" t="str">
        <f>A41</f>
        <v>成交单价</v>
      </c>
      <c r="Q41" s="3392"/>
      <c r="R41" s="3393">
        <f>E41</f>
        <v>0</v>
      </c>
      <c r="S41" s="3393"/>
      <c r="T41" s="3393">
        <f>G41</f>
        <v>0</v>
      </c>
      <c r="U41" s="3393"/>
      <c r="V41" s="3393">
        <f>I41</f>
        <v>0</v>
      </c>
      <c r="W41" s="3393"/>
      <c r="X41" s="385"/>
      <c r="Y41" s="673"/>
      <c r="Z41" s="385"/>
      <c r="AA41" s="385"/>
      <c r="AB41" s="385"/>
      <c r="AC41" s="385"/>
    </row>
    <row r="42" spans="1:31" ht="1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392" t="str">
        <f>A42</f>
        <v>比较价值（元/平方米）</v>
      </c>
      <c r="Q42" s="3392"/>
      <c r="R42" s="3474" t="e">
        <f>ROUND(PRODUCT(R41,AA7:AA40),0)</f>
        <v>#DIV/0!</v>
      </c>
      <c r="S42" s="3474"/>
      <c r="T42" s="3474" t="e">
        <f>ROUND(PRODUCT(T41,AB7:AB40),0)</f>
        <v>#DIV/0!</v>
      </c>
      <c r="U42" s="3474"/>
      <c r="V42" s="3474" t="e">
        <f>ROUND(PRODUCT(V41,AC7:AC40),0)</f>
        <v>#DIV/0!</v>
      </c>
      <c r="W42" s="347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62" t="str">
        <f>A43</f>
        <v>估价对象XX用房的比较价值（楼面单价，元/平方米）</v>
      </c>
      <c r="Q43" s="3463"/>
      <c r="R43" s="3475" t="e">
        <f>ROUND(IF(D42="简单平均",AVERAGE(R42:W42),R42*F42+T42*H42+V42*J42),0)</f>
        <v>#DIV/0!</v>
      </c>
      <c r="S43" s="3475"/>
      <c r="T43" s="3475"/>
      <c r="U43" s="3475"/>
      <c r="V43" s="3475"/>
      <c r="W43" s="347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29" t="s">
        <v>1883</v>
      </c>
      <c r="D50" s="1830" t="s">
        <v>1884</v>
      </c>
      <c r="E50" s="606" t="s">
        <v>1885</v>
      </c>
      <c r="F50" s="607" t="s">
        <v>1886</v>
      </c>
      <c r="G50" s="3409" t="s">
        <v>1887</v>
      </c>
      <c r="H50" s="3476"/>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9456.5000000000018</v>
      </c>
      <c r="F51" s="611" t="e">
        <f t="shared" ref="F51:F60" si="15">ROUND(B51*E51/10000,0)</f>
        <v>#DIV/0!</v>
      </c>
      <c r="G51" s="3391"/>
      <c r="H51" s="339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六级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六级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六级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3" t="s">
        <v>1892</v>
      </c>
      <c r="H59" s="834" t="str">
        <f>项目基本情况!B37</f>
        <v>六级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28"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4" t="s">
        <v>2084</v>
      </c>
      <c r="D1" s="3485"/>
      <c r="E1" s="3485"/>
      <c r="F1" s="3485"/>
      <c r="G1" s="3485"/>
      <c r="H1" s="3485"/>
      <c r="I1" s="3485"/>
      <c r="J1" s="3485"/>
      <c r="K1" s="3485"/>
      <c r="L1" s="3485"/>
      <c r="M1" s="3485"/>
      <c r="N1" s="3485"/>
      <c r="O1" s="3485"/>
      <c r="P1" s="3485"/>
      <c r="Q1" s="3485"/>
      <c r="R1" s="3485"/>
      <c r="S1" s="348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1" t="s">
        <v>27</v>
      </c>
      <c r="D22" s="3482"/>
      <c r="E22" s="3482"/>
      <c r="F22" s="3482"/>
      <c r="G22" s="3482"/>
      <c r="H22" s="3482"/>
      <c r="I22" s="3482"/>
      <c r="J22" s="3482"/>
      <c r="K22" s="3482"/>
      <c r="L22" s="3482"/>
      <c r="M22" s="3482"/>
      <c r="N22" s="3482"/>
      <c r="O22" s="3482"/>
      <c r="P22" s="3482"/>
      <c r="Q22" s="348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3" t="s">
        <v>2081</v>
      </c>
      <c r="B1" s="4"/>
      <c r="C1" s="4"/>
      <c r="D1" s="4"/>
      <c r="E1" s="4"/>
      <c r="F1" s="2543"/>
      <c r="G1" s="2543"/>
      <c r="H1" s="2543"/>
      <c r="I1" s="2543"/>
      <c r="J1" s="2543"/>
      <c r="K1" s="2543"/>
      <c r="L1" s="2543"/>
      <c r="M1" s="2543"/>
      <c r="N1" s="2543"/>
      <c r="O1" s="2543"/>
      <c r="P1" s="2543"/>
    </row>
    <row r="2" spans="1:16" ht="15.6">
      <c r="A2" s="1982" t="s">
        <v>2073</v>
      </c>
      <c r="B2" s="2386" t="e">
        <f ca="1">SUMIF(B6:B13,"&lt;&gt;#ref!",B6:B13)</f>
        <v>#DIV/0!</v>
      </c>
      <c r="C2" s="1982" t="s">
        <v>2074</v>
      </c>
      <c r="D2" s="1982" t="s">
        <v>2075</v>
      </c>
      <c r="E2" s="2396">
        <f ca="1">SUMIF(E6:E13,"&lt;&gt;#ref!",E6:E13)</f>
        <v>9456.5000000000018</v>
      </c>
      <c r="F2" s="2543"/>
      <c r="G2" s="2543"/>
      <c r="H2" s="2543"/>
      <c r="I2" s="2543"/>
      <c r="J2" s="2543"/>
      <c r="K2" s="2543"/>
      <c r="L2" s="2543"/>
      <c r="M2" s="2543"/>
      <c r="N2" s="2543"/>
      <c r="O2" s="2543"/>
      <c r="P2" s="2543"/>
    </row>
    <row r="3" spans="1:16" ht="15.6">
      <c r="A3" s="1982" t="s">
        <v>2076</v>
      </c>
      <c r="B3" s="2386" t="e">
        <f ca="1">ROUND(B2*10000/E2,0)</f>
        <v>#DIV/0!</v>
      </c>
      <c r="C3" s="1982"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2" t="s">
        <v>2077</v>
      </c>
      <c r="B5" s="2394" t="s">
        <v>2078</v>
      </c>
      <c r="C5" s="1983"/>
      <c r="D5" s="2543"/>
      <c r="E5" s="2395" t="s">
        <v>2079</v>
      </c>
      <c r="F5" s="2543"/>
      <c r="G5" s="2543"/>
      <c r="H5" s="2543"/>
      <c r="I5" s="2543"/>
      <c r="J5" s="2543"/>
      <c r="K5" s="2543"/>
      <c r="L5" s="2543"/>
      <c r="M5" s="2543"/>
      <c r="N5" s="2543"/>
      <c r="O5" s="2543"/>
      <c r="P5" s="2543"/>
    </row>
    <row r="6" spans="1:16" ht="15.6">
      <c r="A6" s="2393" t="s">
        <v>2080</v>
      </c>
      <c r="B6" s="2386" t="e">
        <f ca="1">SUMIF(INDIRECT("'"&amp;A6&amp;"'"&amp;"!A:A"),"总价",INDIRECT("'"&amp;A6&amp;"'"&amp;"!B:B"))</f>
        <v>#DIV/0!</v>
      </c>
      <c r="C6" s="1982" t="s">
        <v>2074</v>
      </c>
      <c r="D6" s="2543"/>
      <c r="E6" s="2396">
        <f ca="1">SUMIF(INDIRECT("'"&amp;A6&amp;"'"&amp;"!C:C"),"建筑面积",INDIRECT("'"&amp;A6&amp;"'"&amp;"!D:D"))</f>
        <v>9456.5000000000018</v>
      </c>
      <c r="F6" s="2543"/>
      <c r="G6" s="2543"/>
      <c r="H6" s="2543"/>
      <c r="I6" s="2543"/>
      <c r="J6" s="2543"/>
      <c r="K6" s="2543"/>
      <c r="L6" s="2543"/>
      <c r="M6" s="2543"/>
      <c r="N6" s="2543"/>
      <c r="O6" s="2543"/>
      <c r="P6" s="2543"/>
    </row>
    <row r="7" spans="1:16" ht="15.6">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6">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6">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6">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6">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6">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6">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6"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8" t="s">
        <v>2607</v>
      </c>
      <c r="B20" s="3491" t="s">
        <v>2628</v>
      </c>
      <c r="C20" s="3167" t="s">
        <v>2439</v>
      </c>
      <c r="D20" s="3167"/>
      <c r="E20" s="2843">
        <v>1</v>
      </c>
      <c r="F20" s="2844" t="s">
        <v>2440</v>
      </c>
      <c r="G20" s="2844"/>
    </row>
    <row r="21" spans="1:13" ht="19.5" customHeight="1">
      <c r="A21" s="3499"/>
      <c r="B21" s="3487"/>
      <c r="C21" s="2856" t="s">
        <v>2441</v>
      </c>
      <c r="D21" s="2856"/>
      <c r="E21" s="2847">
        <v>1</v>
      </c>
      <c r="F21" s="2844" t="s">
        <v>2442</v>
      </c>
      <c r="G21" s="2844"/>
    </row>
    <row r="22" spans="1:13" ht="19.5" customHeight="1">
      <c r="A22" s="3499"/>
      <c r="B22" s="3487"/>
      <c r="C22" s="2856" t="s">
        <v>2443</v>
      </c>
      <c r="D22" s="2856"/>
      <c r="E22" s="2847">
        <v>0.9</v>
      </c>
      <c r="F22" s="2844" t="s">
        <v>2444</v>
      </c>
      <c r="G22" s="2844"/>
    </row>
    <row r="23" spans="1:13" ht="19.5" customHeight="1">
      <c r="A23" s="3499"/>
      <c r="B23" s="3487"/>
      <c r="C23" s="2856" t="s">
        <v>2445</v>
      </c>
      <c r="D23" s="2856"/>
      <c r="E23" s="2847">
        <v>0.9</v>
      </c>
      <c r="F23" s="2844" t="s">
        <v>2446</v>
      </c>
      <c r="G23" s="2844"/>
    </row>
    <row r="24" spans="1:13" ht="19.5" customHeight="1">
      <c r="A24" s="3499"/>
      <c r="B24" s="3487"/>
      <c r="C24" s="2856" t="s">
        <v>2447</v>
      </c>
      <c r="D24" s="2856"/>
      <c r="E24" s="2847">
        <v>0.8</v>
      </c>
      <c r="F24" s="2844" t="s">
        <v>2448</v>
      </c>
      <c r="G24" s="2844"/>
    </row>
    <row r="25" spans="1:13" ht="19.5" customHeight="1">
      <c r="A25" s="3499"/>
      <c r="B25" s="3487"/>
      <c r="C25" s="2856" t="s">
        <v>2449</v>
      </c>
      <c r="D25" s="2856"/>
      <c r="E25" s="2847">
        <v>0.8</v>
      </c>
      <c r="F25" s="2844"/>
      <c r="G25" s="2844"/>
    </row>
    <row r="26" spans="1:13" ht="19.5" customHeight="1">
      <c r="A26" s="3499"/>
      <c r="B26" s="3487"/>
      <c r="C26" s="2856" t="s">
        <v>3406</v>
      </c>
      <c r="D26" s="2856"/>
      <c r="E26" s="2847">
        <v>0.43</v>
      </c>
      <c r="F26" s="2844"/>
      <c r="G26" s="2844"/>
    </row>
    <row r="27" spans="1:13" ht="19.5" customHeight="1" thickBot="1">
      <c r="A27" s="3500"/>
      <c r="B27" s="3492"/>
      <c r="C27" s="3163" t="s">
        <v>3407</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3" t="s">
        <v>2631</v>
      </c>
      <c r="B29" s="3496" t="s">
        <v>2612</v>
      </c>
      <c r="C29" s="2841" t="s">
        <v>2452</v>
      </c>
      <c r="D29" s="2842"/>
      <c r="E29" s="2843">
        <v>1</v>
      </c>
      <c r="F29" s="2844" t="s">
        <v>2453</v>
      </c>
      <c r="G29" s="2844"/>
    </row>
    <row r="30" spans="1:13" ht="19.5" customHeight="1">
      <c r="A30" s="3494"/>
      <c r="B30" s="3490"/>
      <c r="C30" s="2845" t="s">
        <v>2454</v>
      </c>
      <c r="D30" s="2846"/>
      <c r="E30" s="2847">
        <v>1</v>
      </c>
      <c r="F30" s="2844" t="s">
        <v>2455</v>
      </c>
      <c r="G30" s="2844"/>
    </row>
    <row r="31" spans="1:13" ht="19.5" customHeight="1">
      <c r="A31" s="3494"/>
      <c r="B31" s="3490"/>
      <c r="C31" s="2845" t="s">
        <v>2456</v>
      </c>
      <c r="D31" s="2846"/>
      <c r="E31" s="2847">
        <v>0.8</v>
      </c>
      <c r="F31" s="2844" t="s">
        <v>2457</v>
      </c>
      <c r="G31" s="2844"/>
    </row>
    <row r="32" spans="1:13" ht="19.5" customHeight="1">
      <c r="A32" s="3494"/>
      <c r="B32" s="3490"/>
      <c r="C32" s="2845" t="s">
        <v>2458</v>
      </c>
      <c r="D32" s="2846"/>
      <c r="E32" s="2847">
        <v>0.8</v>
      </c>
      <c r="F32" s="2844" t="s">
        <v>2459</v>
      </c>
      <c r="G32" s="2844"/>
    </row>
    <row r="33" spans="1:7" ht="19.5" customHeight="1">
      <c r="A33" s="3494"/>
      <c r="B33" s="3490"/>
      <c r="C33" s="2845" t="s">
        <v>2460</v>
      </c>
      <c r="D33" s="2846"/>
      <c r="E33" s="2847">
        <v>0.8</v>
      </c>
      <c r="F33" s="2844" t="s">
        <v>2461</v>
      </c>
      <c r="G33" s="2844"/>
    </row>
    <row r="34" spans="1:7" ht="19.5" customHeight="1">
      <c r="A34" s="3494"/>
      <c r="B34" s="3490"/>
      <c r="C34" s="2845" t="s">
        <v>2462</v>
      </c>
      <c r="D34" s="2846"/>
      <c r="E34" s="2847">
        <v>0.7</v>
      </c>
      <c r="F34" s="2844" t="s">
        <v>2463</v>
      </c>
      <c r="G34" s="2844"/>
    </row>
    <row r="35" spans="1:7" ht="19.5" customHeight="1">
      <c r="A35" s="3494"/>
      <c r="B35" s="3490"/>
      <c r="C35" s="2845" t="s">
        <v>2464</v>
      </c>
      <c r="D35" s="2846"/>
      <c r="E35" s="2847">
        <v>0.8</v>
      </c>
      <c r="F35" s="2844" t="s">
        <v>2465</v>
      </c>
      <c r="G35" s="2844"/>
    </row>
    <row r="36" spans="1:7" ht="19.5" customHeight="1">
      <c r="A36" s="3494"/>
      <c r="B36" s="3490"/>
      <c r="C36" s="2845" t="s">
        <v>2466</v>
      </c>
      <c r="D36" s="2846"/>
      <c r="E36" s="2847">
        <v>0.6</v>
      </c>
      <c r="F36" s="2844" t="s">
        <v>2467</v>
      </c>
      <c r="G36" s="2844"/>
    </row>
    <row r="37" spans="1:7" ht="19.5" customHeight="1">
      <c r="A37" s="3494"/>
      <c r="B37" s="3490"/>
      <c r="C37" s="2845" t="s">
        <v>2468</v>
      </c>
      <c r="D37" s="2846"/>
      <c r="E37" s="2847">
        <v>0.2</v>
      </c>
      <c r="F37" s="2844" t="s">
        <v>2469</v>
      </c>
      <c r="G37" s="2844"/>
    </row>
    <row r="38" spans="1:7" ht="19.5" customHeight="1">
      <c r="A38" s="3494"/>
      <c r="B38" s="3490"/>
      <c r="C38" s="2845" t="s">
        <v>2470</v>
      </c>
      <c r="D38" s="2846"/>
      <c r="E38" s="2847">
        <v>0.2</v>
      </c>
      <c r="F38" s="2844" t="s">
        <v>2471</v>
      </c>
      <c r="G38" s="2844"/>
    </row>
    <row r="39" spans="1:7" ht="19.5" customHeight="1">
      <c r="A39" s="3494"/>
      <c r="B39" s="3488" t="s">
        <v>2632</v>
      </c>
      <c r="C39" s="2845" t="s">
        <v>2472</v>
      </c>
      <c r="D39" s="2846"/>
      <c r="E39" s="2847">
        <v>0.6</v>
      </c>
      <c r="F39" s="2844" t="s">
        <v>2473</v>
      </c>
      <c r="G39" s="2844"/>
    </row>
    <row r="40" spans="1:7" ht="19.5" customHeight="1">
      <c r="A40" s="3494"/>
      <c r="B40" s="3490"/>
      <c r="C40" s="2845" t="s">
        <v>2474</v>
      </c>
      <c r="D40" s="2846"/>
      <c r="E40" s="2847">
        <v>0.6</v>
      </c>
      <c r="F40" s="2844" t="s">
        <v>2475</v>
      </c>
      <c r="G40" s="2844"/>
    </row>
    <row r="41" spans="1:7" ht="19.5" customHeight="1" thickBot="1">
      <c r="A41" s="3495"/>
      <c r="B41" s="3497"/>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8" t="s">
        <v>2610</v>
      </c>
      <c r="B43" s="3496" t="s">
        <v>2634</v>
      </c>
      <c r="C43" s="2841" t="s">
        <v>2479</v>
      </c>
      <c r="D43" s="2842"/>
      <c r="E43" s="2843">
        <v>1</v>
      </c>
      <c r="F43" s="2844" t="s">
        <v>2480</v>
      </c>
      <c r="G43" s="2844"/>
    </row>
    <row r="44" spans="1:7" ht="19.5" customHeight="1">
      <c r="A44" s="3499"/>
      <c r="B44" s="3490"/>
      <c r="C44" s="2845" t="s">
        <v>2481</v>
      </c>
      <c r="D44" s="2846"/>
      <c r="E44" s="2847">
        <v>1</v>
      </c>
      <c r="F44" s="2844" t="s">
        <v>2482</v>
      </c>
      <c r="G44" s="2844"/>
    </row>
    <row r="45" spans="1:7" ht="19.5" customHeight="1">
      <c r="A45" s="3499"/>
      <c r="B45" s="3489"/>
      <c r="C45" s="2845" t="s">
        <v>2483</v>
      </c>
      <c r="D45" s="2846"/>
      <c r="E45" s="2847">
        <v>1.5</v>
      </c>
      <c r="F45" s="2844" t="s">
        <v>2484</v>
      </c>
      <c r="G45" s="2844"/>
    </row>
    <row r="46" spans="1:7" ht="19.5" customHeight="1">
      <c r="A46" s="3499"/>
      <c r="B46" s="2856" t="s">
        <v>2635</v>
      </c>
      <c r="C46" s="2845" t="s">
        <v>2636</v>
      </c>
      <c r="D46" s="2846"/>
      <c r="E46" s="2847">
        <v>2</v>
      </c>
      <c r="F46" s="2844" t="s">
        <v>2485</v>
      </c>
      <c r="G46" s="2844"/>
    </row>
    <row r="47" spans="1:7" ht="19.5" customHeight="1">
      <c r="A47" s="3499"/>
      <c r="B47" s="3488" t="s">
        <v>2637</v>
      </c>
      <c r="C47" s="2845" t="s">
        <v>2486</v>
      </c>
      <c r="D47" s="2846"/>
      <c r="E47" s="2847">
        <v>1</v>
      </c>
      <c r="F47" s="2844" t="s">
        <v>2487</v>
      </c>
      <c r="G47" s="2844"/>
    </row>
    <row r="48" spans="1:7" ht="19.5" customHeight="1">
      <c r="A48" s="3499"/>
      <c r="B48" s="3490"/>
      <c r="C48" s="2845" t="s">
        <v>2488</v>
      </c>
      <c r="D48" s="2846"/>
      <c r="E48" s="2847">
        <v>1</v>
      </c>
      <c r="F48" s="2844" t="s">
        <v>2489</v>
      </c>
      <c r="G48" s="2844"/>
    </row>
    <row r="49" spans="1:7" ht="19.5" customHeight="1">
      <c r="A49" s="3499"/>
      <c r="B49" s="3490"/>
      <c r="C49" s="2845" t="s">
        <v>2490</v>
      </c>
      <c r="D49" s="2846"/>
      <c r="E49" s="2847">
        <v>1</v>
      </c>
      <c r="F49" s="2844" t="s">
        <v>2491</v>
      </c>
      <c r="G49" s="2844"/>
    </row>
    <row r="50" spans="1:7" ht="19.5" customHeight="1">
      <c r="A50" s="3499"/>
      <c r="B50" s="3490"/>
      <c r="C50" s="2845" t="s">
        <v>2492</v>
      </c>
      <c r="D50" s="2846"/>
      <c r="E50" s="2847">
        <v>1</v>
      </c>
      <c r="F50" s="2844" t="s">
        <v>2493</v>
      </c>
      <c r="G50" s="2844"/>
    </row>
    <row r="51" spans="1:7" ht="19.5" customHeight="1">
      <c r="A51" s="3499"/>
      <c r="B51" s="3490"/>
      <c r="C51" s="2845" t="s">
        <v>2494</v>
      </c>
      <c r="D51" s="2846"/>
      <c r="E51" s="2847">
        <v>1</v>
      </c>
      <c r="F51" s="2844" t="s">
        <v>2495</v>
      </c>
      <c r="G51" s="2844"/>
    </row>
    <row r="52" spans="1:7" ht="19.5" customHeight="1">
      <c r="A52" s="3499"/>
      <c r="B52" s="3490"/>
      <c r="C52" s="2845" t="s">
        <v>2496</v>
      </c>
      <c r="D52" s="2846"/>
      <c r="E52" s="2847">
        <v>1</v>
      </c>
      <c r="F52" s="2844" t="s">
        <v>2497</v>
      </c>
      <c r="G52" s="2844"/>
    </row>
    <row r="53" spans="1:7" ht="19.5" customHeight="1" thickBot="1">
      <c r="A53" s="3500"/>
      <c r="B53" s="3497"/>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4">
      <c r="A74" s="2856"/>
      <c r="B74" s="2856"/>
      <c r="C74" s="2856" t="s">
        <v>2650</v>
      </c>
      <c r="D74" s="2856"/>
      <c r="E74" s="2856" t="s">
        <v>2621</v>
      </c>
      <c r="F74" s="2856" t="s">
        <v>2621</v>
      </c>
    </row>
    <row r="75" spans="1:7" ht="14.4">
      <c r="A75" s="2856">
        <v>1</v>
      </c>
      <c r="B75" s="3488" t="s">
        <v>2651</v>
      </c>
      <c r="C75" s="2830" t="s">
        <v>2652</v>
      </c>
      <c r="D75" s="2830" t="s">
        <v>2653</v>
      </c>
      <c r="E75" s="2856">
        <v>0.2</v>
      </c>
      <c r="F75" s="2856">
        <v>25</v>
      </c>
    </row>
    <row r="76" spans="1:7" ht="24">
      <c r="A76" s="2856">
        <v>2</v>
      </c>
      <c r="B76" s="3490"/>
      <c r="C76" s="2830" t="s">
        <v>2654</v>
      </c>
      <c r="D76" s="2830" t="s">
        <v>2655</v>
      </c>
      <c r="E76" s="2856">
        <v>0.2</v>
      </c>
      <c r="F76" s="2856">
        <v>25</v>
      </c>
    </row>
    <row r="77" spans="1:7" ht="24">
      <c r="A77" s="2856">
        <v>3</v>
      </c>
      <c r="B77" s="3490"/>
      <c r="C77" s="2830" t="s">
        <v>2656</v>
      </c>
      <c r="D77" s="2830" t="s">
        <v>2657</v>
      </c>
      <c r="E77" s="2856">
        <v>0.2</v>
      </c>
      <c r="F77" s="2856">
        <v>25</v>
      </c>
    </row>
    <row r="78" spans="1:7" ht="14.4">
      <c r="A78" s="2856">
        <v>4</v>
      </c>
      <c r="B78" s="3490"/>
      <c r="C78" s="2830" t="s">
        <v>2658</v>
      </c>
      <c r="D78" s="2830" t="s">
        <v>2659</v>
      </c>
      <c r="E78" s="2856">
        <v>0.15</v>
      </c>
      <c r="F78" s="2856">
        <v>20</v>
      </c>
    </row>
    <row r="79" spans="1:7" ht="24">
      <c r="A79" s="2856">
        <v>5</v>
      </c>
      <c r="B79" s="3490"/>
      <c r="C79" s="2830" t="s">
        <v>2660</v>
      </c>
      <c r="D79" s="2830" t="s">
        <v>2661</v>
      </c>
      <c r="E79" s="2856">
        <v>0.15</v>
      </c>
      <c r="F79" s="2856">
        <v>20</v>
      </c>
    </row>
    <row r="80" spans="1:7" ht="24">
      <c r="A80" s="2856">
        <v>6</v>
      </c>
      <c r="B80" s="3490"/>
      <c r="C80" s="2830" t="s">
        <v>2662</v>
      </c>
      <c r="D80" s="2830" t="s">
        <v>2663</v>
      </c>
      <c r="E80" s="2856">
        <v>0.15</v>
      </c>
      <c r="F80" s="2856">
        <v>20</v>
      </c>
    </row>
    <row r="81" spans="1:6" ht="24">
      <c r="A81" s="2856">
        <v>7</v>
      </c>
      <c r="B81" s="3490"/>
      <c r="C81" s="2830" t="s">
        <v>2664</v>
      </c>
      <c r="D81" s="2830" t="s">
        <v>2665</v>
      </c>
      <c r="E81" s="2856">
        <v>0.15</v>
      </c>
      <c r="F81" s="2856">
        <v>20</v>
      </c>
    </row>
    <row r="82" spans="1:6" ht="24">
      <c r="A82" s="2856">
        <v>8</v>
      </c>
      <c r="B82" s="3490"/>
      <c r="C82" s="2830" t="s">
        <v>2666</v>
      </c>
      <c r="D82" s="2830" t="s">
        <v>2667</v>
      </c>
      <c r="E82" s="2856">
        <v>0.1</v>
      </c>
      <c r="F82" s="2856">
        <v>15</v>
      </c>
    </row>
    <row r="83" spans="1:6" ht="24">
      <c r="A83" s="2856">
        <v>9</v>
      </c>
      <c r="B83" s="3490"/>
      <c r="C83" s="2830" t="s">
        <v>2668</v>
      </c>
      <c r="D83" s="2830" t="s">
        <v>2669</v>
      </c>
      <c r="E83" s="2856">
        <v>0.1</v>
      </c>
      <c r="F83" s="2856">
        <v>15</v>
      </c>
    </row>
    <row r="84" spans="1:6" ht="24">
      <c r="A84" s="2856">
        <v>10</v>
      </c>
      <c r="B84" s="3490"/>
      <c r="C84" s="2830" t="s">
        <v>2670</v>
      </c>
      <c r="D84" s="2830" t="s">
        <v>2671</v>
      </c>
      <c r="E84" s="2856">
        <v>0.1</v>
      </c>
      <c r="F84" s="2856">
        <v>15</v>
      </c>
    </row>
    <row r="85" spans="1:6" ht="24">
      <c r="A85" s="2856">
        <v>11</v>
      </c>
      <c r="B85" s="3490"/>
      <c r="C85" s="2830" t="s">
        <v>2672</v>
      </c>
      <c r="D85" s="2830" t="s">
        <v>2673</v>
      </c>
      <c r="E85" s="2856">
        <v>0.1</v>
      </c>
      <c r="F85" s="2856">
        <v>15</v>
      </c>
    </row>
    <row r="86" spans="1:6" ht="24">
      <c r="A86" s="2856">
        <v>12</v>
      </c>
      <c r="B86" s="3490"/>
      <c r="C86" s="2830" t="s">
        <v>2674</v>
      </c>
      <c r="D86" s="2830" t="s">
        <v>2675</v>
      </c>
      <c r="E86" s="2856">
        <v>0.1</v>
      </c>
      <c r="F86" s="2856">
        <v>15</v>
      </c>
    </row>
    <row r="87" spans="1:6" ht="24">
      <c r="A87" s="2856">
        <v>13</v>
      </c>
      <c r="B87" s="3490"/>
      <c r="C87" s="2830" t="s">
        <v>2676</v>
      </c>
      <c r="D87" s="2830" t="s">
        <v>2677</v>
      </c>
      <c r="E87" s="2856">
        <v>0.1</v>
      </c>
      <c r="F87" s="2856">
        <v>15</v>
      </c>
    </row>
    <row r="88" spans="1:6" ht="24">
      <c r="A88" s="2856">
        <v>14</v>
      </c>
      <c r="B88" s="3490"/>
      <c r="C88" s="2830" t="s">
        <v>2678</v>
      </c>
      <c r="D88" s="2830" t="s">
        <v>2679</v>
      </c>
      <c r="E88" s="2856">
        <v>0.1</v>
      </c>
      <c r="F88" s="2856">
        <v>15</v>
      </c>
    </row>
    <row r="89" spans="1:6" ht="24">
      <c r="A89" s="2856">
        <v>15</v>
      </c>
      <c r="B89" s="3490"/>
      <c r="C89" s="2830" t="s">
        <v>2680</v>
      </c>
      <c r="D89" s="2830" t="s">
        <v>2681</v>
      </c>
      <c r="E89" s="2856">
        <v>0.1</v>
      </c>
      <c r="F89" s="2856">
        <v>15</v>
      </c>
    </row>
    <row r="90" spans="1:6" ht="24">
      <c r="A90" s="2856">
        <v>16</v>
      </c>
      <c r="B90" s="3490"/>
      <c r="C90" s="2830" t="s">
        <v>2682</v>
      </c>
      <c r="D90" s="2830" t="s">
        <v>2683</v>
      </c>
      <c r="E90" s="2856">
        <v>0.1</v>
      </c>
      <c r="F90" s="2856">
        <v>15</v>
      </c>
    </row>
    <row r="91" spans="1:6" ht="24">
      <c r="A91" s="2856">
        <v>17</v>
      </c>
      <c r="B91" s="3489"/>
      <c r="C91" s="2830" t="s">
        <v>2684</v>
      </c>
      <c r="D91" s="2830" t="s">
        <v>2685</v>
      </c>
      <c r="E91" s="2856">
        <v>0.1</v>
      </c>
      <c r="F91" s="2856">
        <v>15</v>
      </c>
    </row>
    <row r="92" spans="1:6" ht="14.4">
      <c r="A92" s="2856">
        <v>18</v>
      </c>
      <c r="B92" s="3488" t="s">
        <v>2686</v>
      </c>
      <c r="C92" s="2830" t="s">
        <v>2687</v>
      </c>
      <c r="D92" s="2830" t="s">
        <v>2688</v>
      </c>
      <c r="E92" s="2856">
        <v>0.2</v>
      </c>
      <c r="F92" s="2856">
        <v>25</v>
      </c>
    </row>
    <row r="93" spans="1:6" ht="24">
      <c r="A93" s="2856">
        <v>19</v>
      </c>
      <c r="B93" s="3490"/>
      <c r="C93" s="2830" t="s">
        <v>2689</v>
      </c>
      <c r="D93" s="2830" t="s">
        <v>2690</v>
      </c>
      <c r="E93" s="2856">
        <v>0.2</v>
      </c>
      <c r="F93" s="2856">
        <v>25</v>
      </c>
    </row>
    <row r="94" spans="1:6" ht="14.4">
      <c r="A94" s="2856">
        <v>20</v>
      </c>
      <c r="B94" s="3490"/>
      <c r="C94" s="2830" t="s">
        <v>2691</v>
      </c>
      <c r="D94" s="2830" t="s">
        <v>2692</v>
      </c>
      <c r="E94" s="2856">
        <v>0.15</v>
      </c>
      <c r="F94" s="2856">
        <v>20</v>
      </c>
    </row>
    <row r="95" spans="1:6" ht="24">
      <c r="A95" s="2856">
        <v>21</v>
      </c>
      <c r="B95" s="3490"/>
      <c r="C95" s="2830" t="s">
        <v>2693</v>
      </c>
      <c r="D95" s="2830" t="s">
        <v>2694</v>
      </c>
      <c r="E95" s="2856">
        <v>0.15</v>
      </c>
      <c r="F95" s="2856">
        <v>20</v>
      </c>
    </row>
    <row r="96" spans="1:6" ht="24">
      <c r="A96" s="2856">
        <v>22</v>
      </c>
      <c r="B96" s="3490"/>
      <c r="C96" s="2830" t="s">
        <v>2695</v>
      </c>
      <c r="D96" s="2830" t="s">
        <v>2696</v>
      </c>
      <c r="E96" s="2856">
        <v>0.15</v>
      </c>
      <c r="F96" s="2856">
        <v>20</v>
      </c>
    </row>
    <row r="97" spans="1:6" ht="36">
      <c r="A97" s="2856">
        <v>23</v>
      </c>
      <c r="B97" s="3490"/>
      <c r="C97" s="2830" t="s">
        <v>2697</v>
      </c>
      <c r="D97" s="2830" t="s">
        <v>2698</v>
      </c>
      <c r="E97" s="2856">
        <v>0.15</v>
      </c>
      <c r="F97" s="2856">
        <v>20</v>
      </c>
    </row>
    <row r="98" spans="1:6" ht="24">
      <c r="A98" s="2856">
        <v>24</v>
      </c>
      <c r="B98" s="3490"/>
      <c r="C98" s="2830" t="s">
        <v>2699</v>
      </c>
      <c r="D98" s="2830" t="s">
        <v>2700</v>
      </c>
      <c r="E98" s="2856">
        <v>0.1</v>
      </c>
      <c r="F98" s="2856">
        <v>15</v>
      </c>
    </row>
    <row r="99" spans="1:6" ht="24">
      <c r="A99" s="2856">
        <v>25</v>
      </c>
      <c r="B99" s="3490"/>
      <c r="C99" s="2830" t="s">
        <v>2701</v>
      </c>
      <c r="D99" s="2830" t="s">
        <v>2702</v>
      </c>
      <c r="E99" s="2856">
        <v>0.1</v>
      </c>
      <c r="F99" s="2856">
        <v>15</v>
      </c>
    </row>
    <row r="100" spans="1:6" ht="24">
      <c r="A100" s="2856">
        <v>26</v>
      </c>
      <c r="B100" s="3490"/>
      <c r="C100" s="2830" t="s">
        <v>2703</v>
      </c>
      <c r="D100" s="2830" t="s">
        <v>2704</v>
      </c>
      <c r="E100" s="2856">
        <v>0.1</v>
      </c>
      <c r="F100" s="2856">
        <v>15</v>
      </c>
    </row>
    <row r="101" spans="1:6" ht="24">
      <c r="A101" s="2856">
        <v>27</v>
      </c>
      <c r="B101" s="3490"/>
      <c r="C101" s="2830" t="s">
        <v>2705</v>
      </c>
      <c r="D101" s="2830" t="s">
        <v>2706</v>
      </c>
      <c r="E101" s="2856">
        <v>0.1</v>
      </c>
      <c r="F101" s="2856">
        <v>15</v>
      </c>
    </row>
    <row r="102" spans="1:6" ht="24">
      <c r="A102" s="2856">
        <v>28</v>
      </c>
      <c r="B102" s="3490"/>
      <c r="C102" s="2830" t="s">
        <v>2707</v>
      </c>
      <c r="D102" s="2830" t="s">
        <v>2708</v>
      </c>
      <c r="E102" s="2856">
        <v>0.1</v>
      </c>
      <c r="F102" s="2856">
        <v>15</v>
      </c>
    </row>
    <row r="103" spans="1:6" ht="24">
      <c r="A103" s="2856">
        <v>29</v>
      </c>
      <c r="B103" s="3490"/>
      <c r="C103" s="2830" t="s">
        <v>2709</v>
      </c>
      <c r="D103" s="2830" t="s">
        <v>2710</v>
      </c>
      <c r="E103" s="2856">
        <v>0.1</v>
      </c>
      <c r="F103" s="2856">
        <v>15</v>
      </c>
    </row>
    <row r="104" spans="1:6" ht="24">
      <c r="A104" s="2856">
        <v>30</v>
      </c>
      <c r="B104" s="3490"/>
      <c r="C104" s="2830" t="s">
        <v>2711</v>
      </c>
      <c r="D104" s="2830" t="s">
        <v>2712</v>
      </c>
      <c r="E104" s="2856">
        <v>0.1</v>
      </c>
      <c r="F104" s="2856">
        <v>15</v>
      </c>
    </row>
    <row r="105" spans="1:6" ht="24">
      <c r="A105" s="2856">
        <v>31</v>
      </c>
      <c r="B105" s="3490"/>
      <c r="C105" s="2830" t="s">
        <v>2713</v>
      </c>
      <c r="D105" s="2830" t="s">
        <v>2714</v>
      </c>
      <c r="E105" s="2856">
        <v>0.1</v>
      </c>
      <c r="F105" s="2856">
        <v>15</v>
      </c>
    </row>
    <row r="106" spans="1:6" ht="24">
      <c r="A106" s="2856">
        <v>32</v>
      </c>
      <c r="B106" s="3490"/>
      <c r="C106" s="2830" t="s">
        <v>2715</v>
      </c>
      <c r="D106" s="2830" t="s">
        <v>2716</v>
      </c>
      <c r="E106" s="2856">
        <v>0.1</v>
      </c>
      <c r="F106" s="2856">
        <v>15</v>
      </c>
    </row>
    <row r="107" spans="1:6" ht="24">
      <c r="A107" s="2856">
        <v>33</v>
      </c>
      <c r="B107" s="3490"/>
      <c r="C107" s="2830" t="s">
        <v>2717</v>
      </c>
      <c r="D107" s="2830" t="s">
        <v>2718</v>
      </c>
      <c r="E107" s="2856">
        <v>0.1</v>
      </c>
      <c r="F107" s="2856">
        <v>15</v>
      </c>
    </row>
    <row r="108" spans="1:6" ht="24">
      <c r="A108" s="2856">
        <v>34</v>
      </c>
      <c r="B108" s="3489"/>
      <c r="C108" s="2830" t="s">
        <v>2719</v>
      </c>
      <c r="D108" s="2830" t="s">
        <v>2720</v>
      </c>
      <c r="E108" s="2856">
        <v>0.1</v>
      </c>
      <c r="F108" s="2856">
        <v>15</v>
      </c>
    </row>
    <row r="109" spans="1:6" ht="36">
      <c r="A109" s="2856">
        <v>35</v>
      </c>
      <c r="B109" s="3488" t="s">
        <v>2721</v>
      </c>
      <c r="C109" s="2856" t="s">
        <v>2722</v>
      </c>
      <c r="D109" s="2830" t="s">
        <v>2723</v>
      </c>
      <c r="E109" s="2856">
        <v>0.15</v>
      </c>
      <c r="F109" s="2856">
        <v>20</v>
      </c>
    </row>
    <row r="110" spans="1:6" ht="24">
      <c r="A110" s="2856">
        <v>36</v>
      </c>
      <c r="B110" s="3490"/>
      <c r="C110" s="2856" t="s">
        <v>2724</v>
      </c>
      <c r="D110" s="2830" t="s">
        <v>2725</v>
      </c>
      <c r="E110" s="2856">
        <v>0.15</v>
      </c>
      <c r="F110" s="2856">
        <v>20</v>
      </c>
    </row>
    <row r="111" spans="1:6" ht="24">
      <c r="A111" s="2856">
        <v>37</v>
      </c>
      <c r="B111" s="3490"/>
      <c r="C111" s="2856" t="s">
        <v>2726</v>
      </c>
      <c r="D111" s="2830" t="s">
        <v>2727</v>
      </c>
      <c r="E111" s="2856">
        <v>0.15</v>
      </c>
      <c r="F111" s="2856">
        <v>20</v>
      </c>
    </row>
    <row r="112" spans="1:6" ht="24">
      <c r="A112" s="2856">
        <v>38</v>
      </c>
      <c r="B112" s="3490"/>
      <c r="C112" s="2856" t="s">
        <v>2728</v>
      </c>
      <c r="D112" s="2830" t="s">
        <v>2729</v>
      </c>
      <c r="E112" s="2856">
        <v>0.1</v>
      </c>
      <c r="F112" s="2856">
        <v>15</v>
      </c>
    </row>
    <row r="113" spans="1:6" ht="24">
      <c r="A113" s="2856">
        <v>39</v>
      </c>
      <c r="B113" s="3490"/>
      <c r="C113" s="2856" t="s">
        <v>2730</v>
      </c>
      <c r="D113" s="2830" t="s">
        <v>2731</v>
      </c>
      <c r="E113" s="2856">
        <v>0.1</v>
      </c>
      <c r="F113" s="2856">
        <v>15</v>
      </c>
    </row>
    <row r="114" spans="1:6" ht="24">
      <c r="A114" s="2856">
        <v>40</v>
      </c>
      <c r="B114" s="3489"/>
      <c r="C114" s="2856" t="s">
        <v>2732</v>
      </c>
      <c r="D114" s="2830" t="s">
        <v>2733</v>
      </c>
      <c r="E114" s="2856">
        <v>0.1</v>
      </c>
      <c r="F114" s="2856">
        <v>15</v>
      </c>
    </row>
    <row r="115" spans="1:6" ht="24">
      <c r="A115" s="2856">
        <v>41</v>
      </c>
      <c r="B115" s="3487" t="s">
        <v>2734</v>
      </c>
      <c r="C115" s="2856" t="s">
        <v>2735</v>
      </c>
      <c r="D115" s="2830" t="s">
        <v>2736</v>
      </c>
      <c r="E115" s="2856">
        <v>0.1</v>
      </c>
      <c r="F115" s="2856">
        <v>15</v>
      </c>
    </row>
    <row r="116" spans="1:6" ht="24">
      <c r="A116" s="2856">
        <v>42</v>
      </c>
      <c r="B116" s="3487"/>
      <c r="C116" s="2856" t="s">
        <v>2737</v>
      </c>
      <c r="D116" s="2830" t="s">
        <v>2738</v>
      </c>
      <c r="E116" s="2856">
        <v>0.1</v>
      </c>
      <c r="F116" s="2856">
        <v>15</v>
      </c>
    </row>
    <row r="117" spans="1:6" ht="24">
      <c r="A117" s="2856">
        <v>43</v>
      </c>
      <c r="B117" s="3487"/>
      <c r="C117" s="2856" t="s">
        <v>2739</v>
      </c>
      <c r="D117" s="2830" t="s">
        <v>2740</v>
      </c>
      <c r="E117" s="2856">
        <v>0.1</v>
      </c>
      <c r="F117" s="2856">
        <v>15</v>
      </c>
    </row>
    <row r="118" spans="1:6" ht="24">
      <c r="A118" s="2856">
        <v>44</v>
      </c>
      <c r="B118" s="3488" t="s">
        <v>2741</v>
      </c>
      <c r="C118" s="2856" t="s">
        <v>2742</v>
      </c>
      <c r="D118" s="2830" t="s">
        <v>2743</v>
      </c>
      <c r="E118" s="2856">
        <v>0.1</v>
      </c>
      <c r="F118" s="2856">
        <v>15</v>
      </c>
    </row>
    <row r="119" spans="1:6" ht="24">
      <c r="A119" s="2856">
        <v>45</v>
      </c>
      <c r="B119" s="3489"/>
      <c r="C119" s="2830" t="s">
        <v>2744</v>
      </c>
      <c r="D119" s="2830" t="s">
        <v>2745</v>
      </c>
      <c r="E119" s="2856">
        <v>0.1</v>
      </c>
      <c r="F119" s="2856">
        <v>15</v>
      </c>
    </row>
    <row r="120" spans="1:6" ht="24">
      <c r="A120" s="2856">
        <v>46</v>
      </c>
      <c r="B120" s="3488" t="s">
        <v>2746</v>
      </c>
      <c r="C120" s="2856" t="s">
        <v>2747</v>
      </c>
      <c r="D120" s="2830" t="s">
        <v>2748</v>
      </c>
      <c r="E120" s="2856">
        <v>0.1</v>
      </c>
      <c r="F120" s="2856">
        <v>15</v>
      </c>
    </row>
    <row r="121" spans="1:6" ht="24">
      <c r="A121" s="2856">
        <v>47</v>
      </c>
      <c r="B121" s="3489"/>
      <c r="C121" s="2856" t="s">
        <v>2749</v>
      </c>
      <c r="D121" s="2830" t="s">
        <v>2750</v>
      </c>
      <c r="E121" s="2856">
        <v>0.1</v>
      </c>
      <c r="F121" s="2856">
        <v>15</v>
      </c>
    </row>
    <row r="122" spans="1:6" ht="24">
      <c r="A122" s="2856">
        <v>48</v>
      </c>
      <c r="B122" s="3488" t="s">
        <v>2751</v>
      </c>
      <c r="C122" s="2856" t="s">
        <v>2752</v>
      </c>
      <c r="D122" s="2830" t="s">
        <v>2753</v>
      </c>
      <c r="E122" s="2856">
        <v>0.1</v>
      </c>
      <c r="F122" s="2856">
        <v>15</v>
      </c>
    </row>
    <row r="123" spans="1:6" ht="24">
      <c r="A123" s="2856">
        <v>49</v>
      </c>
      <c r="B123" s="3489"/>
      <c r="C123" s="2856" t="s">
        <v>2754</v>
      </c>
      <c r="D123" s="2830" t="s">
        <v>2755</v>
      </c>
      <c r="E123" s="2856">
        <v>0.1</v>
      </c>
      <c r="F123" s="2856">
        <v>15</v>
      </c>
    </row>
    <row r="124" spans="1:6" ht="24">
      <c r="A124" s="2856">
        <v>50</v>
      </c>
      <c r="B124" s="3487" t="s">
        <v>2756</v>
      </c>
      <c r="C124" s="2856" t="s">
        <v>2757</v>
      </c>
      <c r="D124" s="2830" t="s">
        <v>2758</v>
      </c>
      <c r="E124" s="2856">
        <v>0.1</v>
      </c>
      <c r="F124" s="2856">
        <v>15</v>
      </c>
    </row>
    <row r="125" spans="1:6" ht="24">
      <c r="A125" s="2856">
        <v>51</v>
      </c>
      <c r="B125" s="3487"/>
      <c r="C125" s="2856" t="s">
        <v>2759</v>
      </c>
      <c r="D125" s="2830" t="s">
        <v>2760</v>
      </c>
      <c r="E125" s="2856">
        <v>0.1</v>
      </c>
      <c r="F125" s="2856">
        <v>15</v>
      </c>
    </row>
    <row r="126" spans="1:6" ht="24">
      <c r="A126" s="2856">
        <v>52</v>
      </c>
      <c r="B126" s="3487" t="s">
        <v>2761</v>
      </c>
      <c r="C126" s="2856" t="s">
        <v>2762</v>
      </c>
      <c r="D126" s="2830" t="s">
        <v>2763</v>
      </c>
      <c r="E126" s="2856">
        <v>0.1</v>
      </c>
      <c r="F126" s="2856">
        <v>15</v>
      </c>
    </row>
    <row r="127" spans="1:6" ht="24">
      <c r="A127" s="2856">
        <v>53</v>
      </c>
      <c r="B127" s="3487"/>
      <c r="C127" s="2856" t="s">
        <v>2764</v>
      </c>
      <c r="D127" s="2830" t="s">
        <v>2765</v>
      </c>
      <c r="E127" s="2856">
        <v>0.1</v>
      </c>
      <c r="F127" s="2856">
        <v>15</v>
      </c>
    </row>
    <row r="128" spans="1:6" ht="24">
      <c r="A128" s="2856">
        <v>54</v>
      </c>
      <c r="B128" s="2856" t="s">
        <v>2766</v>
      </c>
      <c r="C128" s="2856" t="s">
        <v>2767</v>
      </c>
      <c r="D128" s="2830" t="s">
        <v>2768</v>
      </c>
      <c r="E128" s="2856">
        <v>0.1</v>
      </c>
      <c r="F128" s="2856">
        <v>15</v>
      </c>
    </row>
    <row r="129" spans="1:6" ht="24">
      <c r="A129" s="2856">
        <v>55</v>
      </c>
      <c r="B129" s="3487" t="s">
        <v>2769</v>
      </c>
      <c r="C129" s="2856" t="s">
        <v>2770</v>
      </c>
      <c r="D129" s="2830" t="s">
        <v>2771</v>
      </c>
      <c r="E129" s="2856">
        <v>0.1</v>
      </c>
      <c r="F129" s="2856">
        <v>15</v>
      </c>
    </row>
    <row r="130" spans="1:6" ht="24">
      <c r="A130" s="2856">
        <v>56</v>
      </c>
      <c r="B130" s="3487"/>
      <c r="C130" s="2856" t="s">
        <v>2772</v>
      </c>
      <c r="D130" s="2830" t="s">
        <v>2773</v>
      </c>
      <c r="E130" s="2856">
        <v>0.1</v>
      </c>
      <c r="F130" s="2856">
        <v>15</v>
      </c>
    </row>
    <row r="131" spans="1:6" ht="24">
      <c r="A131" s="2856">
        <v>57</v>
      </c>
      <c r="B131" s="3487"/>
      <c r="C131" s="2856" t="s">
        <v>2774</v>
      </c>
      <c r="D131" s="2830" t="s">
        <v>2775</v>
      </c>
      <c r="E131" s="2856">
        <v>0.1</v>
      </c>
      <c r="F131" s="2856">
        <v>15</v>
      </c>
    </row>
    <row r="132" spans="1:6" ht="24">
      <c r="A132" s="2856">
        <v>58</v>
      </c>
      <c r="B132" s="3487" t="s">
        <v>2776</v>
      </c>
      <c r="C132" s="2856" t="s">
        <v>2777</v>
      </c>
      <c r="D132" s="2830" t="s">
        <v>2778</v>
      </c>
      <c r="E132" s="2856">
        <v>0.1</v>
      </c>
      <c r="F132" s="2856">
        <v>15</v>
      </c>
    </row>
    <row r="133" spans="1:6" ht="24">
      <c r="A133" s="2856">
        <v>59</v>
      </c>
      <c r="B133" s="3487"/>
      <c r="C133" s="2856" t="s">
        <v>2779</v>
      </c>
      <c r="D133" s="2830" t="s">
        <v>2780</v>
      </c>
      <c r="E133" s="2856">
        <v>0.1</v>
      </c>
      <c r="F133" s="2856">
        <v>15</v>
      </c>
    </row>
    <row r="134" spans="1:6" ht="24">
      <c r="A134" s="2856">
        <v>60</v>
      </c>
      <c r="B134" s="3488" t="s">
        <v>2781</v>
      </c>
      <c r="C134" s="2856" t="s">
        <v>2782</v>
      </c>
      <c r="D134" s="2830" t="s">
        <v>2783</v>
      </c>
      <c r="E134" s="2856">
        <v>0.1</v>
      </c>
      <c r="F134" s="2856">
        <v>15</v>
      </c>
    </row>
    <row r="135" spans="1:6" ht="24">
      <c r="A135" s="2856">
        <v>61</v>
      </c>
      <c r="B135" s="3489"/>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24">
      <c r="A137" s="2856">
        <v>63</v>
      </c>
      <c r="B137" s="3487" t="s">
        <v>2789</v>
      </c>
      <c r="C137" s="2856" t="s">
        <v>2790</v>
      </c>
      <c r="D137" s="2830" t="s">
        <v>2791</v>
      </c>
      <c r="E137" s="2856">
        <v>0.1</v>
      </c>
      <c r="F137" s="2856">
        <v>15</v>
      </c>
    </row>
    <row r="138" spans="1:6" ht="24">
      <c r="A138" s="2856">
        <v>64</v>
      </c>
      <c r="B138" s="3487"/>
      <c r="C138" s="2856" t="s">
        <v>2792</v>
      </c>
      <c r="D138" s="2830" t="s">
        <v>2793</v>
      </c>
      <c r="E138" s="2856">
        <v>0.1</v>
      </c>
      <c r="F138" s="2856">
        <v>15</v>
      </c>
    </row>
    <row r="139" spans="1:6" ht="24">
      <c r="A139" s="2856">
        <v>65</v>
      </c>
      <c r="B139" s="2856" t="s">
        <v>2794</v>
      </c>
      <c r="C139" s="2856" t="s">
        <v>2795</v>
      </c>
      <c r="D139" s="2830" t="s">
        <v>2796</v>
      </c>
      <c r="E139" s="2856">
        <v>0.1</v>
      </c>
      <c r="F139" s="2856">
        <v>15</v>
      </c>
    </row>
    <row r="140" spans="1:6" ht="14.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33846</v>
      </c>
      <c r="C2" s="2" t="s">
        <v>106</v>
      </c>
      <c r="D2" s="191"/>
      <c r="E2" s="191"/>
      <c r="F2" s="191"/>
      <c r="G2" s="191"/>
    </row>
    <row r="3" spans="1:7" s="192" customFormat="1" ht="18" customHeight="1" thickBot="1">
      <c r="A3" s="195" t="s">
        <v>58</v>
      </c>
      <c r="B3" s="196">
        <f ca="1">ROUND(B2*10000/'数据-汇总表'!E3,0)</f>
        <v>35791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189</v>
      </c>
      <c r="D10" s="795">
        <f>'数据-汇总表'!E6</f>
        <v>9456.5000000000018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189</v>
      </c>
      <c r="D19" s="204">
        <f>'数据-汇总表'!E3</f>
        <v>9456.5000000000018</v>
      </c>
      <c r="E19" s="203">
        <f>'数据-取费表'!B31</f>
        <v>200</v>
      </c>
      <c r="F19" s="223"/>
      <c r="G19" s="1" t="s">
        <v>436</v>
      </c>
    </row>
    <row r="20" spans="1:7" s="206" customFormat="1" ht="13.5" customHeight="1">
      <c r="A20" s="731" t="s">
        <v>419</v>
      </c>
      <c r="B20" s="202" t="s">
        <v>77</v>
      </c>
      <c r="C20" s="224">
        <f>ROUND((C5+C19)*F20,0)</f>
        <v>416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1335</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12</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3182</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3182</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27848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4742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4255</v>
      </c>
      <c r="D34" s="209"/>
      <c r="E34" s="212"/>
      <c r="F34" s="249">
        <f>IF('数据-取费表'!B24=0,1,'数据-取费表'!N16)</f>
        <v>1</v>
      </c>
      <c r="G34" s="211" t="s">
        <v>89</v>
      </c>
    </row>
    <row r="35" spans="1:7" ht="13.5" customHeight="1">
      <c r="A35" s="734" t="s">
        <v>351</v>
      </c>
      <c r="B35" s="207" t="s">
        <v>33</v>
      </c>
      <c r="C35" s="212">
        <f>ROUND(C34*F35,0)</f>
        <v>213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189</v>
      </c>
      <c r="D37" s="209">
        <f>'数据-汇总表'!E3</f>
        <v>9456.5000000000018</v>
      </c>
      <c r="E37" s="241">
        <f>'数据-取费表'!B35</f>
        <v>200</v>
      </c>
      <c r="F37" s="251"/>
      <c r="G37" s="253" t="s">
        <v>92</v>
      </c>
    </row>
    <row r="38" spans="1:7" ht="13.5" customHeight="1">
      <c r="A38" s="734" t="s">
        <v>354</v>
      </c>
      <c r="B38" s="207" t="s">
        <v>36</v>
      </c>
      <c r="C38" s="212">
        <f>ROUND(C34*F38,0)</f>
        <v>85</v>
      </c>
      <c r="D38" s="212"/>
      <c r="E38" s="212"/>
      <c r="F38" s="251">
        <f>'数据-取费表'!B36</f>
        <v>0.02</v>
      </c>
      <c r="G38" s="211" t="s">
        <v>90</v>
      </c>
    </row>
    <row r="39" spans="1:7" s="206" customFormat="1" ht="13.5" customHeight="1">
      <c r="A39" s="731" t="s">
        <v>338</v>
      </c>
      <c r="B39" s="202" t="s">
        <v>77</v>
      </c>
      <c r="C39" s="224">
        <f>ROUND(C33*F20,0)</f>
        <v>95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151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148</v>
      </c>
      <c r="D42" s="230"/>
      <c r="E42" s="230"/>
      <c r="F42" s="231"/>
      <c r="G42" s="3364" t="s">
        <v>94</v>
      </c>
    </row>
    <row r="43" spans="1:7" ht="13.5" customHeight="1">
      <c r="A43" s="734" t="s">
        <v>347</v>
      </c>
      <c r="B43" s="207" t="s">
        <v>426</v>
      </c>
      <c r="C43" s="230">
        <f ca="1">ROUND(IF('数据-取费表'!B22&lt;=1,C39*F22*'数据-取费表'!B21/2,C39*(POWER((1+F22),'数据-取费表'!B21/2)-1)),0)</f>
        <v>3</v>
      </c>
      <c r="D43" s="230"/>
      <c r="E43" s="230"/>
      <c r="F43" s="231"/>
      <c r="G43" s="3365"/>
    </row>
    <row r="44" spans="1:7" ht="13.5" customHeight="1">
      <c r="A44" s="734" t="s">
        <v>348</v>
      </c>
      <c r="B44" s="207" t="s">
        <v>428</v>
      </c>
      <c r="C44" s="230">
        <f ca="1">ROUND(IF('数据-取费表'!B22&lt;=1,C40*F22*'数据-取费表'!B21/2,C40*(POWER((1+F22),'数据-取费表'!B21/2)-1)),4)</f>
        <v>5.9999999999999995E-4</v>
      </c>
      <c r="D44" s="230"/>
      <c r="E44" s="230"/>
      <c r="F44" s="231"/>
      <c r="G44" s="3366"/>
    </row>
    <row r="45" spans="1:7" s="206" customFormat="1" ht="13.5" customHeight="1">
      <c r="A45" s="731" t="s">
        <v>341</v>
      </c>
      <c r="B45" s="236" t="s">
        <v>85</v>
      </c>
      <c r="C45" s="237">
        <f>C46</f>
        <v>726</v>
      </c>
      <c r="D45" s="227">
        <f>C47</f>
        <v>3.0000000000000001E-3</v>
      </c>
      <c r="E45" s="228" t="s">
        <v>102</v>
      </c>
      <c r="F45" s="238"/>
      <c r="G45" s="239" t="s">
        <v>434</v>
      </c>
    </row>
    <row r="46" spans="1:7" s="206" customFormat="1" ht="13.5" customHeight="1">
      <c r="A46" s="734" t="s">
        <v>349</v>
      </c>
      <c r="B46" s="240" t="s">
        <v>427</v>
      </c>
      <c r="C46" s="241">
        <f>ROUND((C33+C39)*F27,0)</f>
        <v>726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6184</v>
      </c>
      <c r="D49" s="224"/>
      <c r="E49" s="224"/>
      <c r="F49" s="256"/>
      <c r="G49" s="226" t="s">
        <v>435</v>
      </c>
    </row>
    <row r="50" spans="1:7" s="250" customFormat="1" ht="24">
      <c r="A50" s="731" t="s">
        <v>344</v>
      </c>
      <c r="B50" s="202" t="s">
        <v>97</v>
      </c>
      <c r="C50" s="224"/>
      <c r="D50" s="224"/>
      <c r="E50" s="224"/>
      <c r="F50" s="256">
        <f>IF('数据-取费表'!B24=0,'数据-取费表'!N16,1)</f>
        <v>0.97</v>
      </c>
      <c r="G50" s="239" t="s">
        <v>98</v>
      </c>
    </row>
    <row r="51" spans="1:7" ht="16.5" customHeight="1">
      <c r="A51" s="731" t="s">
        <v>345</v>
      </c>
      <c r="B51" s="202" t="s">
        <v>105</v>
      </c>
      <c r="C51" s="224">
        <f ca="1">ROUND(C49*F50,0)</f>
        <v>5998</v>
      </c>
      <c r="D51" s="224"/>
      <c r="E51" s="224"/>
      <c r="F51" s="256"/>
      <c r="G51" s="226" t="s">
        <v>37</v>
      </c>
    </row>
    <row r="52" spans="1:7" s="200" customFormat="1" ht="16.8" thickBot="1">
      <c r="A52" s="257" t="s">
        <v>38</v>
      </c>
      <c r="B52" s="258"/>
      <c r="C52" s="259">
        <f ca="1">C31+C51</f>
        <v>33846</v>
      </c>
      <c r="D52" s="258"/>
      <c r="E52" s="258"/>
      <c r="F52" s="258"/>
      <c r="G52" s="260"/>
    </row>
    <row r="55" spans="1:7" ht="15">
      <c r="B55" s="262" t="s">
        <v>39</v>
      </c>
      <c r="C55" s="263"/>
    </row>
    <row r="56" spans="1:7">
      <c r="B56" s="265" t="s">
        <v>40</v>
      </c>
      <c r="C56" s="266">
        <f ca="1">ROUND(C51/C52,3)</f>
        <v>0.17699999999999999</v>
      </c>
    </row>
    <row r="57" spans="1:7">
      <c r="B57" s="265" t="s">
        <v>41</v>
      </c>
      <c r="C57" s="267">
        <f ca="1">1-C56</f>
        <v>0.82299999999999995</v>
      </c>
    </row>
  </sheetData>
  <mergeCells count="1">
    <mergeCell ref="G42:G44"/>
  </mergeCells>
  <phoneticPr fontId="20"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7.399999999999999">
      <c r="A3" s="3188" t="str">
        <f>IF(项目基本情况!B9="房地产市场价值","估价结果一览表（市场价值不需“结果表-1”）","估价结果一览表")</f>
        <v>估价结果一览表</v>
      </c>
      <c r="B3" s="3188"/>
      <c r="C3" s="3188"/>
      <c r="D3" s="3188"/>
      <c r="E3" s="3188"/>
    </row>
    <row r="4" spans="1:5" ht="18" thickBot="1">
      <c r="A4" s="1391"/>
      <c r="B4" s="3186" t="s">
        <v>917</v>
      </c>
      <c r="C4" s="3186"/>
      <c r="D4" s="3186"/>
      <c r="E4" s="1391"/>
    </row>
    <row r="5" spans="1:5" ht="16.2" thickTop="1">
      <c r="B5" s="3184" t="s">
        <v>909</v>
      </c>
      <c r="C5" s="1392" t="s">
        <v>910</v>
      </c>
      <c r="D5" s="797">
        <f ca="1">结果表!H101</f>
        <v>0</v>
      </c>
    </row>
    <row r="6" spans="1:5" ht="15.6">
      <c r="B6" s="3184"/>
      <c r="C6" s="1392" t="s">
        <v>911</v>
      </c>
      <c r="D6" s="797" t="str">
        <f ca="1">NUMBERSTRING(INT(D5*10000),2)&amp;"元整"</f>
        <v>零元整</v>
      </c>
    </row>
    <row r="7" spans="1:5" ht="15.6">
      <c r="B7" s="3189"/>
      <c r="C7" s="1393" t="s">
        <v>912</v>
      </c>
      <c r="D7" s="798">
        <f ca="1">结果表!H102</f>
        <v>19139</v>
      </c>
    </row>
    <row r="8" spans="1:5" ht="15.6">
      <c r="B8" s="3190" t="str">
        <f>结果表!E103</f>
        <v>2.估价师知悉的法定优先受偿款</v>
      </c>
      <c r="C8" s="1394" t="s">
        <v>913</v>
      </c>
      <c r="D8" s="798">
        <f>结果表!H103</f>
        <v>0</v>
      </c>
    </row>
    <row r="9" spans="1:5" ht="15.6">
      <c r="B9" s="319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3" t="str">
        <f>结果表!E107</f>
        <v>3.房地产抵押价值</v>
      </c>
      <c r="C13" s="1397" t="s">
        <v>910</v>
      </c>
      <c r="D13" s="800">
        <f ca="1">结果表!H107</f>
        <v>0</v>
      </c>
    </row>
    <row r="14" spans="1:5" ht="15.6">
      <c r="B14" s="3184"/>
      <c r="C14" s="1392" t="s">
        <v>911</v>
      </c>
      <c r="D14" s="797" t="str">
        <f ca="1">NUMBERSTRING(INT(D13*10000),2)&amp;"元整"</f>
        <v>零元整</v>
      </c>
    </row>
    <row r="15" spans="1:5" ht="15.6">
      <c r="B15" s="3189"/>
      <c r="C15" s="1393" t="s">
        <v>921</v>
      </c>
      <c r="D15" s="806">
        <f ca="1">结果表!H108</f>
        <v>19139</v>
      </c>
    </row>
    <row r="16" spans="1:5" ht="15.6">
      <c r="B16" s="3190" t="str">
        <f>结果表!E109</f>
        <v>——</v>
      </c>
      <c r="C16" s="1397" t="s">
        <v>922</v>
      </c>
      <c r="D16" s="1398" t="str">
        <f>结果表!H109</f>
        <v>——</v>
      </c>
    </row>
    <row r="17" spans="1:5" ht="15.6">
      <c r="B17" s="3191"/>
      <c r="C17" s="1392" t="s">
        <v>923</v>
      </c>
      <c r="D17" s="797" t="e">
        <f>NUMBERSTRING(INT(D16*10000),2)&amp;"元整"</f>
        <v>#VALUE!</v>
      </c>
    </row>
    <row r="18" spans="1:5" ht="15.6">
      <c r="B18" s="3192"/>
      <c r="C18" s="1393" t="s">
        <v>912</v>
      </c>
      <c r="D18" s="806" t="str">
        <f>结果表!H110</f>
        <v>——</v>
      </c>
    </row>
    <row r="19" spans="1:5" ht="15.6">
      <c r="B19" s="3183" t="str">
        <f>结果表!E111</f>
        <v>——</v>
      </c>
      <c r="C19" s="1397" t="s">
        <v>910</v>
      </c>
      <c r="D19" s="798" t="str">
        <f>结果表!H111</f>
        <v>——</v>
      </c>
    </row>
    <row r="20" spans="1:5" ht="15.6">
      <c r="B20" s="3184"/>
      <c r="C20" s="1392" t="s">
        <v>923</v>
      </c>
      <c r="D20" s="797" t="e">
        <f>NUMBERSTRING(INT(D19*10000),2)&amp;"元整"</f>
        <v>#VALUE!</v>
      </c>
    </row>
    <row r="21" spans="1:5" ht="16.2" thickBot="1">
      <c r="B21" s="318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01" t="s">
        <v>3181</v>
      </c>
      <c r="B1" s="3501"/>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502" t="s">
        <v>3232</v>
      </c>
      <c r="B1" s="3502"/>
      <c r="C1" s="3502"/>
      <c r="D1" s="3502"/>
      <c r="E1" s="3502"/>
      <c r="F1" s="3503"/>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Q16" sqref="Q16"/>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2" t="s">
        <v>1766</v>
      </c>
      <c r="C1" s="1155" t="s">
        <v>1662</v>
      </c>
      <c r="D1" s="1142" t="s">
        <v>673</v>
      </c>
      <c r="E1" s="3123" t="s">
        <v>3431</v>
      </c>
      <c r="F1" s="1733" t="s">
        <v>3432</v>
      </c>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e">
        <f>IF(E1="项目模式",IF(C2="——",ROUND(C49*D3/10000,0),ROUND(C49*D3/10000,0)-D2),IF(E1="单套模式",IF(C2="——",ROUND(C49*D3/10000,4),ROUND(C49*D3/10000,4)-D2)))</f>
        <v>#DIV/0!</v>
      </c>
      <c r="C2" s="1735" t="s">
        <v>43</v>
      </c>
      <c r="D2" s="1052" t="e">
        <f ca="1">IF(E1="项目模式",SUMIF(INDIRECT("'"&amp;F2&amp;"'"&amp;"!A:A"),"承租人权益价值",INDIRECT("'"&amp;F2&amp;"'"&amp;"!c:c")),SUMIF(INDIRECT("'"&amp;F2&amp;"'"&amp;"!A:A"),"承租人权益价值（单套）",INDIRECT("'"&amp;F2&amp;"'"&amp;"!c:c")))</f>
        <v>#REF!</v>
      </c>
      <c r="E2" s="1736" t="s">
        <v>1463</v>
      </c>
      <c r="F2" s="1737"/>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t="e">
        <f>IF(C2="——",C49,ROUND(B2*10000/D3,0))</f>
        <v>#DIV/0!</v>
      </c>
      <c r="C3" s="344" t="s">
        <v>1768</v>
      </c>
      <c r="D3" s="343">
        <f>IF(D1="",'数据-汇总表'!E3,SUMIF('数据-汇总表'!$C19:$C33,D1,'数据-汇总表'!$E19:$E33))</f>
        <v>0</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4.4">
      <c r="A4" s="345" t="s">
        <v>1769</v>
      </c>
      <c r="B4" s="346"/>
      <c r="C4" s="3409" t="s">
        <v>1770</v>
      </c>
      <c r="D4" s="3410"/>
      <c r="E4" s="3411" t="s">
        <v>1771</v>
      </c>
      <c r="F4" s="3412"/>
      <c r="G4" s="3409" t="s">
        <v>1772</v>
      </c>
      <c r="H4" s="3410"/>
      <c r="I4" s="3409" t="s">
        <v>1773</v>
      </c>
      <c r="J4" s="3410"/>
      <c r="K4" s="537" t="s">
        <v>1774</v>
      </c>
      <c r="L4" s="2485"/>
      <c r="M4" s="2486"/>
      <c r="N4" s="2486"/>
      <c r="O4" s="2486"/>
      <c r="P4" s="3466" t="s">
        <v>1775</v>
      </c>
      <c r="Q4" s="3467"/>
      <c r="R4" s="3470" t="s">
        <v>1771</v>
      </c>
      <c r="S4" s="3471"/>
      <c r="T4" s="3470" t="s">
        <v>1772</v>
      </c>
      <c r="U4" s="3471"/>
      <c r="V4" s="3393" t="s">
        <v>1773</v>
      </c>
      <c r="W4" s="3393"/>
      <c r="X4" s="1265"/>
      <c r="Y4" s="3470" t="s">
        <v>1775</v>
      </c>
      <c r="Z4" s="3471"/>
      <c r="AA4" s="3465" t="s">
        <v>1771</v>
      </c>
      <c r="AB4" s="3393" t="s">
        <v>1772</v>
      </c>
      <c r="AC4" s="3465" t="s">
        <v>1773</v>
      </c>
    </row>
    <row r="5" spans="1:29">
      <c r="A5" s="348"/>
      <c r="B5" s="349"/>
      <c r="C5" s="3428" t="s">
        <v>1673</v>
      </c>
      <c r="D5" s="3429"/>
      <c r="E5" s="3439" t="s">
        <v>1674</v>
      </c>
      <c r="F5" s="3440"/>
      <c r="G5" s="3428" t="s">
        <v>1675</v>
      </c>
      <c r="H5" s="3429"/>
      <c r="I5" s="3428" t="s">
        <v>1676</v>
      </c>
      <c r="J5" s="3429"/>
      <c r="K5" s="537"/>
      <c r="L5" s="2485"/>
      <c r="M5" s="2486"/>
      <c r="N5" s="2486"/>
      <c r="O5" s="2486"/>
      <c r="P5" s="3468"/>
      <c r="Q5" s="3416"/>
      <c r="R5" s="3421"/>
      <c r="S5" s="3422"/>
      <c r="T5" s="3421"/>
      <c r="U5" s="3422"/>
      <c r="V5" s="3393"/>
      <c r="W5" s="3393"/>
      <c r="X5" s="1265"/>
      <c r="Y5" s="3421"/>
      <c r="Z5" s="3422"/>
      <c r="AA5" s="3437"/>
      <c r="AB5" s="3393"/>
      <c r="AC5" s="3437"/>
    </row>
    <row r="6" spans="1:29" ht="15" thickBot="1">
      <c r="A6" s="350"/>
      <c r="B6" s="351"/>
      <c r="C6" s="3426" t="s">
        <v>1677</v>
      </c>
      <c r="D6" s="3427"/>
      <c r="E6" s="3434" t="s">
        <v>1677</v>
      </c>
      <c r="F6" s="3435"/>
      <c r="G6" s="3426" t="s">
        <v>1677</v>
      </c>
      <c r="H6" s="3427"/>
      <c r="I6" s="3426" t="s">
        <v>1677</v>
      </c>
      <c r="J6" s="3427"/>
      <c r="K6" s="537" t="s">
        <v>1678</v>
      </c>
      <c r="L6" s="2485"/>
      <c r="M6" s="2486"/>
      <c r="N6" s="2486"/>
      <c r="O6" s="2486"/>
      <c r="P6" s="3469"/>
      <c r="Q6" s="3418"/>
      <c r="R6" s="3421"/>
      <c r="S6" s="3422"/>
      <c r="T6" s="3423"/>
      <c r="U6" s="3424"/>
      <c r="V6" s="3393"/>
      <c r="W6" s="3393"/>
      <c r="X6" s="1265"/>
      <c r="Y6" s="3423"/>
      <c r="Z6" s="3424"/>
      <c r="AA6" s="3438"/>
      <c r="AB6" s="3393"/>
      <c r="AC6" s="3438"/>
    </row>
    <row r="7" spans="1:29" s="102" customFormat="1" ht="15" thickBot="1">
      <c r="A7" s="352" t="s">
        <v>1679</v>
      </c>
      <c r="B7" s="353"/>
      <c r="C7" s="354">
        <f>'数据-取费表'!B2</f>
        <v>46013</v>
      </c>
      <c r="D7" s="355">
        <v>100</v>
      </c>
      <c r="E7" s="356"/>
      <c r="F7" s="357">
        <f>SUMIF(58:58,YEAR(E7)&amp;"-"&amp;MONTH(E7),59:59)</f>
        <v>0</v>
      </c>
      <c r="G7" s="356"/>
      <c r="H7" s="355">
        <f>SUMIF(58:58,YEAR(G7)&amp;"-"&amp;MONTH(G7),59:59)</f>
        <v>0</v>
      </c>
      <c r="I7" s="356"/>
      <c r="J7" s="355">
        <f>SUMIF(58:58,YEAR(I7)&amp;"-"&amp;MONTH(I7),59:59)</f>
        <v>0</v>
      </c>
      <c r="K7" s="38"/>
      <c r="L7" s="2487"/>
      <c r="M7" s="2438"/>
      <c r="N7" s="2438"/>
      <c r="O7" s="2438"/>
      <c r="P7" s="3432" t="s">
        <v>1680</v>
      </c>
      <c r="Q7" s="3433"/>
      <c r="R7" s="664" t="s">
        <v>14</v>
      </c>
      <c r="S7" s="665">
        <f t="shared" ref="S7:S15" si="0">F7</f>
        <v>0</v>
      </c>
      <c r="T7" s="664" t="s">
        <v>14</v>
      </c>
      <c r="U7" s="665">
        <f t="shared" ref="U7:U15" si="1">H7</f>
        <v>0</v>
      </c>
      <c r="V7" s="664" t="s">
        <v>14</v>
      </c>
      <c r="W7" s="665">
        <f t="shared" ref="W7:W15" si="2">J7</f>
        <v>0</v>
      </c>
      <c r="X7" s="666"/>
      <c r="Y7" s="3432" t="s">
        <v>1680</v>
      </c>
      <c r="Z7" s="343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32" t="s">
        <v>1683</v>
      </c>
      <c r="Q8" s="3431"/>
      <c r="R8" s="664" t="s">
        <v>14</v>
      </c>
      <c r="S8" s="665">
        <f t="shared" si="0"/>
        <v>100</v>
      </c>
      <c r="T8" s="664" t="s">
        <v>14</v>
      </c>
      <c r="U8" s="665">
        <f t="shared" si="1"/>
        <v>100</v>
      </c>
      <c r="V8" s="664" t="s">
        <v>14</v>
      </c>
      <c r="W8" s="665">
        <f t="shared" si="2"/>
        <v>100</v>
      </c>
      <c r="X8" s="666"/>
      <c r="Y8" s="3432" t="s">
        <v>1683</v>
      </c>
      <c r="Z8" s="343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1"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1"/>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1"/>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1"/>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6"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1"/>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69">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7" t="s">
        <v>1691</v>
      </c>
      <c r="Q15" s="1263" t="str">
        <f t="shared" si="6"/>
        <v>商业繁华度</v>
      </c>
      <c r="R15" s="667" t="s">
        <v>14</v>
      </c>
      <c r="S15" s="668">
        <f t="shared" si="0"/>
        <v>100</v>
      </c>
      <c r="T15" s="667" t="s">
        <v>14</v>
      </c>
      <c r="U15" s="668">
        <f t="shared" si="1"/>
        <v>100</v>
      </c>
      <c r="V15" s="667" t="s">
        <v>14</v>
      </c>
      <c r="W15" s="668">
        <f t="shared" si="2"/>
        <v>100</v>
      </c>
      <c r="X15" s="1265"/>
      <c r="Y15" s="339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8"/>
      <c r="Q16" s="1263"/>
      <c r="R16" s="667"/>
      <c r="S16" s="668"/>
      <c r="T16" s="667"/>
      <c r="U16" s="668"/>
      <c r="V16" s="667"/>
      <c r="W16" s="668"/>
      <c r="X16" s="1265"/>
      <c r="Y16" s="3400"/>
      <c r="Z16" s="1264"/>
      <c r="AA16" s="1264">
        <v>1</v>
      </c>
      <c r="AB16" s="1264">
        <v>1</v>
      </c>
      <c r="AC16" s="1264">
        <v>1</v>
      </c>
    </row>
    <row r="17" spans="1:29" ht="82.8">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8"/>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395"/>
      <c r="C18" s="1753"/>
      <c r="D18" s="389"/>
      <c r="E18" s="1755"/>
      <c r="F18" s="392"/>
      <c r="G18" s="1754"/>
      <c r="H18" s="387"/>
      <c r="I18" s="1755"/>
      <c r="J18" s="387"/>
      <c r="K18" s="541"/>
      <c r="L18" s="2491"/>
      <c r="M18" s="2486"/>
      <c r="N18" s="2486"/>
      <c r="O18" s="2486"/>
      <c r="P18" s="3398"/>
      <c r="Q18" s="1263"/>
      <c r="R18" s="667"/>
      <c r="S18" s="668"/>
      <c r="T18" s="667"/>
      <c r="U18" s="668"/>
      <c r="V18" s="667"/>
      <c r="W18" s="668"/>
      <c r="X18" s="1265"/>
      <c r="Y18" s="3400"/>
      <c r="Z18" s="1264"/>
      <c r="AA18" s="1264">
        <v>1</v>
      </c>
      <c r="AB18" s="1264">
        <v>1</v>
      </c>
      <c r="AC18" s="1264">
        <v>1</v>
      </c>
    </row>
    <row r="19" spans="1:29" ht="41.4">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8"/>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264">
        <f t="shared" si="5"/>
        <v>1</v>
      </c>
    </row>
    <row r="20" spans="1:29" ht="15">
      <c r="A20" s="367"/>
      <c r="B20" s="395"/>
      <c r="C20" s="386"/>
      <c r="D20" s="387"/>
      <c r="E20" s="1750"/>
      <c r="F20" s="388"/>
      <c r="G20" s="1749"/>
      <c r="H20" s="387"/>
      <c r="I20" s="1750"/>
      <c r="J20" s="387"/>
      <c r="K20" s="541"/>
      <c r="L20" s="2491"/>
      <c r="M20" s="2486"/>
      <c r="N20" s="2486"/>
      <c r="O20" s="2486"/>
      <c r="P20" s="3398"/>
      <c r="Q20" s="1263"/>
      <c r="R20" s="667"/>
      <c r="S20" s="668"/>
      <c r="T20" s="667"/>
      <c r="U20" s="668"/>
      <c r="V20" s="667"/>
      <c r="W20" s="668"/>
      <c r="X20" s="1265"/>
      <c r="Y20" s="3400"/>
      <c r="Z20" s="1264"/>
      <c r="AA20" s="1264">
        <v>1</v>
      </c>
      <c r="AB20" s="1264">
        <v>1</v>
      </c>
      <c r="AC20" s="1264">
        <v>1</v>
      </c>
    </row>
    <row r="21" spans="1:29" ht="27.6">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8"/>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3"/>
      <c r="D22" s="387"/>
      <c r="E22" s="386"/>
      <c r="F22" s="388"/>
      <c r="G22" s="386"/>
      <c r="H22" s="387"/>
      <c r="I22" s="386"/>
      <c r="J22" s="387"/>
      <c r="K22" s="1064"/>
      <c r="L22" s="2491"/>
      <c r="M22" s="2486"/>
      <c r="N22" s="2486"/>
      <c r="O22" s="2486"/>
      <c r="P22" s="3398"/>
      <c r="Q22" s="1263"/>
      <c r="R22" s="667"/>
      <c r="S22" s="668"/>
      <c r="T22" s="667"/>
      <c r="U22" s="668"/>
      <c r="V22" s="667"/>
      <c r="W22" s="668"/>
      <c r="X22" s="1265"/>
      <c r="Y22" s="3400"/>
      <c r="Z22" s="1264"/>
      <c r="AA22" s="1264">
        <v>1</v>
      </c>
      <c r="AB22" s="1264">
        <v>1</v>
      </c>
      <c r="AC22" s="1264">
        <v>1</v>
      </c>
    </row>
    <row r="23" spans="1:29" ht="55.2">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8"/>
      <c r="Q23" s="1263" t="str">
        <f>B23</f>
        <v>自然及人文环境</v>
      </c>
      <c r="R23" s="667" t="s">
        <v>14</v>
      </c>
      <c r="S23" s="668">
        <f>F23</f>
        <v>100</v>
      </c>
      <c r="T23" s="667" t="s">
        <v>14</v>
      </c>
      <c r="U23" s="668">
        <f>H23</f>
        <v>100</v>
      </c>
      <c r="V23" s="667" t="s">
        <v>14</v>
      </c>
      <c r="W23" s="668">
        <f>J23</f>
        <v>100</v>
      </c>
      <c r="X23" s="1265"/>
      <c r="Y23" s="3400"/>
      <c r="Z23" s="1264" t="str">
        <f>Q23</f>
        <v>自然及人文环境</v>
      </c>
      <c r="AA23" s="1264">
        <f t="shared" si="3"/>
        <v>1</v>
      </c>
      <c r="AB23" s="1264">
        <f t="shared" si="4"/>
        <v>1</v>
      </c>
      <c r="AC23" s="1264">
        <f t="shared" si="5"/>
        <v>1</v>
      </c>
    </row>
    <row r="24" spans="1:29" ht="15">
      <c r="A24" s="367"/>
      <c r="B24" s="395"/>
      <c r="C24" s="386"/>
      <c r="D24" s="387"/>
      <c r="E24" s="1750"/>
      <c r="F24" s="388"/>
      <c r="G24" s="1749"/>
      <c r="H24" s="387"/>
      <c r="I24" s="1750"/>
      <c r="J24" s="387"/>
      <c r="K24" s="541"/>
      <c r="L24" s="2491"/>
      <c r="M24" s="2486"/>
      <c r="N24" s="2486"/>
      <c r="O24" s="2486"/>
      <c r="P24" s="3398"/>
      <c r="Q24" s="1263"/>
      <c r="R24" s="667"/>
      <c r="S24" s="668"/>
      <c r="T24" s="667"/>
      <c r="U24" s="668"/>
      <c r="V24" s="667"/>
      <c r="W24" s="668"/>
      <c r="X24" s="1265"/>
      <c r="Y24" s="340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8"/>
      <c r="Q25" s="1263" t="str">
        <f t="shared" ref="Q25:Q46" si="11">B25</f>
        <v>临街状况</v>
      </c>
      <c r="R25" s="667" t="s">
        <v>14</v>
      </c>
      <c r="S25" s="668">
        <f>F25</f>
        <v>100</v>
      </c>
      <c r="T25" s="667" t="s">
        <v>14</v>
      </c>
      <c r="U25" s="668">
        <f>H25</f>
        <v>100</v>
      </c>
      <c r="V25" s="667" t="s">
        <v>14</v>
      </c>
      <c r="W25" s="668">
        <f>J25</f>
        <v>100</v>
      </c>
      <c r="X25" s="1265"/>
      <c r="Y25" s="340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8"/>
      <c r="Q26" s="1263" t="str">
        <f t="shared" si="11"/>
        <v>平面位置/可视性</v>
      </c>
      <c r="R26" s="667" t="s">
        <v>14</v>
      </c>
      <c r="S26" s="668">
        <f>F26</f>
        <v>100</v>
      </c>
      <c r="T26" s="667" t="s">
        <v>14</v>
      </c>
      <c r="U26" s="668">
        <f>H26</f>
        <v>100</v>
      </c>
      <c r="V26" s="667" t="s">
        <v>14</v>
      </c>
      <c r="W26" s="668">
        <f>J26</f>
        <v>100</v>
      </c>
      <c r="X26" s="1265"/>
      <c r="Y26" s="3400"/>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98"/>
      <c r="Q27" s="530" t="str">
        <f t="shared" si="11"/>
        <v>人流量</v>
      </c>
      <c r="R27" s="664" t="s">
        <v>14</v>
      </c>
      <c r="S27" s="665">
        <f>F27</f>
        <v>100</v>
      </c>
      <c r="T27" s="664" t="s">
        <v>14</v>
      </c>
      <c r="U27" s="665">
        <f>H27</f>
        <v>100</v>
      </c>
      <c r="V27" s="664" t="s">
        <v>14</v>
      </c>
      <c r="W27" s="665">
        <f>J27</f>
        <v>100</v>
      </c>
      <c r="X27" s="666"/>
      <c r="Y27" s="340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8"/>
      <c r="Q29" s="1263">
        <f t="shared" si="11"/>
        <v>111</v>
      </c>
      <c r="R29" s="667" t="s">
        <v>14</v>
      </c>
      <c r="S29" s="668">
        <f t="shared" si="12"/>
        <v>100</v>
      </c>
      <c r="T29" s="667" t="s">
        <v>14</v>
      </c>
      <c r="U29" s="668">
        <f t="shared" si="13"/>
        <v>100</v>
      </c>
      <c r="V29" s="667" t="s">
        <v>14</v>
      </c>
      <c r="W29" s="668">
        <f t="shared" si="14"/>
        <v>100</v>
      </c>
      <c r="X29" s="1265"/>
      <c r="Y29" s="340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8"/>
      <c r="Q30" s="1263">
        <f t="shared" si="11"/>
        <v>111</v>
      </c>
      <c r="R30" s="667" t="s">
        <v>14</v>
      </c>
      <c r="S30" s="668">
        <f t="shared" si="12"/>
        <v>100</v>
      </c>
      <c r="T30" s="667" t="s">
        <v>14</v>
      </c>
      <c r="U30" s="668">
        <f t="shared" si="13"/>
        <v>100</v>
      </c>
      <c r="V30" s="667" t="s">
        <v>14</v>
      </c>
      <c r="W30" s="668">
        <f t="shared" si="14"/>
        <v>100</v>
      </c>
      <c r="X30" s="1265"/>
      <c r="Y30" s="340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8"/>
      <c r="Q31" s="1263">
        <f t="shared" si="11"/>
        <v>111</v>
      </c>
      <c r="R31" s="667" t="s">
        <v>14</v>
      </c>
      <c r="S31" s="668">
        <f t="shared" si="12"/>
        <v>100</v>
      </c>
      <c r="T31" s="667" t="s">
        <v>14</v>
      </c>
      <c r="U31" s="668">
        <f t="shared" si="13"/>
        <v>100</v>
      </c>
      <c r="V31" s="667" t="s">
        <v>14</v>
      </c>
      <c r="W31" s="668">
        <f t="shared" si="14"/>
        <v>100</v>
      </c>
      <c r="X31" s="1265"/>
      <c r="Y31" s="3400"/>
      <c r="Z31" s="1264">
        <f t="shared" si="15"/>
        <v>111</v>
      </c>
      <c r="AA31" s="1264">
        <f t="shared" si="3"/>
        <v>1</v>
      </c>
      <c r="AB31" s="1264">
        <f t="shared" si="4"/>
        <v>1</v>
      </c>
      <c r="AC31" s="1264">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1"/>
      <c r="M32" s="2486"/>
      <c r="N32" s="2486"/>
      <c r="O32" s="2486"/>
      <c r="P32" s="3401" t="s">
        <v>1696</v>
      </c>
      <c r="Q32" s="1263" t="str">
        <f t="shared" si="11"/>
        <v>商业类型</v>
      </c>
      <c r="R32" s="667" t="s">
        <v>14</v>
      </c>
      <c r="S32" s="668">
        <f t="shared" si="12"/>
        <v>100</v>
      </c>
      <c r="T32" s="667" t="s">
        <v>14</v>
      </c>
      <c r="U32" s="668">
        <f t="shared" si="13"/>
        <v>100</v>
      </c>
      <c r="V32" s="667" t="s">
        <v>14</v>
      </c>
      <c r="W32" s="668">
        <f t="shared" si="14"/>
        <v>100</v>
      </c>
      <c r="X32" s="1265"/>
      <c r="Y32" s="340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2"/>
      <c r="Q33" s="531" t="str">
        <f t="shared" si="11"/>
        <v>项目建筑规模</v>
      </c>
      <c r="R33" s="669" t="s">
        <v>14</v>
      </c>
      <c r="S33" s="670" t="e">
        <f t="shared" si="12"/>
        <v>#N/A</v>
      </c>
      <c r="T33" s="669" t="s">
        <v>14</v>
      </c>
      <c r="U33" s="670" t="e">
        <f t="shared" si="13"/>
        <v>#N/A</v>
      </c>
      <c r="V33" s="669" t="s">
        <v>14</v>
      </c>
      <c r="W33" s="670" t="e">
        <f t="shared" si="14"/>
        <v>#N/A</v>
      </c>
      <c r="X33" s="671"/>
      <c r="Y33" s="340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2"/>
      <c r="Q34" s="1263" t="str">
        <f t="shared" si="11"/>
        <v>建筑结构</v>
      </c>
      <c r="R34" s="667" t="s">
        <v>14</v>
      </c>
      <c r="S34" s="668">
        <f t="shared" si="12"/>
        <v>100</v>
      </c>
      <c r="T34" s="667" t="s">
        <v>14</v>
      </c>
      <c r="U34" s="668">
        <f t="shared" si="13"/>
        <v>100</v>
      </c>
      <c r="V34" s="667" t="s">
        <v>14</v>
      </c>
      <c r="W34" s="668">
        <f t="shared" si="14"/>
        <v>100</v>
      </c>
      <c r="X34" s="1265"/>
      <c r="Y34" s="3404"/>
      <c r="Z34" s="1264" t="str">
        <f t="shared" si="15"/>
        <v>建筑结构</v>
      </c>
      <c r="AA34" s="1264">
        <f t="shared" si="3"/>
        <v>1</v>
      </c>
      <c r="AB34" s="1264">
        <f t="shared" si="4"/>
        <v>1</v>
      </c>
      <c r="AC34" s="1264">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402"/>
      <c r="Q35" s="1263" t="str">
        <f t="shared" si="11"/>
        <v>公共部分装修</v>
      </c>
      <c r="R35" s="667" t="s">
        <v>14</v>
      </c>
      <c r="S35" s="668">
        <f t="shared" si="12"/>
        <v>100</v>
      </c>
      <c r="T35" s="667" t="s">
        <v>14</v>
      </c>
      <c r="U35" s="668">
        <f t="shared" si="13"/>
        <v>100</v>
      </c>
      <c r="V35" s="667" t="s">
        <v>14</v>
      </c>
      <c r="W35" s="668">
        <f t="shared" si="14"/>
        <v>100</v>
      </c>
      <c r="X35" s="1265"/>
      <c r="Y35" s="340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2"/>
      <c r="Q36" s="1263" t="str">
        <f t="shared" si="11"/>
        <v>成新度</v>
      </c>
      <c r="R36" s="667" t="s">
        <v>14</v>
      </c>
      <c r="S36" s="668" t="e">
        <f t="shared" si="12"/>
        <v>#N/A</v>
      </c>
      <c r="T36" s="667" t="s">
        <v>14</v>
      </c>
      <c r="U36" s="668" t="e">
        <f t="shared" si="13"/>
        <v>#N/A</v>
      </c>
      <c r="V36" s="667" t="s">
        <v>14</v>
      </c>
      <c r="W36" s="668" t="e">
        <f t="shared" si="14"/>
        <v>#N/A</v>
      </c>
      <c r="X36" s="1265"/>
      <c r="Y36" s="3404"/>
      <c r="Z36" s="1264" t="str">
        <f t="shared" si="15"/>
        <v>成新度</v>
      </c>
      <c r="AA36" s="1264" t="e">
        <f t="shared" si="3"/>
        <v>#N/A</v>
      </c>
      <c r="AB36" s="1264" t="e">
        <f t="shared" si="4"/>
        <v>#N/A</v>
      </c>
      <c r="AC36" s="1264"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402"/>
      <c r="Q37" s="530" t="str">
        <f t="shared" si="11"/>
        <v>市政基础设施</v>
      </c>
      <c r="R37" s="664" t="s">
        <v>14</v>
      </c>
      <c r="S37" s="665">
        <f t="shared" si="12"/>
        <v>100</v>
      </c>
      <c r="T37" s="664" t="s">
        <v>14</v>
      </c>
      <c r="U37" s="665">
        <f t="shared" si="13"/>
        <v>100</v>
      </c>
      <c r="V37" s="664" t="s">
        <v>14</v>
      </c>
      <c r="W37" s="665">
        <f t="shared" si="14"/>
        <v>100</v>
      </c>
      <c r="X37" s="666"/>
      <c r="Y37" s="3404"/>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1"/>
      <c r="M38" s="2486"/>
      <c r="N38" s="2486"/>
      <c r="O38" s="2486"/>
      <c r="P38" s="3402" t="s">
        <v>1696</v>
      </c>
      <c r="Q38" s="1263" t="str">
        <f t="shared" si="11"/>
        <v>业态</v>
      </c>
      <c r="R38" s="667" t="s">
        <v>14</v>
      </c>
      <c r="S38" s="668">
        <f t="shared" si="12"/>
        <v>100</v>
      </c>
      <c r="T38" s="667" t="s">
        <v>14</v>
      </c>
      <c r="U38" s="668">
        <f t="shared" si="13"/>
        <v>100</v>
      </c>
      <c r="V38" s="667" t="s">
        <v>14</v>
      </c>
      <c r="W38" s="668">
        <f t="shared" si="14"/>
        <v>100</v>
      </c>
      <c r="X38" s="1265"/>
      <c r="Y38" s="3404" t="s">
        <v>1696</v>
      </c>
      <c r="Z38" s="1264" t="str">
        <f t="shared" si="15"/>
        <v>业态</v>
      </c>
      <c r="AA38" s="1264">
        <f t="shared" si="3"/>
        <v>1</v>
      </c>
      <c r="AB38" s="1264">
        <f t="shared" si="4"/>
        <v>1</v>
      </c>
      <c r="AC38" s="1264">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402"/>
      <c r="Q39" s="1263" t="str">
        <f t="shared" si="11"/>
        <v>层高</v>
      </c>
      <c r="R39" s="667" t="s">
        <v>14</v>
      </c>
      <c r="S39" s="668">
        <f t="shared" si="12"/>
        <v>100</v>
      </c>
      <c r="T39" s="667" t="s">
        <v>14</v>
      </c>
      <c r="U39" s="668">
        <f t="shared" si="13"/>
        <v>100</v>
      </c>
      <c r="V39" s="667" t="s">
        <v>14</v>
      </c>
      <c r="W39" s="668">
        <f t="shared" si="14"/>
        <v>100</v>
      </c>
      <c r="X39" s="1265"/>
      <c r="Y39" s="340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2"/>
      <c r="Q40" s="1263" t="str">
        <f t="shared" si="11"/>
        <v>单套建筑面积</v>
      </c>
      <c r="R40" s="667" t="s">
        <v>14</v>
      </c>
      <c r="S40" s="668">
        <f t="shared" si="12"/>
        <v>100</v>
      </c>
      <c r="T40" s="667" t="s">
        <v>14</v>
      </c>
      <c r="U40" s="668">
        <f t="shared" si="13"/>
        <v>100</v>
      </c>
      <c r="V40" s="667" t="s">
        <v>14</v>
      </c>
      <c r="W40" s="668">
        <f t="shared" si="14"/>
        <v>100</v>
      </c>
      <c r="X40" s="1265"/>
      <c r="Y40" s="340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2"/>
      <c r="Q41" s="531" t="str">
        <f t="shared" si="11"/>
        <v>进深比</v>
      </c>
      <c r="R41" s="669" t="s">
        <v>14</v>
      </c>
      <c r="S41" s="670">
        <f t="shared" si="12"/>
        <v>100</v>
      </c>
      <c r="T41" s="669" t="s">
        <v>14</v>
      </c>
      <c r="U41" s="670">
        <f t="shared" si="13"/>
        <v>100</v>
      </c>
      <c r="V41" s="669" t="s">
        <v>14</v>
      </c>
      <c r="W41" s="670">
        <f t="shared" si="14"/>
        <v>100</v>
      </c>
      <c r="X41" s="671"/>
      <c r="Y41" s="3404"/>
      <c r="Z41" s="672" t="str">
        <f t="shared" si="15"/>
        <v>进深比</v>
      </c>
      <c r="AA41" s="1264">
        <f t="shared" si="3"/>
        <v>1</v>
      </c>
      <c r="AB41" s="1264">
        <f t="shared" si="4"/>
        <v>1</v>
      </c>
      <c r="AC41" s="1264">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86"/>
      <c r="N42" s="2486"/>
      <c r="O42" s="2486"/>
      <c r="P42" s="3402"/>
      <c r="Q42" s="1263" t="str">
        <f t="shared" si="11"/>
        <v>内部装修</v>
      </c>
      <c r="R42" s="667" t="s">
        <v>14</v>
      </c>
      <c r="S42" s="668">
        <f t="shared" si="12"/>
        <v>100</v>
      </c>
      <c r="T42" s="667" t="s">
        <v>14</v>
      </c>
      <c r="U42" s="668">
        <f t="shared" si="13"/>
        <v>100</v>
      </c>
      <c r="V42" s="667" t="s">
        <v>14</v>
      </c>
      <c r="W42" s="668">
        <f t="shared" si="14"/>
        <v>100</v>
      </c>
      <c r="X42" s="1265"/>
      <c r="Y42" s="3404"/>
      <c r="Z42" s="1264" t="str">
        <f t="shared" si="15"/>
        <v>内部装修</v>
      </c>
      <c r="AA42" s="1264">
        <f t="shared" si="3"/>
        <v>1</v>
      </c>
      <c r="AB42" s="1264">
        <f t="shared" si="4"/>
        <v>1</v>
      </c>
      <c r="AC42" s="1264">
        <f t="shared" si="5"/>
        <v>1</v>
      </c>
    </row>
    <row r="43" spans="1:29" ht="28.8">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86"/>
      <c r="N43" s="2486"/>
      <c r="O43" s="2486"/>
      <c r="P43" s="3402"/>
      <c r="Q43" s="1263" t="str">
        <f t="shared" si="11"/>
        <v>内部装修维护情况</v>
      </c>
      <c r="R43" s="667" t="s">
        <v>14</v>
      </c>
      <c r="S43" s="668">
        <f t="shared" si="12"/>
        <v>100</v>
      </c>
      <c r="T43" s="667" t="s">
        <v>14</v>
      </c>
      <c r="U43" s="668">
        <f t="shared" si="13"/>
        <v>100</v>
      </c>
      <c r="V43" s="667" t="s">
        <v>14</v>
      </c>
      <c r="W43" s="668">
        <f t="shared" si="14"/>
        <v>100</v>
      </c>
      <c r="X43" s="1265"/>
      <c r="Y43" s="340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02"/>
      <c r="Q44" s="530">
        <f t="shared" si="11"/>
        <v>111</v>
      </c>
      <c r="R44" s="664" t="s">
        <v>14</v>
      </c>
      <c r="S44" s="665">
        <f t="shared" si="12"/>
        <v>100</v>
      </c>
      <c r="T44" s="664" t="s">
        <v>14</v>
      </c>
      <c r="U44" s="665">
        <f t="shared" si="13"/>
        <v>100</v>
      </c>
      <c r="V44" s="664" t="s">
        <v>14</v>
      </c>
      <c r="W44" s="665">
        <f t="shared" si="14"/>
        <v>100</v>
      </c>
      <c r="X44" s="666"/>
      <c r="Y44" s="340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2"/>
      <c r="Q45" s="1263">
        <f t="shared" si="11"/>
        <v>111</v>
      </c>
      <c r="R45" s="667" t="s">
        <v>14</v>
      </c>
      <c r="S45" s="668">
        <f t="shared" si="12"/>
        <v>100</v>
      </c>
      <c r="T45" s="667" t="s">
        <v>14</v>
      </c>
      <c r="U45" s="668">
        <f t="shared" si="13"/>
        <v>100</v>
      </c>
      <c r="V45" s="667" t="s">
        <v>14</v>
      </c>
      <c r="W45" s="668">
        <f t="shared" si="14"/>
        <v>100</v>
      </c>
      <c r="X45" s="1265"/>
      <c r="Y45" s="3404"/>
      <c r="Z45" s="1264">
        <f t="shared" si="15"/>
        <v>111</v>
      </c>
      <c r="AA45" s="1264">
        <f t="shared" si="3"/>
        <v>1</v>
      </c>
      <c r="AB45" s="1264">
        <f t="shared" si="4"/>
        <v>1</v>
      </c>
      <c r="AC45" s="1264">
        <f t="shared" si="5"/>
        <v>1</v>
      </c>
    </row>
    <row r="46" spans="1:29" ht="15.6"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3"/>
      <c r="Q46" s="1263">
        <f t="shared" si="11"/>
        <v>111</v>
      </c>
      <c r="R46" s="667" t="s">
        <v>14</v>
      </c>
      <c r="S46" s="668">
        <f t="shared" si="12"/>
        <v>100</v>
      </c>
      <c r="T46" s="667" t="s">
        <v>14</v>
      </c>
      <c r="U46" s="668">
        <f t="shared" si="13"/>
        <v>100</v>
      </c>
      <c r="V46" s="667" t="s">
        <v>14</v>
      </c>
      <c r="W46" s="668">
        <f t="shared" si="14"/>
        <v>100</v>
      </c>
      <c r="X46" s="1265"/>
      <c r="Y46" s="340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92" t="str">
        <f>A47</f>
        <v>成交单价（元/平方米）</v>
      </c>
      <c r="Q47" s="3392"/>
      <c r="R47" s="3393">
        <f>E47</f>
        <v>0</v>
      </c>
      <c r="S47" s="3393"/>
      <c r="T47" s="3393">
        <f>G47</f>
        <v>0</v>
      </c>
      <c r="U47" s="3393"/>
      <c r="V47" s="3393">
        <f>I47</f>
        <v>0</v>
      </c>
      <c r="W47" s="3393"/>
      <c r="X47" s="385"/>
      <c r="Y47" s="673"/>
      <c r="Z47" s="385"/>
      <c r="AA47" s="385"/>
      <c r="AB47" s="385"/>
      <c r="AC47" s="385"/>
    </row>
    <row r="48" spans="1:29" ht="1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4" priority="16" stopIfTrue="1">
      <formula>$F$52="超过30%"</formula>
    </cfRule>
  </conditionalFormatting>
  <conditionalFormatting sqref="E53">
    <cfRule type="expression" dxfId="13" priority="15" stopIfTrue="1">
      <formula>$F$53="超过20%"</formula>
    </cfRule>
  </conditionalFormatting>
  <conditionalFormatting sqref="E54">
    <cfRule type="expression" dxfId="12" priority="14"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7" stopIfTrue="1" operator="containsText" text="超过">
      <formula>NOT(ISERROR(SEARCH("超过",F52)))</formula>
    </cfRule>
  </conditionalFormatting>
  <conditionalFormatting sqref="G52">
    <cfRule type="expression" dxfId="8" priority="12" stopIfTrue="1">
      <formula>$H$52="超过30%"</formula>
    </cfRule>
  </conditionalFormatting>
  <conditionalFormatting sqref="G53">
    <cfRule type="expression" dxfId="7" priority="11" stopIfTrue="1">
      <formula>$H$53="超过20%"</formula>
    </cfRule>
  </conditionalFormatting>
  <conditionalFormatting sqref="G54">
    <cfRule type="expression" dxfId="6" priority="13"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AT25" sqref="AT25"/>
    </sheetView>
  </sheetViews>
  <sheetFormatPr defaultRowHeight="14.4"/>
  <cols>
    <col min="1" max="1" width="13.88671875" customWidth="1"/>
    <col min="11" max="17" width="0" hidden="1" customWidth="1"/>
    <col min="25" max="30" width="0" hidden="1" customWidth="1"/>
  </cols>
  <sheetData>
    <row r="1" spans="1:44">
      <c r="A1" s="2936">
        <f>基准地价修正!G23</f>
        <v>46013</v>
      </c>
      <c r="B1" s="2928" t="s">
        <v>3375</v>
      </c>
      <c r="C1" s="2929"/>
      <c r="D1" s="2929"/>
      <c r="E1" s="2929"/>
      <c r="F1" s="2929"/>
      <c r="G1" s="2929"/>
      <c r="H1" s="2929"/>
      <c r="I1" s="2929"/>
      <c r="J1" s="2895"/>
      <c r="K1" s="2929" t="s">
        <v>454</v>
      </c>
      <c r="L1" s="2929"/>
      <c r="M1" s="2929"/>
      <c r="N1" s="2929"/>
      <c r="O1" s="2929"/>
      <c r="P1" s="2929"/>
      <c r="Q1" s="2895"/>
      <c r="R1" s="3504" t="s">
        <v>456</v>
      </c>
      <c r="S1" s="3505"/>
      <c r="T1" s="3505"/>
      <c r="U1" s="3505"/>
      <c r="V1" s="3505"/>
      <c r="W1" s="3505"/>
      <c r="X1" s="2895"/>
      <c r="Y1" s="3504" t="s">
        <v>457</v>
      </c>
      <c r="Z1" s="3505"/>
      <c r="AA1" s="3505"/>
      <c r="AB1" s="3505"/>
      <c r="AC1" s="3505"/>
      <c r="AD1" s="3505"/>
    </row>
    <row r="2" spans="1:44" s="2008" customFormat="1" ht="15" thickBot="1">
      <c r="B2" s="2880"/>
      <c r="C2" s="2881"/>
      <c r="D2" s="2009" t="s">
        <v>2810</v>
      </c>
      <c r="E2" s="2010" t="s">
        <v>2811</v>
      </c>
      <c r="F2" s="2010" t="s">
        <v>2812</v>
      </c>
      <c r="G2" s="2010" t="s">
        <v>2813</v>
      </c>
      <c r="H2" s="2010" t="s">
        <v>2814</v>
      </c>
      <c r="I2" s="2010" t="s">
        <v>2631</v>
      </c>
      <c r="J2" s="2882"/>
      <c r="K2" s="2009" t="s">
        <v>2810</v>
      </c>
      <c r="L2" s="2010" t="s">
        <v>2811</v>
      </c>
      <c r="M2" s="2010" t="s">
        <v>2812</v>
      </c>
      <c r="N2" s="2010" t="s">
        <v>2813</v>
      </c>
      <c r="O2" s="2010" t="s">
        <v>2815</v>
      </c>
      <c r="P2" s="2010" t="s">
        <v>2631</v>
      </c>
      <c r="Q2" s="2882"/>
      <c r="R2" s="2009" t="s">
        <v>2810</v>
      </c>
      <c r="S2" s="2010" t="s">
        <v>2811</v>
      </c>
      <c r="T2" s="2010" t="s">
        <v>2812</v>
      </c>
      <c r="U2" s="2010" t="s">
        <v>2816</v>
      </c>
      <c r="V2" s="2010" t="s">
        <v>2817</v>
      </c>
      <c r="W2" s="2010" t="s">
        <v>2631</v>
      </c>
      <c r="X2" s="2882"/>
      <c r="Y2" s="2009" t="s">
        <v>2810</v>
      </c>
      <c r="Z2" s="2010" t="s">
        <v>2811</v>
      </c>
      <c r="AA2" s="2010" t="s">
        <v>2812</v>
      </c>
      <c r="AB2" s="2010" t="s">
        <v>2818</v>
      </c>
      <c r="AC2" s="2010" t="s">
        <v>2817</v>
      </c>
      <c r="AD2" s="2010" t="s">
        <v>2631</v>
      </c>
      <c r="AF2" t="s">
        <v>3400</v>
      </c>
      <c r="AG2" t="s">
        <v>673</v>
      </c>
      <c r="AH2" t="s">
        <v>21</v>
      </c>
      <c r="AI2" t="s">
        <v>3401</v>
      </c>
      <c r="AJ2" t="s">
        <v>3</v>
      </c>
      <c r="AK2" t="s">
        <v>3402</v>
      </c>
      <c r="AM2" t="s">
        <v>3400</v>
      </c>
      <c r="AN2" t="s">
        <v>673</v>
      </c>
      <c r="AO2" t="s">
        <v>21</v>
      </c>
      <c r="AP2" t="s">
        <v>3401</v>
      </c>
      <c r="AQ2" t="s">
        <v>3</v>
      </c>
      <c r="AR2" t="s">
        <v>3402</v>
      </c>
    </row>
    <row r="3" spans="1:44" s="2885" customFormat="1" ht="13.2">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7" customFormat="1" ht="13.2">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44" s="2043" customFormat="1">
      <c r="A5" s="2038" t="s">
        <v>3399</v>
      </c>
      <c r="B5" s="2029">
        <v>2025</v>
      </c>
      <c r="C5" s="2040">
        <v>4</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 t="shared" ref="P5:P11" si="10">M5</f>
        <v>0</v>
      </c>
      <c r="Q5" s="2905"/>
      <c r="R5" s="2025">
        <f>ROUND(IF(项目基本情况!$B$8="出让",SUMPRODUCT(PRODUCT(1+K5:$K$24)),SUMPRODUCT(PRODUCT(1+K5:$K$23))),4)</f>
        <v>1.0529999999999999</v>
      </c>
      <c r="S5" s="2025">
        <f>ROUND(IF(项目基本情况!$B$8="出让",SUMPRODUCT(PRODUCT(1+L5:$L$24)),SUMPRODUCT(PRODUCT(1+L5:$L$23))),4)</f>
        <v>1.0251999999999999</v>
      </c>
      <c r="T5" s="2025">
        <f>ROUND(IF(项目基本情况!$B$8="出让",SUMPRODUCT(PRODUCT(1+M5:$M$24)),SUMPRODUCT(PRODUCT(1+M5:$M$23))),4)</f>
        <v>0.97289999999999999</v>
      </c>
      <c r="U5" s="2025">
        <f>ROUND(IF(项目基本情况!$B$8="出让",SUMPRODUCT(PRODUCT(1+N5:$N$24)),SUMPRODUCT(PRODUCT(1+N5:$N$23))),4)</f>
        <v>1.0647</v>
      </c>
      <c r="V5" s="2025">
        <f>ROUND(IF(项目基本情况!$B$8="出让",SUMPRODUCT(PRODUCT(1+O5:$O$24)),SUMPRODUCT(PRODUCT(1+O5:$O$23))),4)</f>
        <v>1.0894999999999999</v>
      </c>
      <c r="W5" s="2025">
        <f t="shared" ref="W5:W11" si="11">T5</f>
        <v>0.97289999999999999</v>
      </c>
      <c r="X5" s="2905"/>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2">
      <c r="A6" s="2906" t="s">
        <v>3413</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3" customFormat="1" ht="13.2">
      <c r="A7" s="2038" t="s">
        <v>3414</v>
      </c>
      <c r="B7" s="2029">
        <v>2025</v>
      </c>
      <c r="C7" s="2040">
        <v>2</v>
      </c>
      <c r="D7" s="2005">
        <v>0.05</v>
      </c>
      <c r="E7" s="2005">
        <v>-0.62</v>
      </c>
      <c r="F7" s="2005">
        <v>-1.05</v>
      </c>
      <c r="G7" s="2005">
        <v>0.09</v>
      </c>
      <c r="H7" s="2005">
        <v>0.17</v>
      </c>
      <c r="I7" s="2006">
        <f t="shared" ref="I7" si="37">F7</f>
        <v>-1.05</v>
      </c>
      <c r="J7" s="2905"/>
      <c r="K7" s="2041">
        <f t="shared" ref="K7" si="38">D7/100</f>
        <v>5.0000000000000001E-4</v>
      </c>
      <c r="L7" s="2026">
        <f t="shared" ref="L7" si="39">E7/100</f>
        <v>-6.1999999999999998E-3</v>
      </c>
      <c r="M7" s="2026">
        <f t="shared" ref="M7" si="40">F7/100</f>
        <v>-1.0500000000000001E-2</v>
      </c>
      <c r="N7" s="2026">
        <f t="shared" ref="N7" si="41">G7/100</f>
        <v>8.9999999999999998E-4</v>
      </c>
      <c r="O7" s="2026">
        <f t="shared" ref="O7" si="42">H7/100</f>
        <v>1.7000000000000001E-3</v>
      </c>
      <c r="P7" s="2026">
        <f t="shared" si="10"/>
        <v>-1.0500000000000001E-2</v>
      </c>
      <c r="Q7" s="2905"/>
      <c r="R7" s="2025">
        <f>ROUND(IF(项目基本情况!$B$8="出让",SUMPRODUCT(PRODUCT(1+K7:$K$24)),SUMPRODUCT(PRODUCT(1+K7:$K$23))),4)</f>
        <v>1.0577000000000001</v>
      </c>
      <c r="S7" s="2025">
        <f>ROUND(IF(项目基本情况!$B$8="出让",SUMPRODUCT(PRODUCT(1+L7:$L$24)),SUMPRODUCT(PRODUCT(1+L7:$L$23))),4)</f>
        <v>1.0275000000000001</v>
      </c>
      <c r="T7" s="2025">
        <f>ROUND(IF(项目基本情况!$B$8="出让",SUMPRODUCT(PRODUCT(1+M7:$M$24)),SUMPRODUCT(PRODUCT(1+M7:$M$23))),4)</f>
        <v>0.98089999999999999</v>
      </c>
      <c r="U7" s="2025">
        <f>ROUND(IF(项目基本情况!$B$8="出让",SUMPRODUCT(PRODUCT(1+N7:$N$24)),SUMPRODUCT(PRODUCT(1+N7:$N$23))),4)</f>
        <v>1.0689</v>
      </c>
      <c r="V7" s="2025">
        <f>ROUND(IF(项目基本情况!$B$8="出让",SUMPRODUCT(PRODUCT(1+O7:$O$24)),SUMPRODUCT(PRODUCT(1+O7:$O$23))),4)</f>
        <v>1.0891</v>
      </c>
      <c r="W7" s="2025">
        <f t="shared" si="11"/>
        <v>0.98089999999999999</v>
      </c>
      <c r="X7" s="2905"/>
      <c r="Y7" s="2026">
        <f t="shared" si="12"/>
        <v>2.3E-3</v>
      </c>
      <c r="Z7" s="2026">
        <f t="shared" ref="Z7" si="43">IF(E7=0,0,ROUND(AVERAGE(E7:E20)/100,4))</f>
        <v>1E-3</v>
      </c>
      <c r="AA7" s="2026">
        <f t="shared" ref="AA7" si="44">IF(F7=0,0,ROUND(AVERAGE(F7:F20)/100,4))</f>
        <v>-1.9E-3</v>
      </c>
      <c r="AB7" s="2026">
        <f t="shared" ref="AB7" si="45">IF(G7=0,0,ROUND(AVERAGE(G7:G20)/100,4))</f>
        <v>2.8999999999999998E-3</v>
      </c>
      <c r="AC7" s="2026">
        <f t="shared" ref="AC7" si="46">IF(H7=0,0,ROUND(AVERAGE(H7:H20)/100,4))</f>
        <v>4.7000000000000002E-3</v>
      </c>
      <c r="AD7" s="2026">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3" customFormat="1" ht="13.2">
      <c r="A8" s="2038" t="s">
        <v>3405</v>
      </c>
      <c r="B8" s="2029">
        <v>2025</v>
      </c>
      <c r="C8" s="2040">
        <v>1</v>
      </c>
      <c r="D8" s="2005">
        <v>0.56999999999999995</v>
      </c>
      <c r="E8" s="2005">
        <v>-0.56999999999999995</v>
      </c>
      <c r="F8" s="2005">
        <v>-0.9</v>
      </c>
      <c r="G8" s="2005">
        <v>1.1200000000000001</v>
      </c>
      <c r="H8" s="2005">
        <v>0.42</v>
      </c>
      <c r="I8" s="2006">
        <f t="shared" ref="I8" si="54">F8</f>
        <v>-0.9</v>
      </c>
      <c r="J8" s="2905"/>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5"/>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5"/>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3" customFormat="1" ht="13.2">
      <c r="A9" s="2038" t="s">
        <v>3404</v>
      </c>
      <c r="B9" s="2029">
        <v>2024</v>
      </c>
      <c r="C9" s="2040">
        <v>4</v>
      </c>
      <c r="D9" s="2005">
        <v>-1.02</v>
      </c>
      <c r="E9" s="2005">
        <v>-0.48</v>
      </c>
      <c r="F9" s="2005">
        <v>-0.75</v>
      </c>
      <c r="G9" s="2005">
        <v>-1.05</v>
      </c>
      <c r="H9" s="2005">
        <v>0.08</v>
      </c>
      <c r="I9" s="2006">
        <f t="shared" ref="I9" si="65">F9</f>
        <v>-0.75</v>
      </c>
      <c r="J9" s="2905"/>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5"/>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5"/>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3" customFormat="1" ht="13.2">
      <c r="A10" s="2038" t="s">
        <v>3379</v>
      </c>
      <c r="B10" s="2029">
        <v>2024</v>
      </c>
      <c r="C10" s="2040">
        <v>3</v>
      </c>
      <c r="D10" s="2005">
        <v>-1.19</v>
      </c>
      <c r="E10" s="2005">
        <v>-0.47</v>
      </c>
      <c r="F10" s="2005">
        <v>-0.28999999999999998</v>
      </c>
      <c r="G10" s="2005">
        <v>-0.74</v>
      </c>
      <c r="H10" s="2005">
        <v>-0.21</v>
      </c>
      <c r="I10" s="2006">
        <f t="shared" ref="I10" si="76">F10</f>
        <v>-0.28999999999999998</v>
      </c>
      <c r="J10" s="2905"/>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5"/>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5"/>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3" customFormat="1" ht="13.2">
      <c r="A11" s="2904" t="s">
        <v>3373</v>
      </c>
      <c r="B11" s="2029">
        <v>2024</v>
      </c>
      <c r="C11" s="2040">
        <v>2</v>
      </c>
      <c r="D11" s="2005">
        <v>-0.59</v>
      </c>
      <c r="E11" s="2005">
        <v>-0.21</v>
      </c>
      <c r="F11" s="2005">
        <v>-1.38</v>
      </c>
      <c r="G11" s="2005">
        <v>-1.24</v>
      </c>
      <c r="H11" s="2916">
        <v>0.34</v>
      </c>
      <c r="I11" s="2006">
        <f t="shared" ref="I11:I24" si="87">F11</f>
        <v>-1.38</v>
      </c>
      <c r="J11" s="2905"/>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5"/>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5"/>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3" customFormat="1" ht="13.2">
      <c r="A12" s="2904" t="s">
        <v>3372</v>
      </c>
      <c r="B12" s="2029">
        <v>2024</v>
      </c>
      <c r="C12" s="2040">
        <v>1</v>
      </c>
      <c r="D12" s="2005">
        <v>0.08</v>
      </c>
      <c r="E12" s="2005">
        <v>0.46</v>
      </c>
      <c r="F12" s="2005">
        <v>-0.16</v>
      </c>
      <c r="G12" s="2005">
        <v>0.26</v>
      </c>
      <c r="H12" s="2916">
        <v>0.59</v>
      </c>
      <c r="I12" s="2006">
        <f t="shared" si="87"/>
        <v>-0.16</v>
      </c>
      <c r="J12" s="2905"/>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5"/>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5"/>
      <c r="Y12" s="2026"/>
      <c r="Z12" s="2026"/>
      <c r="AA12" s="2026"/>
      <c r="AB12" s="2026"/>
      <c r="AC12" s="2026"/>
      <c r="AD12" s="2026"/>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3" customFormat="1" ht="13.2">
      <c r="A13" s="2904" t="s">
        <v>3368</v>
      </c>
      <c r="B13" s="2029">
        <v>2023</v>
      </c>
      <c r="C13" s="2040">
        <v>4</v>
      </c>
      <c r="D13" s="2005">
        <v>0.19</v>
      </c>
      <c r="E13" s="2005">
        <v>0.24</v>
      </c>
      <c r="F13" s="2005">
        <v>-0.16</v>
      </c>
      <c r="G13" s="2005">
        <v>0.17</v>
      </c>
      <c r="H13" s="2916">
        <v>0.61</v>
      </c>
      <c r="I13" s="2006">
        <f>F13</f>
        <v>-0.16</v>
      </c>
      <c r="J13" s="2905"/>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5"/>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5"/>
      <c r="Y13" s="2026"/>
      <c r="Z13" s="2026"/>
      <c r="AA13" s="2026"/>
      <c r="AB13" s="2026"/>
      <c r="AC13" s="2026"/>
      <c r="AD13" s="2026"/>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3" customFormat="1" ht="13.2">
      <c r="A14" s="2904" t="s">
        <v>3367</v>
      </c>
      <c r="B14" s="2029">
        <v>2023</v>
      </c>
      <c r="C14" s="2040">
        <v>3</v>
      </c>
      <c r="D14" s="2005">
        <v>0.25</v>
      </c>
      <c r="E14" s="2005">
        <v>0.5</v>
      </c>
      <c r="F14" s="2005">
        <v>0.31</v>
      </c>
      <c r="G14" s="2005">
        <v>0.21</v>
      </c>
      <c r="H14" s="2916">
        <v>0.43</v>
      </c>
      <c r="I14" s="2006">
        <f t="shared" si="87"/>
        <v>0.31</v>
      </c>
      <c r="J14" s="2905"/>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5"/>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5"/>
      <c r="Y14" s="2026"/>
      <c r="Z14" s="2026"/>
      <c r="AA14" s="2026"/>
      <c r="AB14" s="2026"/>
      <c r="AC14" s="2026"/>
      <c r="AD14" s="2026"/>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3" customFormat="1" ht="13.2">
      <c r="A15" s="2904" t="s">
        <v>3365</v>
      </c>
      <c r="B15" s="2029">
        <v>2023</v>
      </c>
      <c r="C15" s="2040">
        <v>2</v>
      </c>
      <c r="D15" s="2005">
        <v>0.91</v>
      </c>
      <c r="E15" s="2005">
        <v>0.66</v>
      </c>
      <c r="F15" s="2005">
        <v>0.47</v>
      </c>
      <c r="G15" s="2005">
        <v>0.96</v>
      </c>
      <c r="H15" s="2916">
        <v>0.71</v>
      </c>
      <c r="I15" s="2006">
        <f t="shared" si="87"/>
        <v>0.47</v>
      </c>
      <c r="J15" s="2905"/>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5"/>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5"/>
      <c r="Y15" s="2026"/>
      <c r="Z15" s="2026"/>
      <c r="AA15" s="2026"/>
      <c r="AB15" s="2026"/>
      <c r="AC15" s="2026"/>
      <c r="AD15" s="2026"/>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3" customFormat="1" ht="13.2">
      <c r="A16" s="2904" t="s">
        <v>3364</v>
      </c>
      <c r="B16" s="2029">
        <v>2023</v>
      </c>
      <c r="C16" s="2040">
        <v>1</v>
      </c>
      <c r="D16" s="2005">
        <v>0.89</v>
      </c>
      <c r="E16" s="2005">
        <v>0.74</v>
      </c>
      <c r="F16" s="2005">
        <v>0.56999999999999995</v>
      </c>
      <c r="G16" s="2005">
        <v>0.92</v>
      </c>
      <c r="H16" s="2916">
        <v>0.5</v>
      </c>
      <c r="I16" s="2006">
        <f t="shared" si="87"/>
        <v>0.56999999999999995</v>
      </c>
      <c r="J16" s="2905"/>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5"/>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5"/>
      <c r="Y16" s="2026"/>
      <c r="Z16" s="2026"/>
      <c r="AA16" s="2026"/>
      <c r="AB16" s="2026"/>
      <c r="AC16" s="2026"/>
      <c r="AD16" s="2026"/>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3" customFormat="1" ht="13.2">
      <c r="A17" s="2904" t="s">
        <v>3363</v>
      </c>
      <c r="B17" s="2029">
        <v>2022</v>
      </c>
      <c r="C17" s="2040">
        <v>4</v>
      </c>
      <c r="D17" s="2005">
        <v>0.62</v>
      </c>
      <c r="E17" s="2005">
        <v>0.2</v>
      </c>
      <c r="F17" s="2005">
        <v>0.11</v>
      </c>
      <c r="G17" s="2005">
        <v>0.69</v>
      </c>
      <c r="H17" s="2916">
        <v>0.53</v>
      </c>
      <c r="I17" s="2006">
        <f t="shared" si="87"/>
        <v>0.11</v>
      </c>
      <c r="J17" s="2905"/>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5"/>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5"/>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3" customFormat="1" ht="13.2">
      <c r="A18" s="2904" t="s">
        <v>3361</v>
      </c>
      <c r="B18" s="2029">
        <v>2022</v>
      </c>
      <c r="C18" s="2040">
        <v>3</v>
      </c>
      <c r="D18" s="2005">
        <v>0.66</v>
      </c>
      <c r="E18" s="2005">
        <v>0.32</v>
      </c>
      <c r="F18" s="2005">
        <v>0.23</v>
      </c>
      <c r="G18" s="2005">
        <v>0.72</v>
      </c>
      <c r="H18" s="2916">
        <v>0.63</v>
      </c>
      <c r="I18" s="2006">
        <f t="shared" si="87"/>
        <v>0.23</v>
      </c>
      <c r="J18" s="2905"/>
      <c r="K18" s="2041">
        <f t="shared" si="88"/>
        <v>6.6E-3</v>
      </c>
      <c r="L18" s="2026">
        <f t="shared" si="88"/>
        <v>3.2000000000000002E-3</v>
      </c>
      <c r="M18" s="2026">
        <f t="shared" si="88"/>
        <v>2.3E-3</v>
      </c>
      <c r="N18" s="2026">
        <f t="shared" si="88"/>
        <v>7.1999999999999998E-3</v>
      </c>
      <c r="O18" s="2026">
        <f t="shared" si="88"/>
        <v>6.3E-3</v>
      </c>
      <c r="P18" s="2026">
        <f t="shared" si="108"/>
        <v>2.3E-3</v>
      </c>
      <c r="Q18" s="2905"/>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5"/>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3" customFormat="1" ht="13.2">
      <c r="A19" s="2904" t="s">
        <v>3352</v>
      </c>
      <c r="B19" s="2029">
        <v>2022</v>
      </c>
      <c r="C19" s="2040">
        <v>2</v>
      </c>
      <c r="D19" s="2005">
        <v>0.93</v>
      </c>
      <c r="E19" s="2005">
        <v>0.15</v>
      </c>
      <c r="F19" s="2005">
        <v>0.01</v>
      </c>
      <c r="G19" s="2005">
        <v>1.05</v>
      </c>
      <c r="H19" s="2916">
        <v>1.08</v>
      </c>
      <c r="I19" s="2006">
        <f t="shared" si="87"/>
        <v>0.01</v>
      </c>
      <c r="J19" s="2905"/>
      <c r="K19" s="2041">
        <f t="shared" si="88"/>
        <v>9.300000000000001E-3</v>
      </c>
      <c r="L19" s="2026">
        <f t="shared" si="88"/>
        <v>1.5E-3</v>
      </c>
      <c r="M19" s="2026">
        <f t="shared" si="88"/>
        <v>1E-4</v>
      </c>
      <c r="N19" s="2026">
        <f t="shared" si="88"/>
        <v>1.0500000000000001E-2</v>
      </c>
      <c r="O19" s="2026">
        <f t="shared" si="88"/>
        <v>1.0800000000000001E-2</v>
      </c>
      <c r="P19" s="2026">
        <f t="shared" si="108"/>
        <v>1E-4</v>
      </c>
      <c r="Q19" s="2905"/>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5"/>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3" customFormat="1" ht="13.2">
      <c r="A20" s="2904" t="s">
        <v>2820</v>
      </c>
      <c r="B20" s="2029">
        <v>2022</v>
      </c>
      <c r="C20" s="2040">
        <v>1</v>
      </c>
      <c r="D20" s="2005">
        <v>0.89</v>
      </c>
      <c r="E20" s="2005">
        <v>0.44</v>
      </c>
      <c r="F20" s="2005">
        <v>0.37</v>
      </c>
      <c r="G20" s="2005">
        <v>0.96</v>
      </c>
      <c r="H20" s="2916">
        <v>0.64</v>
      </c>
      <c r="I20" s="2006">
        <f t="shared" si="87"/>
        <v>0.37</v>
      </c>
      <c r="J20" s="2905"/>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5"/>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5"/>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3" customFormat="1" ht="13.2">
      <c r="A21" s="2904" t="s">
        <v>2821</v>
      </c>
      <c r="B21" s="2029">
        <v>2021</v>
      </c>
      <c r="C21" s="2040">
        <v>4</v>
      </c>
      <c r="D21" s="2005">
        <v>1.03</v>
      </c>
      <c r="E21" s="2005">
        <v>0.24</v>
      </c>
      <c r="F21" s="2005">
        <v>7.0000000000000007E-2</v>
      </c>
      <c r="G21" s="2005">
        <v>1.17</v>
      </c>
      <c r="H21" s="2916">
        <v>0.55000000000000004</v>
      </c>
      <c r="I21" s="2006">
        <f t="shared" si="87"/>
        <v>7.0000000000000007E-2</v>
      </c>
      <c r="J21" s="2905"/>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5"/>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5"/>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3" customFormat="1" ht="13.2">
      <c r="A22" s="2904" t="s">
        <v>2822</v>
      </c>
      <c r="B22" s="2029">
        <v>2021</v>
      </c>
      <c r="C22" s="2040">
        <v>3</v>
      </c>
      <c r="D22" s="2005">
        <v>0.47</v>
      </c>
      <c r="E22" s="2005">
        <v>0.41</v>
      </c>
      <c r="F22" s="2005">
        <v>0.24</v>
      </c>
      <c r="G22" s="2005">
        <v>0.48</v>
      </c>
      <c r="H22" s="2916">
        <v>0.48</v>
      </c>
      <c r="I22" s="2006">
        <f t="shared" si="87"/>
        <v>0.24</v>
      </c>
      <c r="J22" s="2905"/>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5"/>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5"/>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3" customFormat="1" ht="13.2">
      <c r="A23" s="2904" t="s">
        <v>2823</v>
      </c>
      <c r="B23" s="2029">
        <v>2021</v>
      </c>
      <c r="C23" s="2040">
        <v>2</v>
      </c>
      <c r="D23" s="2005">
        <v>0.92</v>
      </c>
      <c r="E23" s="2005">
        <v>0.72</v>
      </c>
      <c r="F23" s="2005">
        <v>0.41</v>
      </c>
      <c r="G23" s="2005">
        <v>0.95</v>
      </c>
      <c r="H23" s="2916">
        <v>1.01</v>
      </c>
      <c r="I23" s="2006">
        <f t="shared" si="87"/>
        <v>0.41</v>
      </c>
      <c r="J23" s="2905"/>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5"/>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5"/>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5" thickTop="1"/>
    <row r="26" spans="1:44">
      <c r="A26" s="3142" t="s">
        <v>3378</v>
      </c>
    </row>
    <row r="27" spans="1:44">
      <c r="I27" s="1405" t="s">
        <v>2825</v>
      </c>
    </row>
    <row r="29" spans="1:44" s="2007" customFormat="1" ht="13.2">
      <c r="B29" s="2928" t="s">
        <v>3376</v>
      </c>
      <c r="C29" s="2929"/>
      <c r="D29" s="2929"/>
      <c r="E29" s="2929"/>
      <c r="F29" s="2929"/>
      <c r="G29" s="2929"/>
      <c r="H29" s="2929"/>
      <c r="I29" s="2929"/>
      <c r="J29" s="2895"/>
      <c r="K29" s="2929" t="s">
        <v>2826</v>
      </c>
      <c r="L29" s="2929"/>
      <c r="M29" s="2929"/>
      <c r="N29" s="2929"/>
      <c r="O29" s="2929"/>
      <c r="P29" s="2929"/>
      <c r="Q29" s="2895"/>
      <c r="R29" s="3504" t="s">
        <v>2827</v>
      </c>
      <c r="S29" s="3505"/>
      <c r="T29" s="3505"/>
      <c r="U29" s="3505"/>
      <c r="V29" s="3505"/>
      <c r="W29" s="3505"/>
      <c r="X29" s="2895"/>
      <c r="Y29" s="3504" t="s">
        <v>2828</v>
      </c>
      <c r="Z29" s="3505"/>
      <c r="AA29" s="3505"/>
      <c r="AB29" s="3505"/>
      <c r="AC29" s="3505"/>
      <c r="AD29" s="3505"/>
    </row>
    <row r="30" spans="1:44" s="2008" customFormat="1" ht="15" thickBot="1">
      <c r="B30" s="2880"/>
      <c r="C30" s="2881"/>
      <c r="D30" s="2009" t="s">
        <v>2829</v>
      </c>
      <c r="E30" s="2010" t="s">
        <v>2830</v>
      </c>
      <c r="F30" s="2010" t="s">
        <v>2831</v>
      </c>
      <c r="G30" s="2010" t="s">
        <v>2832</v>
      </c>
      <c r="H30" s="2010"/>
      <c r="I30" s="2010" t="s">
        <v>2833</v>
      </c>
      <c r="J30" s="2882"/>
      <c r="K30" s="2009" t="s">
        <v>2829</v>
      </c>
      <c r="L30" s="2010" t="s">
        <v>2830</v>
      </c>
      <c r="M30" s="2010" t="s">
        <v>2831</v>
      </c>
      <c r="N30" s="2010" t="s">
        <v>2832</v>
      </c>
      <c r="O30" s="2010"/>
      <c r="P30" s="2010" t="s">
        <v>2833</v>
      </c>
      <c r="Q30" s="2882"/>
      <c r="R30" s="2009" t="s">
        <v>2829</v>
      </c>
      <c r="S30" s="2010" t="s">
        <v>2830</v>
      </c>
      <c r="T30" s="2010" t="s">
        <v>2831</v>
      </c>
      <c r="U30" s="2010" t="s">
        <v>2832</v>
      </c>
      <c r="V30" s="2010"/>
      <c r="W30" s="2010" t="s">
        <v>2833</v>
      </c>
      <c r="X30" s="2882"/>
      <c r="Y30" s="2009" t="s">
        <v>2829</v>
      </c>
      <c r="Z30" s="2010" t="s">
        <v>2830</v>
      </c>
      <c r="AA30" s="2010" t="s">
        <v>2831</v>
      </c>
      <c r="AB30" s="2010" t="s">
        <v>2832</v>
      </c>
      <c r="AC30" s="2010"/>
      <c r="AD30" s="2010" t="s">
        <v>2833</v>
      </c>
      <c r="AG30" t="s">
        <v>673</v>
      </c>
      <c r="AH30" t="s">
        <v>21</v>
      </c>
      <c r="AI30" t="s">
        <v>3401</v>
      </c>
      <c r="AJ30"/>
      <c r="AK30" t="s">
        <v>3402</v>
      </c>
      <c r="AN30" t="s">
        <v>673</v>
      </c>
      <c r="AO30" t="s">
        <v>21</v>
      </c>
      <c r="AP30" t="s">
        <v>3401</v>
      </c>
      <c r="AQ30"/>
      <c r="AR30" t="s">
        <v>3402</v>
      </c>
    </row>
    <row r="31" spans="1:44" s="2885" customFormat="1" ht="13.2">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7" customFormat="1" ht="13.2">
      <c r="B32" s="2023"/>
      <c r="J32" s="2895"/>
      <c r="K32" s="2896"/>
      <c r="L32" s="2897"/>
      <c r="M32" s="2897"/>
      <c r="N32" s="2897"/>
      <c r="O32" s="2897"/>
      <c r="P32" s="2897"/>
      <c r="Q32" s="2895"/>
      <c r="R32" s="2025"/>
      <c r="S32" s="2898"/>
      <c r="T32" s="2899"/>
      <c r="U32" s="2025"/>
      <c r="V32" s="2900"/>
      <c r="W32" s="2025"/>
      <c r="X32" s="2895"/>
      <c r="Y32" s="2026"/>
      <c r="Z32" s="2901"/>
      <c r="AA32" s="2902"/>
      <c r="AB32" s="2026"/>
      <c r="AC32" s="2903"/>
      <c r="AD32" s="2026"/>
    </row>
    <row r="33" spans="1:44" s="2043" customFormat="1">
      <c r="A33" s="2038" t="s">
        <v>3399</v>
      </c>
      <c r="B33" s="2029">
        <v>2025</v>
      </c>
      <c r="C33" s="2040">
        <v>4</v>
      </c>
      <c r="D33" s="2005"/>
      <c r="E33" s="2005">
        <v>0</v>
      </c>
      <c r="F33" s="2005">
        <v>0</v>
      </c>
      <c r="G33" s="2005">
        <v>0</v>
      </c>
      <c r="H33" s="2005"/>
      <c r="I33" s="2006">
        <f t="shared" ref="I33" si="119">F33</f>
        <v>0</v>
      </c>
      <c r="J33" s="2905"/>
      <c r="K33" s="2041"/>
      <c r="L33" s="2026">
        <f t="shared" ref="L33" si="120">E33/100</f>
        <v>0</v>
      </c>
      <c r="M33" s="2026">
        <f t="shared" ref="M33" si="121">F33/100</f>
        <v>0</v>
      </c>
      <c r="N33" s="2026">
        <f t="shared" ref="N33" si="122">G33/100</f>
        <v>0</v>
      </c>
      <c r="O33" s="2026"/>
      <c r="P33" s="2026">
        <f t="shared" ref="P33:P39" si="123">M33</f>
        <v>0</v>
      </c>
      <c r="Q33" s="2905"/>
      <c r="R33" s="2025"/>
      <c r="S33" s="2025">
        <f>ROUND(IF(项目基本情况!$B$8="出让",SUMPRODUCT(PRODUCT(1+L33:L$52)),SUMPRODUCT(PRODUCT(1+L33:L$51))),4)</f>
        <v>1.0037</v>
      </c>
      <c r="T33" s="2025">
        <f>ROUND(IF(项目基本情况!$B$8="出让",SUMPRODUCT(PRODUCT(1+M33:M$52)),SUMPRODUCT(PRODUCT(1+M33:M$51))),4)</f>
        <v>0.98229999999999995</v>
      </c>
      <c r="U33" s="2025">
        <f>ROUND(IF(项目基本情况!$B$8="出让",SUMPRODUCT(PRODUCT(1+N33:N$52)),SUMPRODUCT(PRODUCT(1+N33:N$51))),4)</f>
        <v>1.0274000000000001</v>
      </c>
      <c r="V33" s="2025"/>
      <c r="W33" s="2025">
        <f t="shared" ref="W33:W39" si="124">T33</f>
        <v>0.98229999999999995</v>
      </c>
      <c r="X33" s="2905"/>
      <c r="Y33" s="2026"/>
      <c r="Z33" s="2901">
        <f t="shared" ref="Z33" si="125">IF(E33=0,0,ROUND(AVERAGE(E33:E46)/100,4))</f>
        <v>0</v>
      </c>
      <c r="AA33" s="2901">
        <f t="shared" ref="AA33" si="126">IF(F33=0,0,ROUND(AVERAGE(F33:F46)/100,4))</f>
        <v>0</v>
      </c>
      <c r="AB33" s="2901">
        <f t="shared" ref="AB33" si="127">IF(G33=0,0,ROUND(AVERAGE(G33:G46)/100,4))</f>
        <v>0</v>
      </c>
      <c r="AC33" s="2903"/>
      <c r="AD33" s="2026">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2">
      <c r="A34" s="2906" t="s">
        <v>3415</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3" customFormat="1" ht="13.2">
      <c r="A35" s="2038" t="s">
        <v>3414</v>
      </c>
      <c r="B35" s="2029">
        <v>2025</v>
      </c>
      <c r="C35" s="2040">
        <v>2</v>
      </c>
      <c r="D35" s="2005"/>
      <c r="E35" s="2005">
        <v>-0.31</v>
      </c>
      <c r="F35" s="2005">
        <v>-1.03</v>
      </c>
      <c r="G35" s="2005">
        <v>0.03</v>
      </c>
      <c r="H35" s="2005"/>
      <c r="I35" s="2006">
        <f t="shared" ref="I35" si="141">F35</f>
        <v>-1.03</v>
      </c>
      <c r="J35" s="2905"/>
      <c r="K35" s="2041"/>
      <c r="L35" s="2026">
        <f t="shared" ref="L35" si="142">E35/100</f>
        <v>-3.0999999999999999E-3</v>
      </c>
      <c r="M35" s="2026">
        <f t="shared" ref="M35" si="143">F35/100</f>
        <v>-1.03E-2</v>
      </c>
      <c r="N35" s="2026">
        <f t="shared" ref="N35" si="144">G35/100</f>
        <v>2.9999999999999997E-4</v>
      </c>
      <c r="O35" s="2026"/>
      <c r="P35" s="2026">
        <f t="shared" si="123"/>
        <v>-1.03E-2</v>
      </c>
      <c r="Q35" s="2905"/>
      <c r="R35" s="2025"/>
      <c r="S35" s="2025">
        <f>ROUND(IF(项目基本情况!$B$8="出让",SUMPRODUCT(PRODUCT(1+L35:L$52)),SUMPRODUCT(PRODUCT(1+L35:L$51))),4)</f>
        <v>1.0118</v>
      </c>
      <c r="T35" s="2025">
        <f>ROUND(IF(项目基本情况!$B$8="出让",SUMPRODUCT(PRODUCT(1+M35:M$52)),SUMPRODUCT(PRODUCT(1+M35:M$51))),4)</f>
        <v>0.99680000000000002</v>
      </c>
      <c r="U35" s="2025">
        <f>ROUND(IF(项目基本情况!$B$8="出让",SUMPRODUCT(PRODUCT(1+N35:N$52)),SUMPRODUCT(PRODUCT(1+N35:N$51))),4)</f>
        <v>1.0338000000000001</v>
      </c>
      <c r="V35" s="2025"/>
      <c r="W35" s="2025">
        <f t="shared" si="124"/>
        <v>0.99680000000000002</v>
      </c>
      <c r="X35" s="2905"/>
      <c r="Y35" s="2026"/>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6">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3" customFormat="1" ht="13.2">
      <c r="A36" s="2038" t="s">
        <v>3403</v>
      </c>
      <c r="B36" s="2029">
        <v>2025</v>
      </c>
      <c r="C36" s="2040">
        <v>1</v>
      </c>
      <c r="D36" s="2005"/>
      <c r="E36" s="2005">
        <v>-1.47</v>
      </c>
      <c r="F36" s="2005">
        <v>-0.98</v>
      </c>
      <c r="G36" s="2005">
        <v>-0.51</v>
      </c>
      <c r="H36" s="2005"/>
      <c r="I36" s="2006">
        <f t="shared" ref="I36" si="152">F36</f>
        <v>-0.98</v>
      </c>
      <c r="J36" s="2905"/>
      <c r="K36" s="2041"/>
      <c r="L36" s="2026">
        <f t="shared" ref="L36" si="153">E36/100</f>
        <v>-1.47E-2</v>
      </c>
      <c r="M36" s="2026">
        <f t="shared" ref="M36" si="154">F36/100</f>
        <v>-9.7999999999999997E-3</v>
      </c>
      <c r="N36" s="2026">
        <f t="shared" ref="N36" si="155">G36/100</f>
        <v>-5.1000000000000004E-3</v>
      </c>
      <c r="O36" s="2026"/>
      <c r="P36" s="2026">
        <f t="shared" si="123"/>
        <v>-9.7999999999999997E-3</v>
      </c>
      <c r="Q36" s="2905"/>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5"/>
      <c r="Y36" s="2026"/>
      <c r="Z36" s="2901">
        <f t="shared" ref="Z36" si="156">IF(E36=0,0,ROUND(AVERAGE(E36:E49)/100,4))</f>
        <v>4.0000000000000002E-4</v>
      </c>
      <c r="AA36" s="2901">
        <f t="shared" ref="AA36" si="157">IF(F36=0,0,ROUND(AVERAGE(F36:F49)/100,4))</f>
        <v>0</v>
      </c>
      <c r="AB36" s="2901">
        <f t="shared" ref="AB36" si="158">IF(G36=0,0,ROUND(AVERAGE(G36:G49)/100,4))</f>
        <v>1E-3</v>
      </c>
      <c r="AC36" s="2903"/>
      <c r="AD36" s="2026">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3" customFormat="1" ht="13.2">
      <c r="A37" s="2038" t="s">
        <v>3404</v>
      </c>
      <c r="B37" s="2029">
        <v>2024</v>
      </c>
      <c r="C37" s="2040">
        <v>4</v>
      </c>
      <c r="D37" s="2005"/>
      <c r="E37" s="2005">
        <v>-0.61</v>
      </c>
      <c r="F37" s="2005">
        <v>-0.71</v>
      </c>
      <c r="G37" s="2005">
        <v>-0.88</v>
      </c>
      <c r="H37" s="2005"/>
      <c r="I37" s="2006">
        <f t="shared" ref="I37" si="162">F37</f>
        <v>-0.71</v>
      </c>
      <c r="J37" s="2905"/>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5"/>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5"/>
      <c r="Y37" s="2026"/>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6">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3" customFormat="1" ht="13.2">
      <c r="A38" s="2038" t="s">
        <v>3370</v>
      </c>
      <c r="B38" s="2029">
        <v>2024</v>
      </c>
      <c r="C38" s="2040">
        <v>3</v>
      </c>
      <c r="D38" s="2005"/>
      <c r="E38" s="2005">
        <v>-0.66</v>
      </c>
      <c r="F38" s="2005">
        <v>-0.52</v>
      </c>
      <c r="G38" s="2005">
        <v>-2.87</v>
      </c>
      <c r="H38" s="2005"/>
      <c r="I38" s="2006">
        <f t="shared" ref="I38" si="169">F38</f>
        <v>-0.52</v>
      </c>
      <c r="J38" s="2905"/>
      <c r="K38" s="2041"/>
      <c r="L38" s="2026">
        <f t="shared" ref="L38" si="170">E38/100</f>
        <v>-6.6E-3</v>
      </c>
      <c r="M38" s="2026">
        <f t="shared" ref="M38" si="171">F38/100</f>
        <v>-5.1999999999999998E-3</v>
      </c>
      <c r="N38" s="2026">
        <f t="shared" ref="N38" si="172">G38/100</f>
        <v>-2.87E-2</v>
      </c>
      <c r="O38" s="2026"/>
      <c r="P38" s="2026">
        <f t="shared" si="123"/>
        <v>-5.1999999999999998E-3</v>
      </c>
      <c r="Q38" s="2905"/>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5"/>
      <c r="Y38" s="2026"/>
      <c r="Z38" s="2901">
        <f t="shared" ref="Z38:AB39" si="173">IF(E38=0,0,ROUND(AVERAGE(E38:E51)/100,4))</f>
        <v>2.5999999999999999E-3</v>
      </c>
      <c r="AA38" s="2901">
        <f t="shared" si="173"/>
        <v>1.6999999999999999E-3</v>
      </c>
      <c r="AB38" s="2901">
        <f t="shared" si="173"/>
        <v>3.3999999999999998E-3</v>
      </c>
      <c r="AC38" s="2903"/>
      <c r="AD38" s="2026">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3" customFormat="1" ht="13.2">
      <c r="A39" s="2904" t="s">
        <v>3374</v>
      </c>
      <c r="B39" s="2029">
        <v>2024</v>
      </c>
      <c r="C39" s="2040">
        <v>2</v>
      </c>
      <c r="D39" s="2005"/>
      <c r="E39" s="2005">
        <v>-0.31</v>
      </c>
      <c r="F39" s="2005">
        <v>-0.39</v>
      </c>
      <c r="G39" s="2005">
        <v>1.23</v>
      </c>
      <c r="H39" s="2916"/>
      <c r="I39" s="2006">
        <f t="shared" ref="I39:I52" si="174">F39</f>
        <v>-0.39</v>
      </c>
      <c r="J39" s="2905"/>
      <c r="K39" s="2041"/>
      <c r="L39" s="2026">
        <f t="shared" ref="L39:N52" si="175">E39/100</f>
        <v>-3.0999999999999999E-3</v>
      </c>
      <c r="M39" s="2026">
        <f t="shared" si="175"/>
        <v>-3.9000000000000003E-3</v>
      </c>
      <c r="N39" s="2026">
        <f t="shared" si="175"/>
        <v>1.23E-2</v>
      </c>
      <c r="O39" s="2026"/>
      <c r="P39" s="2026">
        <f t="shared" si="123"/>
        <v>-3.9000000000000003E-3</v>
      </c>
      <c r="Q39" s="2905"/>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5"/>
      <c r="Y39" s="2026"/>
      <c r="Z39" s="2901">
        <f t="shared" si="173"/>
        <v>3.3E-3</v>
      </c>
      <c r="AA39" s="2902">
        <f t="shared" si="173"/>
        <v>2.3999999999999998E-3</v>
      </c>
      <c r="AB39" s="2026">
        <f t="shared" si="173"/>
        <v>6.1999999999999998E-3</v>
      </c>
      <c r="AC39" s="2903"/>
      <c r="AD39" s="2026">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3" customFormat="1" ht="13.2">
      <c r="A40" s="2904" t="s">
        <v>3371</v>
      </c>
      <c r="B40" s="2029">
        <v>2024</v>
      </c>
      <c r="C40" s="2040">
        <v>1</v>
      </c>
      <c r="D40" s="2005"/>
      <c r="E40" s="2005">
        <v>0.25</v>
      </c>
      <c r="F40" s="2005">
        <v>0.4</v>
      </c>
      <c r="G40" s="2005">
        <v>-0.63</v>
      </c>
      <c r="H40" s="2916"/>
      <c r="I40" s="2006">
        <f t="shared" ref="I40:I41" si="176">F40</f>
        <v>0.4</v>
      </c>
      <c r="J40" s="2905"/>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5"/>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5"/>
      <c r="Y40" s="2026"/>
      <c r="Z40" s="2901"/>
      <c r="AA40" s="2902"/>
      <c r="AB40" s="2026"/>
      <c r="AC40" s="2903"/>
      <c r="AD40" s="2026"/>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3" customFormat="1" ht="13.2">
      <c r="A41" s="2904" t="s">
        <v>3369</v>
      </c>
      <c r="B41" s="2029">
        <v>2023</v>
      </c>
      <c r="C41" s="2040">
        <v>4</v>
      </c>
      <c r="D41" s="2005"/>
      <c r="E41" s="2005">
        <v>7.0000000000000007E-2</v>
      </c>
      <c r="F41" s="2005">
        <v>0.09</v>
      </c>
      <c r="G41" s="2005">
        <v>0.03</v>
      </c>
      <c r="H41" s="2916"/>
      <c r="I41" s="2006">
        <f t="shared" si="176"/>
        <v>0.09</v>
      </c>
      <c r="J41" s="2905"/>
      <c r="K41" s="2041"/>
      <c r="L41" s="2026">
        <f t="shared" si="175"/>
        <v>7.000000000000001E-4</v>
      </c>
      <c r="M41" s="2026">
        <f t="shared" si="175"/>
        <v>8.9999999999999998E-4</v>
      </c>
      <c r="N41" s="2026">
        <f t="shared" si="175"/>
        <v>2.9999999999999997E-4</v>
      </c>
      <c r="O41" s="2026"/>
      <c r="P41" s="2026">
        <f t="shared" ref="P41" si="182">M41</f>
        <v>8.9999999999999998E-4</v>
      </c>
      <c r="Q41" s="2905"/>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5"/>
      <c r="Y41" s="2026"/>
      <c r="Z41" s="2901"/>
      <c r="AA41" s="2902"/>
      <c r="AB41" s="2026"/>
      <c r="AC41" s="2903"/>
      <c r="AD41" s="2026"/>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3" customFormat="1" ht="13.2">
      <c r="A42" s="2904" t="s">
        <v>3367</v>
      </c>
      <c r="B42" s="2029">
        <v>2023</v>
      </c>
      <c r="C42" s="2040">
        <v>3</v>
      </c>
      <c r="D42" s="2005"/>
      <c r="E42" s="2005">
        <v>0.35</v>
      </c>
      <c r="F42" s="2005">
        <v>0.17</v>
      </c>
      <c r="G42" s="2005">
        <v>0.52</v>
      </c>
      <c r="H42" s="2916"/>
      <c r="I42" s="2006">
        <f t="shared" si="174"/>
        <v>0.17</v>
      </c>
      <c r="J42" s="2905"/>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5"/>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5"/>
      <c r="Y42" s="2026"/>
      <c r="Z42" s="2901"/>
      <c r="AA42" s="2902"/>
      <c r="AB42" s="2026"/>
      <c r="AC42" s="2903"/>
      <c r="AD42" s="2026"/>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3" customFormat="1" ht="13.2">
      <c r="A43" s="2904" t="s">
        <v>3366</v>
      </c>
      <c r="B43" s="2029">
        <v>2023</v>
      </c>
      <c r="C43" s="2040">
        <v>2</v>
      </c>
      <c r="D43" s="2005"/>
      <c r="E43" s="2005">
        <v>0.5</v>
      </c>
      <c r="F43" s="2005">
        <v>0.45</v>
      </c>
      <c r="G43" s="2005">
        <v>0.89</v>
      </c>
      <c r="H43" s="2916"/>
      <c r="I43" s="2006">
        <f t="shared" si="174"/>
        <v>0.45</v>
      </c>
      <c r="J43" s="2905"/>
      <c r="K43" s="2041"/>
      <c r="L43" s="2026">
        <f t="shared" si="184"/>
        <v>5.0000000000000001E-3</v>
      </c>
      <c r="M43" s="2026">
        <f t="shared" si="185"/>
        <v>4.5000000000000005E-3</v>
      </c>
      <c r="N43" s="2026">
        <f t="shared" si="186"/>
        <v>8.8999999999999999E-3</v>
      </c>
      <c r="O43" s="2026"/>
      <c r="P43" s="2026">
        <f t="shared" si="187"/>
        <v>4.5000000000000005E-3</v>
      </c>
      <c r="Q43" s="2905"/>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5"/>
      <c r="Y43" s="2026"/>
      <c r="Z43" s="2901"/>
      <c r="AA43" s="2902"/>
      <c r="AB43" s="2026"/>
      <c r="AC43" s="2903"/>
      <c r="AD43" s="2026"/>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3" customFormat="1" ht="13.2">
      <c r="A44" s="2904" t="s">
        <v>3364</v>
      </c>
      <c r="B44" s="2029">
        <v>2023</v>
      </c>
      <c r="C44" s="2040">
        <v>1</v>
      </c>
      <c r="D44" s="2005"/>
      <c r="E44" s="2005">
        <v>0.55000000000000004</v>
      </c>
      <c r="F44" s="2005">
        <v>0.59</v>
      </c>
      <c r="G44" s="2005">
        <v>0.64</v>
      </c>
      <c r="H44" s="2916"/>
      <c r="I44" s="2006">
        <f t="shared" si="174"/>
        <v>0.59</v>
      </c>
      <c r="J44" s="2905"/>
      <c r="K44" s="2041"/>
      <c r="L44" s="2026">
        <f t="shared" si="184"/>
        <v>5.5000000000000005E-3</v>
      </c>
      <c r="M44" s="2026">
        <f t="shared" si="185"/>
        <v>5.8999999999999999E-3</v>
      </c>
      <c r="N44" s="2026">
        <f t="shared" si="186"/>
        <v>6.4000000000000003E-3</v>
      </c>
      <c r="O44" s="2026"/>
      <c r="P44" s="2026">
        <f t="shared" si="187"/>
        <v>5.8999999999999999E-3</v>
      </c>
      <c r="Q44" s="2905"/>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5"/>
      <c r="Y44" s="2026"/>
      <c r="Z44" s="2901"/>
      <c r="AA44" s="2902"/>
      <c r="AB44" s="2026"/>
      <c r="AC44" s="2903"/>
      <c r="AD44" s="2026"/>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3" customFormat="1" ht="13.2">
      <c r="A45" s="2904" t="s">
        <v>3363</v>
      </c>
      <c r="B45" s="2029">
        <v>2022</v>
      </c>
      <c r="C45" s="2040">
        <v>4</v>
      </c>
      <c r="D45" s="2005"/>
      <c r="E45" s="2005">
        <v>0.45</v>
      </c>
      <c r="F45" s="2005">
        <v>0.2</v>
      </c>
      <c r="G45" s="2005">
        <v>0.38</v>
      </c>
      <c r="H45" s="2916"/>
      <c r="I45" s="2006">
        <f t="shared" si="174"/>
        <v>0.2</v>
      </c>
      <c r="J45" s="2905"/>
      <c r="K45" s="2041"/>
      <c r="L45" s="2026">
        <f t="shared" si="175"/>
        <v>4.5000000000000005E-3</v>
      </c>
      <c r="M45" s="2026">
        <f t="shared" si="175"/>
        <v>2E-3</v>
      </c>
      <c r="N45" s="2026">
        <f t="shared" si="175"/>
        <v>3.8E-3</v>
      </c>
      <c r="O45" s="2026"/>
      <c r="P45" s="2026">
        <f t="shared" ref="P45:P52" si="189">M45</f>
        <v>2E-3</v>
      </c>
      <c r="Q45" s="2905"/>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5"/>
      <c r="Y45" s="2026"/>
      <c r="Z45" s="2901">
        <f t="shared" ref="Z45:AD52" si="191">IF(E45=0,0,ROUND(AVERAGE(E45:E53)/100,4))</f>
        <v>4.0000000000000001E-3</v>
      </c>
      <c r="AA45" s="2902">
        <f t="shared" si="191"/>
        <v>2.5999999999999999E-3</v>
      </c>
      <c r="AB45" s="2026">
        <f t="shared" si="191"/>
        <v>7.4000000000000003E-3</v>
      </c>
      <c r="AC45" s="2903"/>
      <c r="AD45" s="2026">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3" customFormat="1" ht="13.2">
      <c r="A46" s="2904" t="s">
        <v>3362</v>
      </c>
      <c r="B46" s="2029">
        <v>2022</v>
      </c>
      <c r="C46" s="2040">
        <v>3</v>
      </c>
      <c r="D46" s="2005"/>
      <c r="E46" s="2005">
        <v>0.3</v>
      </c>
      <c r="F46" s="2005">
        <v>0.28999999999999998</v>
      </c>
      <c r="G46" s="2005">
        <v>0.83</v>
      </c>
      <c r="H46" s="2916"/>
      <c r="I46" s="2006">
        <f t="shared" si="174"/>
        <v>0.28999999999999998</v>
      </c>
      <c r="J46" s="2905"/>
      <c r="K46" s="2041"/>
      <c r="L46" s="2026">
        <f t="shared" si="175"/>
        <v>3.0000000000000001E-3</v>
      </c>
      <c r="M46" s="2026">
        <f t="shared" si="175"/>
        <v>2.8999999999999998E-3</v>
      </c>
      <c r="N46" s="2026">
        <f t="shared" si="175"/>
        <v>8.3000000000000001E-3</v>
      </c>
      <c r="O46" s="2026"/>
      <c r="P46" s="2026">
        <f t="shared" si="189"/>
        <v>2.8999999999999998E-3</v>
      </c>
      <c r="Q46" s="2905"/>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5"/>
      <c r="Y46" s="2026"/>
      <c r="Z46" s="2901">
        <f t="shared" si="191"/>
        <v>3.8999999999999998E-3</v>
      </c>
      <c r="AA46" s="2902">
        <f t="shared" si="191"/>
        <v>2.7000000000000001E-3</v>
      </c>
      <c r="AB46" s="2026">
        <f t="shared" si="191"/>
        <v>7.9000000000000008E-3</v>
      </c>
      <c r="AC46" s="2903"/>
      <c r="AD46" s="2026">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3" customFormat="1" ht="13.2">
      <c r="A47" s="2904" t="s">
        <v>3352</v>
      </c>
      <c r="B47" s="2029">
        <v>2022</v>
      </c>
      <c r="C47" s="2040">
        <v>2</v>
      </c>
      <c r="D47" s="2005"/>
      <c r="E47" s="2005">
        <v>-0.11</v>
      </c>
      <c r="F47" s="2005">
        <v>-0.13</v>
      </c>
      <c r="G47" s="2005">
        <v>0.53</v>
      </c>
      <c r="H47" s="2916"/>
      <c r="I47" s="2006">
        <f t="shared" si="174"/>
        <v>-0.13</v>
      </c>
      <c r="J47" s="2905"/>
      <c r="K47" s="2041"/>
      <c r="L47" s="2026">
        <f t="shared" si="175"/>
        <v>-1.1000000000000001E-3</v>
      </c>
      <c r="M47" s="2026">
        <f t="shared" si="175"/>
        <v>-1.2999999999999999E-3</v>
      </c>
      <c r="N47" s="2026">
        <f t="shared" si="175"/>
        <v>5.3E-3</v>
      </c>
      <c r="O47" s="2026"/>
      <c r="P47" s="2026">
        <f t="shared" si="189"/>
        <v>-1.2999999999999999E-3</v>
      </c>
      <c r="Q47" s="2905"/>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5"/>
      <c r="Y47" s="2026"/>
      <c r="Z47" s="2901">
        <f t="shared" si="191"/>
        <v>4.1000000000000003E-3</v>
      </c>
      <c r="AA47" s="2902">
        <f t="shared" si="191"/>
        <v>2.7000000000000001E-3</v>
      </c>
      <c r="AB47" s="2026">
        <f t="shared" si="191"/>
        <v>7.9000000000000008E-3</v>
      </c>
      <c r="AC47" s="2903"/>
      <c r="AD47" s="2026">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3" customFormat="1" ht="13.2">
      <c r="A48" s="2904" t="s">
        <v>2835</v>
      </c>
      <c r="B48" s="2029">
        <v>2022</v>
      </c>
      <c r="C48" s="2040">
        <v>1</v>
      </c>
      <c r="D48" s="2005"/>
      <c r="E48" s="2005">
        <v>0.6</v>
      </c>
      <c r="F48" s="2005">
        <v>0.45</v>
      </c>
      <c r="G48" s="2005">
        <v>0.53</v>
      </c>
      <c r="H48" s="2916"/>
      <c r="I48" s="2006">
        <f t="shared" si="174"/>
        <v>0.45</v>
      </c>
      <c r="J48" s="2905"/>
      <c r="K48" s="2041"/>
      <c r="L48" s="2026">
        <f t="shared" si="175"/>
        <v>6.0000000000000001E-3</v>
      </c>
      <c r="M48" s="2026">
        <f t="shared" si="175"/>
        <v>4.5000000000000005E-3</v>
      </c>
      <c r="N48" s="2026">
        <f t="shared" si="175"/>
        <v>5.3E-3</v>
      </c>
      <c r="O48" s="2026"/>
      <c r="P48" s="2026">
        <f t="shared" si="189"/>
        <v>4.5000000000000005E-3</v>
      </c>
      <c r="Q48" s="2905"/>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5"/>
      <c r="Y48" s="2026"/>
      <c r="Z48" s="2901">
        <f t="shared" si="191"/>
        <v>5.1000000000000004E-3</v>
      </c>
      <c r="AA48" s="2902">
        <f t="shared" si="191"/>
        <v>3.5000000000000001E-3</v>
      </c>
      <c r="AB48" s="2026">
        <f t="shared" si="191"/>
        <v>8.3999999999999995E-3</v>
      </c>
      <c r="AC48" s="2903"/>
      <c r="AD48" s="2026">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3" customFormat="1" ht="13.2">
      <c r="A49" s="2904" t="s">
        <v>2836</v>
      </c>
      <c r="B49" s="2029">
        <v>2021</v>
      </c>
      <c r="C49" s="2040">
        <v>4</v>
      </c>
      <c r="D49" s="2005"/>
      <c r="E49" s="2005">
        <v>0.57999999999999996</v>
      </c>
      <c r="F49" s="2005">
        <v>0.08</v>
      </c>
      <c r="G49" s="2005">
        <v>0.68</v>
      </c>
      <c r="H49" s="2916"/>
      <c r="I49" s="2006">
        <f t="shared" si="174"/>
        <v>0.08</v>
      </c>
      <c r="J49" s="2905"/>
      <c r="K49" s="2041"/>
      <c r="L49" s="2026">
        <f t="shared" si="175"/>
        <v>5.7999999999999996E-3</v>
      </c>
      <c r="M49" s="2026">
        <f t="shared" si="175"/>
        <v>8.0000000000000004E-4</v>
      </c>
      <c r="N49" s="2026">
        <f t="shared" si="175"/>
        <v>6.8000000000000005E-3</v>
      </c>
      <c r="O49" s="2026"/>
      <c r="P49" s="2026">
        <f t="shared" si="189"/>
        <v>8.0000000000000004E-4</v>
      </c>
      <c r="Q49" s="2905"/>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5"/>
      <c r="Y49" s="2026"/>
      <c r="Z49" s="2901">
        <f t="shared" si="191"/>
        <v>4.8999999999999998E-3</v>
      </c>
      <c r="AA49" s="2902">
        <f t="shared" si="191"/>
        <v>3.3E-3</v>
      </c>
      <c r="AB49" s="2026">
        <f t="shared" si="191"/>
        <v>9.1999999999999998E-3</v>
      </c>
      <c r="AC49" s="2903"/>
      <c r="AD49" s="2026">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3" customFormat="1" ht="13.2">
      <c r="A50" s="2904" t="s">
        <v>2837</v>
      </c>
      <c r="B50" s="2029">
        <v>2021</v>
      </c>
      <c r="C50" s="2040">
        <v>3</v>
      </c>
      <c r="D50" s="2005"/>
      <c r="E50" s="2005">
        <v>0.47</v>
      </c>
      <c r="F50" s="2005">
        <v>0.28000000000000003</v>
      </c>
      <c r="G50" s="2005">
        <v>0.91</v>
      </c>
      <c r="H50" s="2916"/>
      <c r="I50" s="2006">
        <f t="shared" si="174"/>
        <v>0.28000000000000003</v>
      </c>
      <c r="J50" s="2905"/>
      <c r="K50" s="2041"/>
      <c r="L50" s="2026">
        <f t="shared" si="175"/>
        <v>4.6999999999999993E-3</v>
      </c>
      <c r="M50" s="2026">
        <f t="shared" si="175"/>
        <v>2.8000000000000004E-3</v>
      </c>
      <c r="N50" s="2026">
        <f t="shared" si="175"/>
        <v>9.1000000000000004E-3</v>
      </c>
      <c r="O50" s="2026"/>
      <c r="P50" s="2026">
        <f t="shared" si="189"/>
        <v>2.8000000000000004E-3</v>
      </c>
      <c r="Q50" s="2905"/>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5"/>
      <c r="Y50" s="2026"/>
      <c r="Z50" s="2901">
        <f t="shared" si="191"/>
        <v>4.5999999999999999E-3</v>
      </c>
      <c r="AA50" s="2902">
        <f t="shared" si="191"/>
        <v>4.1000000000000003E-3</v>
      </c>
      <c r="AB50" s="2026">
        <f t="shared" si="191"/>
        <v>0.01</v>
      </c>
      <c r="AC50" s="2903"/>
      <c r="AD50" s="2026">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3" customFormat="1" ht="13.2">
      <c r="A51" s="2904" t="s">
        <v>2838</v>
      </c>
      <c r="B51" s="2029">
        <v>2021</v>
      </c>
      <c r="C51" s="2040">
        <v>2</v>
      </c>
      <c r="D51" s="2005"/>
      <c r="E51" s="2005">
        <v>0.55000000000000004</v>
      </c>
      <c r="F51" s="2005">
        <v>0.46</v>
      </c>
      <c r="G51" s="2005">
        <v>1.1000000000000001</v>
      </c>
      <c r="H51" s="2916"/>
      <c r="I51" s="2006">
        <f t="shared" si="174"/>
        <v>0.46</v>
      </c>
      <c r="J51" s="2905"/>
      <c r="K51" s="2041"/>
      <c r="L51" s="2026">
        <f t="shared" si="175"/>
        <v>5.5000000000000005E-3</v>
      </c>
      <c r="M51" s="2026">
        <f t="shared" si="175"/>
        <v>4.5999999999999999E-3</v>
      </c>
      <c r="N51" s="2026">
        <f t="shared" si="175"/>
        <v>1.1000000000000001E-2</v>
      </c>
      <c r="O51" s="2026"/>
      <c r="P51" s="2026">
        <f t="shared" si="189"/>
        <v>4.5999999999999999E-3</v>
      </c>
      <c r="Q51" s="2905"/>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5"/>
      <c r="Y51" s="2026"/>
      <c r="Z51" s="2901">
        <f t="shared" si="191"/>
        <v>4.4999999999999997E-3</v>
      </c>
      <c r="AA51" s="2902">
        <f t="shared" si="191"/>
        <v>4.7000000000000002E-3</v>
      </c>
      <c r="AB51" s="2026">
        <f t="shared" si="191"/>
        <v>1.04E-2</v>
      </c>
      <c r="AC51" s="2903"/>
      <c r="AD51" s="2026">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5" thickTop="1"/>
    <row r="54" spans="1:44">
      <c r="A54" s="3142" t="s">
        <v>3377</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509" t="s">
        <v>452</v>
      </c>
      <c r="C1" s="3509"/>
      <c r="D1" s="3509"/>
      <c r="E1" s="3509"/>
      <c r="F1" s="3509"/>
      <c r="G1" s="3505" t="s">
        <v>453</v>
      </c>
      <c r="H1" s="3505"/>
      <c r="I1" s="3505"/>
      <c r="J1" s="3505"/>
      <c r="K1" s="3505"/>
      <c r="L1" s="3505"/>
      <c r="N1" s="3505" t="s">
        <v>454</v>
      </c>
      <c r="O1" s="3505"/>
      <c r="P1" s="3505"/>
      <c r="Q1" s="3505"/>
      <c r="S1" s="3505" t="s">
        <v>455</v>
      </c>
      <c r="T1" s="3505"/>
      <c r="U1" s="3505"/>
      <c r="V1" s="3505"/>
      <c r="X1" s="3504" t="s">
        <v>456</v>
      </c>
      <c r="Y1" s="3505"/>
      <c r="Z1" s="3505"/>
      <c r="AA1" s="3505"/>
      <c r="AB1" s="3505"/>
      <c r="AD1" s="3504" t="s">
        <v>457</v>
      </c>
      <c r="AE1" s="3505"/>
      <c r="AF1" s="3505"/>
      <c r="AG1" s="3505"/>
      <c r="AH1" s="3505"/>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3360</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3357</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3358</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3359</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5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5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1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5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5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50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50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1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50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50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50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50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50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50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50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50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50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50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50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7">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508">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50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7">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508">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17" t="s">
        <v>2839</v>
      </c>
      <c r="B1" s="3517"/>
      <c r="C1" s="3517"/>
      <c r="D1" s="3517"/>
      <c r="E1" s="3517"/>
      <c r="F1" s="3517"/>
      <c r="G1" s="3518"/>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5"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16"/>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46013</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0" t="str">
        <f>IF(项目基本情况!B9="房地产市场价值","估价结果一览表","结果表-2")</f>
        <v>结果表-2</v>
      </c>
      <c r="B1" s="3200"/>
      <c r="C1" s="3200"/>
      <c r="D1" s="3200"/>
      <c r="E1" s="3200"/>
      <c r="F1" s="3200"/>
      <c r="G1" s="3200"/>
      <c r="H1" s="3200"/>
      <c r="I1" s="3200"/>
    </row>
    <row r="2" spans="1:9" ht="30" customHeight="1" thickTop="1">
      <c r="A2" s="3201" t="s">
        <v>928</v>
      </c>
      <c r="B2" s="3201" t="s">
        <v>929</v>
      </c>
      <c r="C2" s="3201" t="s">
        <v>930</v>
      </c>
      <c r="D2" s="3201" t="str">
        <f>结果表!D116</f>
        <v>出让国有建设用地使用权价值</v>
      </c>
      <c r="E2" s="3201"/>
      <c r="F2" s="3201" t="str">
        <f>结果表!F116</f>
        <v>在建建筑物价值</v>
      </c>
      <c r="G2" s="3201"/>
      <c r="H2" s="3201" t="str">
        <f>IF(项目基本情况!B9="房地产市场价值","房地产市场价值","房地产价值")</f>
        <v>房地产价值</v>
      </c>
      <c r="I2" s="3201"/>
    </row>
    <row r="3" spans="1:9" ht="15.6">
      <c r="A3" s="3196"/>
      <c r="B3" s="3196"/>
      <c r="C3" s="3196"/>
      <c r="D3" s="801" t="s">
        <v>925</v>
      </c>
      <c r="E3" s="801" t="s">
        <v>931</v>
      </c>
      <c r="F3" s="801" t="s">
        <v>925</v>
      </c>
      <c r="G3" s="801" t="s">
        <v>926</v>
      </c>
      <c r="H3" s="801" t="s">
        <v>925</v>
      </c>
      <c r="I3" s="801" t="s">
        <v>926</v>
      </c>
    </row>
    <row r="4" spans="1:9" ht="15">
      <c r="A4" s="1403" t="str">
        <f>项目基本情况!S2</f>
        <v>北京市房地产</v>
      </c>
      <c r="B4" s="801">
        <f>项目基本情况!C17</f>
        <v>9456.5000000000018</v>
      </c>
      <c r="C4" s="801">
        <f>项目基本情况!C18</f>
        <v>0</v>
      </c>
      <c r="D4" s="801">
        <f>结果表!D118</f>
        <v>0</v>
      </c>
      <c r="E4" s="801">
        <f>结果表!E118</f>
        <v>0</v>
      </c>
      <c r="F4" s="801">
        <f>结果表!F118</f>
        <v>0</v>
      </c>
      <c r="G4" s="801">
        <f>结果表!G118</f>
        <v>0</v>
      </c>
      <c r="H4" s="801">
        <f ca="1">结果表!H118</f>
        <v>0</v>
      </c>
      <c r="I4" s="801">
        <f ca="1">结果表!I118</f>
        <v>19139</v>
      </c>
    </row>
    <row r="5" spans="1:9" ht="30" customHeight="1">
      <c r="A5" s="3196" t="s">
        <v>927</v>
      </c>
      <c r="B5" s="3196"/>
      <c r="C5" s="3196"/>
      <c r="D5" s="3196" t="str">
        <f>结果表!D119</f>
        <v>零元整</v>
      </c>
      <c r="E5" s="3196"/>
      <c r="F5" s="3196" t="str">
        <f>结果表!F119</f>
        <v>零元整</v>
      </c>
      <c r="G5" s="3196"/>
      <c r="H5" s="3196" t="str">
        <f ca="1">结果表!H119</f>
        <v>零元整</v>
      </c>
      <c r="I5" s="3196"/>
    </row>
    <row r="6" spans="1:9" ht="15.6">
      <c r="A6" s="3195" t="str">
        <f>结果表!A120</f>
        <v>估价师知悉的法定优先受偿款</v>
      </c>
      <c r="B6" s="3195"/>
      <c r="C6" s="3195"/>
      <c r="D6" s="3195">
        <f>结果表!D120</f>
        <v>0</v>
      </c>
      <c r="E6" s="3195"/>
      <c r="F6" s="3195"/>
      <c r="G6" s="3195"/>
      <c r="H6" s="3195"/>
      <c r="I6" s="3195"/>
    </row>
    <row r="7" spans="1:9" ht="15">
      <c r="A7" s="3196" t="s">
        <v>927</v>
      </c>
      <c r="B7" s="3196"/>
      <c r="C7" s="3196"/>
      <c r="D7" s="3197" t="str">
        <f>结果表!D121</f>
        <v>零元整</v>
      </c>
      <c r="E7" s="3198"/>
      <c r="F7" s="3198"/>
      <c r="G7" s="3198"/>
      <c r="H7" s="3198"/>
      <c r="I7" s="3199"/>
    </row>
    <row r="8" spans="1:9" ht="15.6">
      <c r="A8" s="3195" t="str">
        <f>结果表!A122</f>
        <v>房地产抵押价值</v>
      </c>
      <c r="B8" s="3195"/>
      <c r="C8" s="3195"/>
      <c r="D8" s="3195">
        <f ca="1">结果表!D122</f>
        <v>0</v>
      </c>
      <c r="E8" s="3195"/>
      <c r="F8" s="3195"/>
      <c r="G8" s="3195"/>
      <c r="H8" s="3195"/>
      <c r="I8" s="3195"/>
    </row>
    <row r="9" spans="1:9" ht="15">
      <c r="A9" s="3196" t="s">
        <v>927</v>
      </c>
      <c r="B9" s="3196"/>
      <c r="C9" s="3196"/>
      <c r="D9" s="3196" t="str">
        <f ca="1">结果表!D123</f>
        <v>零元整</v>
      </c>
      <c r="E9" s="3196"/>
      <c r="F9" s="3196"/>
      <c r="G9" s="3196"/>
      <c r="H9" s="3196"/>
      <c r="I9" s="3196"/>
    </row>
    <row r="10" spans="1:9" ht="15.6">
      <c r="A10" s="3195" t="str">
        <f>结果表!A124</f>
        <v/>
      </c>
      <c r="B10" s="3195"/>
      <c r="C10" s="3195"/>
      <c r="D10" s="3195" t="str">
        <f>结果表!D124</f>
        <v>——</v>
      </c>
      <c r="E10" s="3195"/>
      <c r="F10" s="3195"/>
      <c r="G10" s="3195"/>
      <c r="H10" s="3195"/>
      <c r="I10" s="3195"/>
    </row>
    <row r="11" spans="1:9" ht="15">
      <c r="A11" s="3196" t="s">
        <v>927</v>
      </c>
      <c r="B11" s="3196"/>
      <c r="C11" s="3196"/>
      <c r="D11" s="3196" t="e">
        <f>结果表!D125</f>
        <v>#VALUE!</v>
      </c>
      <c r="E11" s="3196"/>
      <c r="F11" s="3196"/>
      <c r="G11" s="3196"/>
      <c r="H11" s="3196"/>
      <c r="I11" s="3196"/>
    </row>
    <row r="12" spans="1:9" ht="15.6">
      <c r="A12" s="3195" t="str">
        <f>结果表!A126</f>
        <v/>
      </c>
      <c r="B12" s="3195"/>
      <c r="C12" s="3195"/>
      <c r="D12" s="3195" t="str">
        <f>结果表!D126</f>
        <v>——</v>
      </c>
      <c r="E12" s="3195"/>
      <c r="F12" s="3195"/>
      <c r="G12" s="3195"/>
      <c r="H12" s="3195"/>
      <c r="I12" s="3195"/>
    </row>
    <row r="13" spans="1:9" ht="15.6" thickBot="1">
      <c r="A13" s="3193" t="s">
        <v>927</v>
      </c>
      <c r="B13" s="3193"/>
      <c r="C13" s="3193"/>
      <c r="D13" s="3193" t="e">
        <f>结果表!D127</f>
        <v>#VALUE!</v>
      </c>
      <c r="E13" s="3193"/>
      <c r="F13" s="3193"/>
      <c r="G13" s="3193"/>
      <c r="H13" s="3193"/>
      <c r="I13" s="3193"/>
    </row>
    <row r="14" spans="1:9" ht="14.4" thickTop="1">
      <c r="A14" s="3194" t="s">
        <v>932</v>
      </c>
      <c r="B14" s="3194"/>
      <c r="C14" s="3194"/>
      <c r="D14" s="3194"/>
      <c r="E14" s="3194"/>
      <c r="F14" s="3194"/>
      <c r="G14" s="3194"/>
      <c r="H14" s="3194"/>
      <c r="I14" s="319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8" t="s">
        <v>949</v>
      </c>
      <c r="B1" s="3208"/>
      <c r="C1" s="3208"/>
      <c r="D1" s="3208"/>
    </row>
    <row r="2" spans="1:4" ht="17.399999999999999">
      <c r="A2" s="3209" t="s">
        <v>933</v>
      </c>
      <c r="B2" s="3209"/>
      <c r="C2" s="3209"/>
      <c r="D2" s="320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9" t="s">
        <v>939</v>
      </c>
      <c r="B6" s="3209"/>
      <c r="C6" s="3209"/>
      <c r="D6" s="320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0" t="s">
        <v>942</v>
      </c>
      <c r="B11" s="3202"/>
      <c r="C11" s="3202"/>
      <c r="D11" s="3202"/>
    </row>
    <row r="12" spans="1:4" ht="15.6">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2" t="str">
        <f>IF(项目基本情况!B8="抵押","4.本次评估估价师所知悉的法定优先受偿款情况说明如下：","——")</f>
        <v>4.本次评估估价师所知悉的法定优先受偿款情况说明如下：</v>
      </c>
      <c r="B14" s="3207"/>
      <c r="C14" s="3207"/>
      <c r="D14" s="3207"/>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943</v>
      </c>
      <c r="B16" s="3204"/>
      <c r="C16" s="3204"/>
      <c r="D16" s="3204"/>
    </row>
    <row r="17" spans="1:4" ht="144" customHeight="1">
      <c r="A17" s="3204" t="s">
        <v>944</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3">
        <v>42551</v>
      </c>
      <c r="D31" s="32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6" t="s">
        <v>956</v>
      </c>
      <c r="B15" s="3211" t="s">
        <v>109</v>
      </c>
      <c r="C15" s="3212"/>
    </row>
    <row r="16" spans="1:7" ht="14.4">
      <c r="A16" s="3217"/>
      <c r="B16" s="3211" t="s">
        <v>42</v>
      </c>
      <c r="C16" s="3212"/>
    </row>
    <row r="17" spans="1:3" ht="14.4">
      <c r="A17" s="3217"/>
      <c r="B17" s="3214" t="s">
        <v>957</v>
      </c>
      <c r="C17" s="1429" t="s">
        <v>956</v>
      </c>
    </row>
    <row r="18" spans="1:3" ht="14.4">
      <c r="A18" s="3217"/>
      <c r="B18" s="3214"/>
      <c r="C18" s="1429" t="s">
        <v>958</v>
      </c>
    </row>
    <row r="19" spans="1:3" ht="14.4">
      <c r="A19" s="3217"/>
      <c r="B19" s="3214"/>
      <c r="C19" s="1429" t="s">
        <v>959</v>
      </c>
    </row>
    <row r="20" spans="1:3" ht="14.4">
      <c r="A20" s="3218"/>
      <c r="B20" s="3213" t="s">
        <v>960</v>
      </c>
      <c r="C20" s="3212"/>
    </row>
    <row r="21" spans="1:3" ht="14.4">
      <c r="A21" s="1430" t="s">
        <v>961</v>
      </c>
      <c r="B21" s="1431"/>
      <c r="C21" s="1432"/>
    </row>
    <row r="22" spans="1:3" ht="14.4">
      <c r="A22" s="3215" t="s">
        <v>962</v>
      </c>
      <c r="B22" s="3213" t="s">
        <v>963</v>
      </c>
      <c r="C22" s="3212"/>
    </row>
    <row r="23" spans="1:3" ht="14.4">
      <c r="A23" s="3215"/>
      <c r="B23" s="3213" t="s">
        <v>964</v>
      </c>
      <c r="C23" s="3212"/>
    </row>
    <row r="24" spans="1:3" ht="14.4">
      <c r="A24" s="3215"/>
      <c r="B24" s="3213" t="s">
        <v>965</v>
      </c>
      <c r="C24" s="3212"/>
    </row>
    <row r="25" spans="1:3" ht="14.4">
      <c r="A25" s="3215"/>
      <c r="B25" s="3214" t="s">
        <v>966</v>
      </c>
      <c r="C25" s="1429" t="s">
        <v>967</v>
      </c>
    </row>
    <row r="26" spans="1:3" ht="14.4">
      <c r="A26" s="3215"/>
      <c r="B26" s="3214"/>
      <c r="C26" s="1429" t="s">
        <v>968</v>
      </c>
    </row>
    <row r="27" spans="1:3" ht="14.4">
      <c r="A27" s="3215"/>
      <c r="B27" s="3214"/>
      <c r="C27" s="1429" t="s">
        <v>969</v>
      </c>
    </row>
    <row r="28" spans="1:3" ht="14.4">
      <c r="A28" s="3215"/>
      <c r="B28" s="3214"/>
      <c r="C28" s="1429" t="s">
        <v>970</v>
      </c>
    </row>
    <row r="29" spans="1:3" ht="14.4">
      <c r="A29" s="3215"/>
      <c r="B29" s="3214"/>
      <c r="C29" s="1429" t="s">
        <v>971</v>
      </c>
    </row>
    <row r="30" spans="1:3" ht="14.4">
      <c r="A30" s="3215"/>
      <c r="B30" s="3214"/>
      <c r="C30" s="1429" t="s">
        <v>972</v>
      </c>
    </row>
    <row r="31" spans="1:3" ht="14.4">
      <c r="A31" s="3215"/>
      <c r="B31" s="3214"/>
      <c r="C31" s="1429" t="s">
        <v>973</v>
      </c>
    </row>
    <row r="32" spans="1:3" ht="14.4">
      <c r="A32" s="3215"/>
      <c r="B32" s="3214"/>
      <c r="C32" s="1429" t="s">
        <v>974</v>
      </c>
    </row>
    <row r="33" spans="1:3" ht="14.4">
      <c r="A33" s="3215"/>
      <c r="B33" s="321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46020</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t="str">
        <f ca="1">IF(C4&lt;B2,"已过期",1119970066)</f>
        <v>已过期</v>
      </c>
      <c r="C4" s="2160">
        <v>45937</v>
      </c>
      <c r="D4" s="2161" t="str">
        <f ca="1">A4&amp;"（注册号："&amp;B4&amp;"）"</f>
        <v>梁津（注册号：已过期）</v>
      </c>
      <c r="E4" s="2162" t="s">
        <v>2148</v>
      </c>
      <c r="F4" s="1219">
        <f ca="1">IF(G4&lt;B2,"已过期",96010014)</f>
        <v>96010014</v>
      </c>
      <c r="G4" s="2163">
        <v>47118</v>
      </c>
      <c r="H4" s="2164" t="str">
        <f ca="1">E4&amp;"（注册号："&amp;F4&amp;"）"</f>
        <v>梁津（注册号：96010014）</v>
      </c>
    </row>
    <row r="5" spans="1:8" ht="24" customHeight="1">
      <c r="A5" s="1219" t="s">
        <v>2149</v>
      </c>
      <c r="B5" s="1219" t="str">
        <f ca="1">IF(C5&lt;B2,"已过期",1119970111)</f>
        <v>已过期</v>
      </c>
      <c r="C5" s="2160">
        <v>45937</v>
      </c>
      <c r="D5" s="2161" t="str">
        <f t="shared" ref="D5:D15" ca="1" si="0">A5&amp;"（注册号："&amp;B5&amp;"）"</f>
        <v>叶凌（注册号：已过期）</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t="str">
        <f ca="1">IF(C7&lt;B2,"已过期",1120000080)</f>
        <v>已过期</v>
      </c>
      <c r="C7" s="2160">
        <v>45937</v>
      </c>
      <c r="D7" s="2161" t="str">
        <f t="shared" ca="1" si="0"/>
        <v>欧红伟（注册号：已过期）</v>
      </c>
      <c r="E7" s="2162" t="s">
        <v>2151</v>
      </c>
      <c r="F7" s="1219">
        <f ca="1">IF(G7&lt;B2,"已过期",2000110082)</f>
        <v>2000110082</v>
      </c>
      <c r="G7" s="2163">
        <v>46387</v>
      </c>
      <c r="H7" s="2164" t="str">
        <f t="shared" ca="1" si="1"/>
        <v>欧红伟（注册号：2000110082）</v>
      </c>
    </row>
    <row r="8" spans="1:8" ht="24" customHeight="1">
      <c r="A8" s="1219" t="s">
        <v>2152</v>
      </c>
      <c r="B8" s="1219" t="str">
        <f ca="1">IF(C8&lt;B2,"已过期",1419970001)</f>
        <v>已过期</v>
      </c>
      <c r="C8" s="2160">
        <v>45937</v>
      </c>
      <c r="D8" s="2161" t="str">
        <f t="shared" ca="1" si="0"/>
        <v>吴薇（注册号：已过期）</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t="str">
        <f ca="1">IF(C10&lt;B2,"已过期",1120100036)</f>
        <v>已过期</v>
      </c>
      <c r="C10" s="2165">
        <v>45752</v>
      </c>
      <c r="D10" s="2161" t="str">
        <f t="shared" ca="1" si="0"/>
        <v>崔锴（注册号：已过期）</v>
      </c>
      <c r="E10" s="2162" t="s">
        <v>2154</v>
      </c>
      <c r="F10" s="1219">
        <f ca="1">IF(G10&lt;B2,"已过期",2010110070)</f>
        <v>2010110070</v>
      </c>
      <c r="G10" s="2163">
        <v>47907</v>
      </c>
      <c r="H10" s="2164" t="str">
        <f t="shared" ca="1" si="1"/>
        <v>崔锴（注册号：2010110070）</v>
      </c>
    </row>
    <row r="11" spans="1:8" ht="24" customHeight="1">
      <c r="A11" s="1219" t="s">
        <v>2155</v>
      </c>
      <c r="B11" s="1219" t="str">
        <f ca="1">IF(C11&lt;B2,"已过期",1120070131)</f>
        <v>已过期</v>
      </c>
      <c r="C11" s="2160">
        <v>45937</v>
      </c>
      <c r="D11" s="2161" t="str">
        <f t="shared" ca="1" si="0"/>
        <v>郑燚（注册号：已过期）</v>
      </c>
      <c r="E11" s="2162" t="s">
        <v>2155</v>
      </c>
      <c r="F11" s="1219">
        <f ca="1">IF(G11&lt;B2,"已过期",2014110011)</f>
        <v>2014110011</v>
      </c>
      <c r="G11" s="2163">
        <v>49302</v>
      </c>
      <c r="H11" s="2164" t="str">
        <f t="shared" ca="1" si="1"/>
        <v>郑燚（注册号：2014110011）</v>
      </c>
    </row>
    <row r="12" spans="1:8" ht="24" customHeight="1">
      <c r="A12" s="1219" t="s">
        <v>2156</v>
      </c>
      <c r="B12" s="1219" t="str">
        <f ca="1">IF(C12&lt;B2,"已过期",1120040230)</f>
        <v>已过期</v>
      </c>
      <c r="C12" s="2165">
        <v>45937</v>
      </c>
      <c r="D12" s="2161" t="str">
        <f t="shared" ca="1" si="0"/>
        <v>苏海（注册号：已过期）</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2437</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19" t="s">
        <v>2160</v>
      </c>
      <c r="B17" s="3219"/>
      <c r="C17" s="3219"/>
      <c r="D17" s="3219"/>
      <c r="E17" s="3219"/>
      <c r="F17" s="3219"/>
      <c r="G17" s="3219"/>
      <c r="H17" s="3219"/>
    </row>
    <row r="18" spans="1:8" ht="24" customHeight="1">
      <c r="A18" s="3220" t="s">
        <v>2161</v>
      </c>
      <c r="B18" s="3220"/>
      <c r="C18" s="3220"/>
      <c r="D18" s="2158"/>
      <c r="E18" s="3221" t="s">
        <v>2162</v>
      </c>
      <c r="F18" s="3220"/>
      <c r="G18" s="3220"/>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收益法-酒店模型</vt:lpstr>
      <vt:lpstr>收益法（汇总）</vt:lpstr>
      <vt:lpstr>比较法-住宅</vt:lpstr>
      <vt:lpstr>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2025-12-29T06:23:23Z</dcterms:modified>
</cp:coreProperties>
</file>