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I34" i="34"/>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M29" i="15"/>
  <c r="D34" i="9"/>
  <c r="F43" i="15"/>
  <c r="E9" i="76"/>
  <c r="E13" i="76"/>
  <c r="F13" i="15"/>
  <c r="F41" i="15"/>
  <c r="F4" i="73"/>
  <c r="F40" i="67"/>
  <c r="B12" i="76"/>
  <c r="M21" i="15"/>
  <c r="F37" i="15"/>
  <c r="M6" i="15"/>
  <c r="J15" i="67"/>
  <c r="AO11" i="1"/>
  <c r="F7" i="15"/>
  <c r="D2" i="33"/>
  <c r="M27" i="67"/>
  <c r="E2" i="69"/>
  <c r="F38" i="15"/>
  <c r="AO7" i="1"/>
  <c r="M28" i="67"/>
  <c r="F8" i="67"/>
  <c r="E2" i="68"/>
  <c r="B11" i="76"/>
  <c r="M9" i="15"/>
  <c r="M26" i="15"/>
  <c r="E11" i="76"/>
  <c r="E7" i="76"/>
  <c r="F7" i="73"/>
  <c r="B7" i="76"/>
  <c r="M8" i="15"/>
  <c r="F36" i="15"/>
  <c r="F40" i="15"/>
  <c r="F6" i="67"/>
  <c r="M26" i="67"/>
  <c r="B8" i="76"/>
  <c r="M22" i="67"/>
  <c r="D2" i="36"/>
  <c r="AO8" i="1"/>
  <c r="D2" i="37"/>
  <c r="L48" i="15"/>
  <c r="AO13" i="1"/>
  <c r="AO9" i="1"/>
  <c r="D35" i="9"/>
  <c r="F37" i="67"/>
  <c r="M22" i="15"/>
  <c r="E8" i="76"/>
  <c r="M23" i="15"/>
  <c r="C76" i="15"/>
  <c r="F8" i="15"/>
  <c r="L47" i="67"/>
  <c r="M9" i="67"/>
  <c r="M8" i="67"/>
  <c r="C76" i="67"/>
  <c r="F35" i="15"/>
  <c r="F9" i="67"/>
  <c r="AO12" i="1"/>
  <c r="F26" i="67"/>
  <c r="F38" i="67"/>
  <c r="B10" i="76"/>
  <c r="F9" i="15"/>
  <c r="F20" i="31"/>
  <c r="F36" i="67"/>
  <c r="D2" i="35"/>
  <c r="M27" i="15"/>
  <c r="M24" i="67"/>
  <c r="F42" i="15"/>
  <c r="M23" i="67"/>
  <c r="J15" i="15"/>
  <c r="B13" i="76"/>
  <c r="D2" i="21"/>
  <c r="AO10" i="1"/>
  <c r="M24" i="15"/>
  <c r="F16" i="15"/>
  <c r="F42" i="67"/>
  <c r="L47" i="15"/>
  <c r="F16" i="67"/>
  <c r="M28" i="15"/>
  <c r="E12" i="76"/>
  <c r="M6" i="67"/>
  <c r="F3" i="73"/>
  <c r="D2" i="34"/>
  <c r="F26" i="15"/>
  <c r="B9" i="76"/>
  <c r="F6" i="73"/>
  <c r="F6" i="15"/>
  <c r="F5" i="73"/>
  <c r="C14" i="15"/>
  <c r="E10" i="76"/>
  <c r="W44" i="34" l="1"/>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D5" i="73"/>
  <c r="M29" i="67"/>
  <c r="C16" i="15"/>
  <c r="L48" i="67"/>
  <c r="D3" i="73"/>
  <c r="F43" i="67"/>
  <c r="C17" i="15"/>
  <c r="D4" i="73"/>
  <c r="D7" i="73"/>
  <c r="D6" i="73"/>
  <c r="F7" i="67"/>
  <c r="AA34" i="34" l="1"/>
  <c r="AC27" i="34"/>
  <c r="W27" i="34"/>
  <c r="G5" i="3"/>
  <c r="B3"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F13" i="67"/>
  <c r="C16" i="67"/>
  <c r="F22" i="68" l="1"/>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65" i="3"/>
  <c r="AY584" i="3"/>
  <c r="AY582" i="3"/>
  <c r="AY502" i="3"/>
  <c r="AY497" i="3"/>
  <c r="AY427" i="3"/>
  <c r="AY580" i="3"/>
  <c r="AY403" i="3"/>
  <c r="AY299" i="3"/>
  <c r="AY219" i="3"/>
  <c r="AY366" i="3"/>
  <c r="AY282" i="3"/>
  <c r="AY106" i="3"/>
  <c r="AY465" i="3"/>
  <c r="AY185" i="3"/>
  <c r="AY105" i="3"/>
  <c r="AY563" i="3"/>
  <c r="AY483" i="3"/>
  <c r="AY434" i="3"/>
  <c r="AY525" i="3"/>
  <c r="AY457" i="3"/>
  <c r="AY380" i="3"/>
  <c r="AY468" i="3"/>
  <c r="AY327" i="3"/>
  <c r="AY151" i="3"/>
  <c r="AY71" i="3"/>
  <c r="AY214" i="3"/>
  <c r="AY134" i="3"/>
  <c r="AY377" i="3"/>
  <c r="AY524" i="3"/>
  <c r="AY175" i="3"/>
  <c r="AY334" i="3"/>
  <c r="AY464" i="3"/>
  <c r="AY253" i="3"/>
  <c r="AY51" i="3"/>
  <c r="BR6" i="3"/>
  <c r="AY35" i="3"/>
  <c r="AY316" i="3"/>
  <c r="AY45" i="3"/>
  <c r="AY494" i="3"/>
  <c r="AY408" i="3"/>
  <c r="AY500" i="3"/>
  <c r="AY355" i="3"/>
  <c r="AY259" i="3"/>
  <c r="AY99" i="3"/>
  <c r="AY322" i="3"/>
  <c r="AY162" i="3"/>
  <c r="AY82" i="3"/>
  <c r="AY309" i="3"/>
  <c r="AY245" i="3"/>
  <c r="AY141" i="3"/>
  <c r="AY77" i="3"/>
  <c r="BE6" i="3"/>
  <c r="BF6" i="3"/>
  <c r="AY200" i="3"/>
  <c r="AY104" i="3"/>
  <c r="BH6" i="3"/>
  <c r="AY308" i="3"/>
  <c r="AY386" i="3"/>
  <c r="AY300" i="3"/>
  <c r="AY463" i="3"/>
  <c r="AY569" i="3"/>
  <c r="AY456" i="3"/>
  <c r="AY360" i="3"/>
  <c r="AY429" i="3"/>
  <c r="AY275" i="3"/>
  <c r="AY83" i="3"/>
  <c r="AY306" i="3"/>
  <c r="AY146" i="3"/>
  <c r="AY50" i="3"/>
  <c r="AY277" i="3"/>
  <c r="AY193" i="3"/>
  <c r="AY65" i="3"/>
  <c r="AY148" i="3"/>
  <c r="AY216" i="3"/>
  <c r="AY56" i="3"/>
  <c r="AY132" i="3"/>
  <c r="AY284" i="3"/>
  <c r="AY478" i="3"/>
  <c r="AY528" i="3"/>
  <c r="AY404" i="3"/>
  <c r="AY492" i="3"/>
  <c r="AY351" i="3"/>
  <c r="AY255" i="3"/>
  <c r="AY127" i="3"/>
  <c r="AY95" i="3"/>
  <c r="AY286" i="3"/>
  <c r="AY254" i="3"/>
  <c r="AY126" i="3"/>
  <c r="AY78" i="3"/>
  <c r="AY325" i="3"/>
  <c r="AY305" i="3"/>
  <c r="AY241" i="3"/>
  <c r="AY221" i="3"/>
  <c r="AY157" i="3"/>
  <c r="AY133" i="3"/>
  <c r="AY69" i="3"/>
  <c r="AY378" i="3"/>
  <c r="AY16" i="3"/>
  <c r="BA6" i="3"/>
  <c r="AY352" i="3"/>
  <c r="AY320" i="3"/>
  <c r="AY224" i="3"/>
  <c r="AY192" i="3"/>
  <c r="AY96" i="3"/>
  <c r="AY57" i="3"/>
  <c r="BT6" i="3"/>
  <c r="BD6" i="3"/>
  <c r="AY268" i="3"/>
  <c r="AY228" i="3"/>
  <c r="AY25" i="3"/>
  <c r="AY370" i="3"/>
  <c r="AY292" i="3"/>
  <c r="AY220" i="3"/>
  <c r="AY147" i="3"/>
  <c r="AY70" i="3"/>
  <c r="AY362" i="3"/>
  <c r="BQ6" i="3"/>
  <c r="AY184" i="3"/>
  <c r="AY88" i="3"/>
  <c r="AY332" i="3"/>
  <c r="AY212" i="3"/>
  <c r="AY340" i="3"/>
  <c r="AY204"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W10" i="40"/>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C26" i="68" l="1"/>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5" i="6"/>
  <c r="D29" i="6"/>
  <c r="D22" i="6"/>
  <c r="D8" i="6"/>
  <c r="D15" i="6"/>
  <c r="D21" i="6"/>
  <c r="H26" i="6"/>
  <c r="D23" i="6"/>
  <c r="D9" i="6"/>
  <c r="D28" i="6"/>
  <c r="D20" i="6"/>
  <c r="L19" i="9"/>
  <c r="D25" i="6"/>
  <c r="D12" i="6"/>
  <c r="D6"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N37" i="43" l="1"/>
  <c r="O37" i="43"/>
  <c r="P37" i="43"/>
  <c r="M37" i="43"/>
  <c r="R26" i="6"/>
  <c r="H22" i="6"/>
  <c r="F69" i="67"/>
  <c r="H24" i="6"/>
  <c r="H20" i="6"/>
  <c r="H23" i="6"/>
  <c r="R23" i="6" s="1"/>
  <c r="I69" i="39"/>
  <c r="J67" i="39"/>
  <c r="C14" i="71"/>
  <c r="D15" i="71"/>
  <c r="K27" i="6"/>
  <c r="M19" i="6"/>
  <c r="S6" i="1"/>
  <c r="R22" i="6"/>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4" i="67"/>
  <c r="C17" i="67"/>
  <c r="J69" i="39" l="1"/>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20" i="9"/>
  <c r="L51" i="67"/>
  <c r="C19"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<sst xmlns="http://schemas.openxmlformats.org/spreadsheetml/2006/main" count="8128" uniqueCount="2826">
  <si>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</si>
  <si>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</si>
  <si>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</si>
  <si>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</si>
  <si>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</si>
  <si>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</si>
  <si>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</si>
  <si>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</si>
  <si>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</si>
  <si>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</si>
  <si>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</si>
  <si>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</si>
  <si>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</si>
  <si>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</si>
  <si>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</si>
  <si>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</si>
  <si>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</si>
  <si>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</si>
  <si>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</si>
  <si>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</si>
  <si>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</si>
  <si>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</si>
  <si>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</si>
  <si>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</si>
  <si>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</si>
  <si>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</si>
  <si>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</si>
  <si>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</si>
  <si>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</si>
  <si>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</si>
  <si>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</si>
  <si>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</si>
  <si>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</si>
  <si>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</si>
  <si>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</si>
  <si>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</si>
  <si>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</si>
  <si>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</si>
  <si>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</si>
  <si>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</si>
  <si>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</si>
  <si>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</si>
  <si>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</si>
  <si>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</si>
  <si>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</si>
  <si>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</si>
  <si>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</si>
  <si>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</si>
  <si>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</si>
  <si>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</si>
  <si>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</si>
  <si>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</si>
  <si>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</si>
  <si>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</si>
  <si>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</si>
  <si>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</si>
  <si>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</si>
  <si>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</si>
  <si>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</si>
  <si>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</si>
  <si>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</si>
  <si>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</si>
  <si>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</si>
  <si>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</si>
  <si>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</si>
  <si>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</si>
  <si>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</si>
  <si>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</si>
  <si>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</si>
  <si>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</si>
  <si>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</si>
  <si>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</si>
  <si>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</si>
  <si>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</si>
  <si>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</si>
  <si>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</si>
  <si>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</si>
  <si>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</si>
  <si>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</si>
  <si>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</si>
  <si>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</si>
  <si>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</si>
  <si>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</si>
  <si>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</si>
  <si>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</si>
  <si>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</si>
  <si>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</si>
  <si>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</si>
  <si>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</si>
  <si>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</si>
  <si>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</si>
  <si>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</si>
  <si>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</si>
  <si>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</si>
  <si>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</si>
  <si>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</si>
  <si>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</si>
  <si>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</si>
  <si>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</si>
  <si>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</si>
  <si>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</si>
  <si>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</si>
  <si>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</si>
  <si>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</si>
  <si>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</si>
  <si>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</si>
  <si>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</si>
  <si>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</si>
  <si>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</si>
  <si>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</si>
  <si>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</si>
  <si>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</si>
  <si>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</si>
  <si>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</si>
  <si>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</si>
  <si>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</si>
  <si>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</si>
  <si>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</si>
  <si>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</si>
  <si>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</si>
  <si>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</si>
  <si>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</si>
  <si>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</si>
  <si>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</si>
  <si>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</si>
  <si>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</si>
  <si>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</si>
  <si>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</si>
  <si>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</si>
  <si>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</si>
  <si>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</si>
  <si>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</si>
  <si>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</si>
  <si>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</si>
  <si>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</si>
  <si>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</si>
  <si>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</si>
  <si>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</si>
  <si>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</si>
  <si>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</si>
  <si>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</si>
  <si>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</si>
  <si>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</si>
  <si>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</si>
  <si>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</si>
  <si>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</si>
  <si>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</si>
  <si>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</si>
  <si>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</si>
  <si>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</si>
  <si>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</si>
  <si>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</si>
  <si>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</si>
  <si>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</si>
  <si>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</si>
  <si>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</si>
  <si>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</si>
  <si>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</si>
  <si>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</si>
  <si>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</si>
  <si>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</si>
  <si>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</si>
  <si>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</si>
  <si>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</si>
  <si>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</si>
  <si>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</si>
  <si>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</si>
  <si>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</si>
  <si>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</si>
  <si>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</si>
  <si>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</si>
  <si>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</si>
  <si>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</si>
  <si>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</si>
  <si>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</si>
  <si>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</si>
  <si>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</si>
  <si>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</si>
  <si>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</si>
  <si>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</si>
  <si>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</si>
  <si>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</si>
  <si>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</si>
  <si>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</si>
  <si>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</si>
  <si>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</si>
  <si>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</si>
  <si>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</si>
  <si>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</si>
  <si>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</si>
  <si>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</si>
  <si>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</si>
  <si>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</si>
  <si>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</si>
  <si>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</si>
  <si>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</si>
  <si>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</si>
  <si>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</si>
  <si>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</si>
  <si>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</si>
  <si>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</si>
  <si>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</si>
  <si>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</si>
  <si>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</si>
  <si>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</si>
  <si>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</si>
  <si>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</si>
  <si>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</si>
  <si>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</si>
  <si>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</si>
  <si>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</si>
  <si>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</si>
  <si>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</si>
  <si>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</si>
  <si>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</si>
  <si>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</si>
  <si>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</si>
  <si>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</si>
  <si>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</si>
  <si>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</si>
  <si>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</si>
  <si>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</si>
  <si>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</si>
  <si>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</si>
  <si>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</si>
  <si>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</si>
  <si>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</si>
  <si>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</si>
  <si>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</si>
  <si>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</si>
  <si>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</si>
  <si>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</si>
  <si>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</si>
  <si>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</si>
  <si>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</si>
  <si>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</si>
  <si>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</si>
  <si>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</si>
  <si>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</si>
  <si>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</si>
  <si>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</si>
  <si>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</si>
  <si>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</si>
  <si>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</si>
  <si>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</si>
  <si>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</si>
  <si>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</si>
  <si>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</si>
  <si>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</si>
  <si>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</si>
  <si>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</si>
  <si>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</si>
  <si>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</si>
  <si>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</si>
  <si>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</si>
  <si>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</si>
  <si>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</si>
  <si>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</si>
  <si>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</si>
  <si>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</si>
  <si>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</si>
  <si>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</si>
  <si>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</si>
  <si>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</si>
  <si>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</si>
  <si>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</si>
  <si>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</si>
  <si>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</si>
  <si>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</si>
  <si>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</si>
  <si>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</si>
  <si>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</si>
  <si>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</si>
  <si>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</si>
  <si>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</si>
  <si>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</si>
  <si>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</si>
  <si>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</si>
  <si>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</si>
  <si>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</si>
  <si>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</si>
  <si>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</si>
  <si>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</si>
  <si>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</si>
  <si>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</si>
  <si>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</si>
  <si>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</si>
  <si>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</si>
  <si>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</si>
  <si>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</si>
  <si>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</si>
  <si>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</si>
  <si>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</si>
  <si>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</si>
  <si>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</si>
  <si>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</si>
  <si>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</si>
  <si>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</si>
  <si>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</si>
  <si>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</si>
  <si>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</si>
  <si>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</si>
  <si>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</si>
  <si>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</si>
  <si>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</si>
  <si>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</si>
  <si>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</si>
  <si>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</si>
  <si>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</si>
  <si>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</si>
  <si>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</si>
  <si>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</si>
  <si>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</si>
  <si>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</si>
  <si>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</si>
  <si>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</si>
  <si>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</si>
  <si>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</si>
  <si>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</si>
  <si>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</si>
  <si>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</si>
  <si>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</si>
  <si>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</si>
  <si>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</si>
  <si>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</si>
  <si>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</si>
  <si>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</si>
  <si>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</si>
  <si>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</si>
  <si>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</si>
  <si>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</si>
  <si>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</si>
  <si>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</si>
  <si>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</si>
  <si>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</si>
  <si>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</si>
  <si>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</si>
  <si>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</si>
  <si>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</si>
  <si>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</si>
  <si>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</si>
  <si>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</si>
  <si>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</si>
  <si>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</si>
  <si>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</si>
  <si>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</si>
  <si>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</si>
  <si>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</si>
  <si>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</si>
  <si>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</si>
  <si>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</si>
  <si>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</si>
  <si>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</si>
  <si>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</si>
  <si>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</si>
  <si>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</si>
  <si>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</si>
  <si>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</si>
  <si>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</si>
  <si>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</si>
  <si>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</si>
  <si>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</si>
  <si>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</si>
  <si>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</si>
  <si>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</si>
  <si>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</si>
  <si>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</si>
  <si>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</si>
  <si>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</si>
  <si>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</si>
  <si>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</si>
  <si>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</si>
  <si>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</si>
  <si>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</si>
  <si>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</si>
  <si>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</si>
  <si>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</si>
  <si>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</si>
  <si>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</si>
  <si>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</si>
  <si>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</si>
  <si>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</si>
  <si>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</si>
  <si>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</si>
  <si>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</si>
  <si>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</si>
  <si>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</si>
  <si>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</si>
  <si>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</si>
  <si>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</si>
  <si>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</si>
  <si>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</si>
  <si>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</si>
  <si>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</si>
  <si>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</si>
  <si>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</si>
  <si>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</si>
  <si>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</si>
  <si>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</si>
  <si>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</si>
  <si>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</si>
  <si>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</si>
  <si>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</si>
  <si>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</si>
  <si>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</si>
  <si>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</si>
  <si>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</si>
  <si>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</si>
  <si>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</si>
  <si>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</si>
  <si>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</si>
  <si>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</si>
  <si>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</si>
  <si>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</si>
  <si>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</si>
  <si>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</si>
  <si>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</si>
  <si>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</si>
  <si>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</si>
  <si>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</si>
  <si>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</si>
  <si>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</si>
  <si>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</si>
  <si>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</si>
  <si>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</si>
  <si>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</si>
  <si>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</si>
  <si>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</si>
  <si>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</si>
  <si>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</si>
  <si>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</si>
  <si>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</si>
  <si>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</si>
  <si>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</si>
  <si>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</si>
  <si>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</si>
  <si>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</si>
  <si>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</si>
  <si>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</si>
  <si>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</si>
  <si>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</si>
  <si>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</si>
  <si>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</si>
  <si>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</si>
  <si>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</si>
  <si>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</si>
  <si>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</si>
  <si>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</si>
  <si>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</si>
  <si>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</si>
  <si>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</si>
  <si>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</si>
  <si>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</si>
  <si>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</si>
  <si>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</si>
  <si>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</si>
  <si>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</si>
  <si>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</si>
  <si>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</si>
  <si>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</si>
  <si>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</si>
  <si>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</si>
  <si>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</si>
  <si>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</si>
  <si>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</si>
  <si>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</si>
  <si>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</si>
  <si>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</si>
  <si>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</si>
  <si>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</si>
  <si>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</si>
  <si>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</si>
  <si>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</si>
  <si>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</si>
  <si>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</si>
  <si>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</si>
  <si>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</si>
  <si>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</si>
  <si>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</si>
  <si>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</si>
  <si>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</si>
  <si>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</si>
  <si>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</si>
  <si>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</si>
  <si>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</si>
  <si>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</si>
  <si>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</si>
  <si>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</si>
  <si>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</si>
  <si>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</si>
  <si>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</si>
  <si>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</si>
  <si>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</si>
  <si>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</si>
  <si>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</si>
  <si>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</si>
  <si>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</si>
  <si>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</si>
  <si>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</si>
  <si>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</si>
  <si>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</si>
  <si>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</si>
  <si>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</si>
  <si>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</si>
  <si>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</si>
  <si>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</si>
  <si>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</si>
  <si>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</si>
  <si>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</si>
  <si>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</si>
  <si>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</si>
  <si>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</si>
  <si>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</si>
  <si>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</si>
  <si>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</si>
  <si>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</si>
  <si>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</si>
  <si>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</si>
  <si>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</si>
  <si>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</si>
  <si>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</si>
  <si>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</si>
  <si>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</si>
  <si>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</si>
  <si>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</si>
  <si>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</si>
  <si>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</si>
  <si>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</si>
  <si>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</si>
  <si>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</si>
  <si>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</si>
  <si>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</si>
  <si>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</si>
  <si>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</si>
  <si>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</si>
  <si>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</si>
  <si>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</si>
  <si>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</si>
  <si>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</si>
  <si>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</si>
  <si>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</si>
  <si>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</si>
  <si>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</si>
  <si>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</si>
  <si>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</si>
  <si>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</si>
  <si>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</si>
  <si>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</si>
  <si>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</si>
  <si>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</si>
  <si>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</si>
  <si>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</si>
  <si>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</si>
  <si>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</si>
  <si>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</si>
  <si>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</si>
  <si>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</si>
  <si>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</si>
  <si>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</si>
  <si>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</si>
  <si>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</si>
  <si>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</si>
  <si>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</si>
  <si>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</si>
  <si>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</si>
  <si>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</si>
  <si>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</si>
  <si>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</si>
  <si>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</si>
  <si>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</si>
  <si>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</si>
  <si>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</si>
  <si>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</si>
  <si>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</si>
  <si>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</si>
  <si>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</si>
  <si>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</si>
  <si>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</si>
  <si>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</si>
  <si>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</si>
  <si>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</si>
  <si>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</si>
  <si>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</si>
  <si>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</si>
  <si>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</si>
  <si>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</si>
  <si>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</si>
  <si>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</si>
  <si>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</si>
  <si>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</si>
  <si>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</si>
  <si>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</si>
  <si>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</si>
  <si>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</si>
  <si>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</si>
  <si>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</si>
  <si>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</si>
  <si>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</si>
  <si>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</si>
  <si>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</si>
  <si>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</si>
  <si>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</si>
  <si>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</si>
  <si>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</si>
  <si>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</si>
  <si>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</si>
  <si>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</si>
  <si>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</si>
  <si>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</si>
  <si>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</si>
  <si>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</si>
  <si>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</si>
  <si>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</si>
  <si>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</si>
  <si>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</si>
  <si>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</si>
  <si>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</si>
  <si>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</si>
  <si>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</si>
  <si>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</si>
  <si>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</si>
  <si>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</si>
  <si>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</si>
  <si>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</si>
  <si>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</si>
  <si>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</si>
  <si>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</si>
  <si>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</si>
  <si>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</si>
  <si>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</si>
  <si>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</si>
  <si>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</si>
  <si>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</si>
  <si>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</si>
  <si>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</si>
  <si>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</si>
  <si>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</si>
  <si>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</si>
  <si>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</si>
  <si>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</si>
  <si>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</si>
  <si>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</si>
  <si>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</si>
  <si>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</si>
  <si>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</si>
  <si>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</si>
  <si>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</si>
  <si>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</si>
  <si>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</si>
  <si>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</si>
  <si>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</si>
  <si>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</si>
  <si>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</si>
  <si>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</si>
  <si>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</si>
  <si>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</si>
  <si>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</si>
  <si>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</si>
  <si>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</si>
  <si>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</si>
  <si>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</si>
  <si>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</si>
  <si>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</si>
  <si>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</si>
  <si>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</si>
  <si>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</si>
  <si>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</si>
  <si>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</si>
  <si>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</si>
  <si>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</si>
  <si>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</si>
  <si>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</si>
  <si>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</si>
  <si>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</si>
  <si>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</si>
  <si>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</si>
  <si>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</si>
  <si>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</si>
  <si>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</si>
  <si>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</si>
  <si>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</si>
  <si>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</si>
  <si>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</si>
  <si>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</si>
  <si>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</si>
  <si>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</si>
  <si>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</si>
  <si>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</si>
  <si>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</si>
  <si>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</si>
  <si>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</si>
  <si>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</si>
  <si>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</si>
  <si>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</si>
  <si>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</si>
  <si>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</si>
  <si>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</si>
  <si>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</si>
  <si>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</si>
  <si>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</si>
  <si>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</si>
  <si>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</si>
  <si>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</si>
  <si>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</si>
  <si>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</si>
  <si>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</si>
  <si>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</si>
  <si>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</si>
  <si>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</si>
  <si>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</si>
  <si>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</si>
  <si>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</si>
  <si>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</si>
  <si>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</si>
  <si>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</si>
  <si>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</si>
  <si>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</si>
  <si>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</si>
  <si>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</si>
  <si>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</si>
  <si>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</si>
  <si>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</si>
  <si>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</si>
  <si>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</si>
  <si>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</si>
  <si>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</si>
  <si>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</si>
  <si>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</si>
  <si>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</si>
  <si>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</si>
  <si>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</si>
  <si>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</si>
  <si>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</si>
  <si>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</si>
  <si>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</si>
  <si>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</si>
  <si>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</si>
  <si>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</si>
  <si>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</si>
  <si>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</si>
  <si>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</si>
  <si>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</si>
  <si>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</si>
  <si>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</si>
  <si>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</si>
  <si>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</si>
  <si>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</si>
  <si>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</si>
  <si>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</si>
  <si>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</si>
  <si>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</si>
  <si>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</si>
  <si>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</si>
  <si>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</si>
  <si>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</si>
  <si>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</si>
  <si>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</si>
  <si>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</si>
  <si>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</si>
  <si>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</si>
  <si>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</si>
  <si>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</si>
  <si>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</si>
  <si>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</si>
  <si>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</si>
  <si>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</si>
  <si>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</si>
  <si>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</si>
  <si>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</si>
  <si>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</si>
  <si>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</si>
  <si>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</si>
  <si>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</si>
  <si>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</si>
  <si>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</si>
  <si>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</si>
  <si>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</si>
  <si>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</si>
  <si>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</si>
  <si>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</si>
  <si>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</si>
  <si>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</si>
  <si>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</si>
  <si>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</si>
  <si>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</si>
  <si>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</si>
  <si>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</si>
  <si>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</si>
  <si>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</si>
  <si>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</si>
  <si>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</si>
  <si>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</si>
  <si>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</si>
  <si>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</si>
  <si>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</si>
  <si>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</si>
  <si>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</si>
  <si>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</si>
  <si>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</si>
  <si>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</si>
  <si>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</si>
  <si>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</si>
  <si>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</si>
  <si>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</si>
  <si>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</si>
  <si>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</si>
  <si>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</si>
  <si>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</si>
  <si>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</si>
  <si>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</si>
  <si>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</si>
  <si>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</si>
  <si>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</si>
  <si>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</si>
  <si>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</si>
  <si>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</si>
  <si>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</si>
  <si>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</si>
  <si>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</si>
  <si>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</si>
  <si>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</si>
  <si>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</si>
  <si>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</si>
  <si>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</si>
  <si>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</si>
  <si>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</si>
  <si>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</si>
  <si>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</si>
  <si>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</si>
  <si>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</si>
  <si>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</si>
  <si>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</si>
  <si>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</si>
  <si>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</si>
  <si>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</si>
  <si>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</si>
  <si>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</si>
  <si>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</si>
  <si>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</si>
  <si>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</si>
  <si>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</si>
  <si>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</si>
  <si>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</si>
  <si>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</si>
  <si>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</si>
  <si>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</si>
  <si>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</si>
  <si>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</si>
  <si>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</si>
  <si>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</si>
  <si>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</si>
  <si>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</si>
  <si>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</si>
  <si>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</si>
  <si>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</si>
  <si>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</si>
  <si>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</si>
  <si>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</si>
  <si>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</si>
  <si>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</si>
  <si>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</si>
  <si>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</si>
  <si>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</si>
  <si>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</si>
  <si>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</si>
  <si>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</si>
  <si>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</si>
  <si>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</si>
  <si>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</si>
  <si>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</si>
  <si>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</si>
  <si>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</si>
  <si>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</si>
  <si>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</si>
  <si>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</si>
  <si>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</si>
  <si>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</si>
  <si>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</si>
  <si>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</si>
  <si>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</si>
  <si>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</si>
  <si>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</si>
  <si>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</si>
  <si>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</si>
  <si>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</si>
  <si>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</si>
  <si>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</si>
  <si>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</si>
  <si>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</si>
  <si>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</si>
  <si>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</si>
  <si>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</si>
  <si>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</si>
  <si>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</si>
  <si>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</si>
  <si>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</si>
  <si>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</si>
  <si>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</si>
  <si>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</si>
  <si>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</si>
  <si>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</si>
  <si>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</si>
  <si>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</si>
  <si>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</si>
  <si>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</si>
  <si>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</si>
  <si>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</si>
  <si>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</si>
  <si>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</si>
  <si>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</si>
  <si>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</si>
  <si>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</si>
  <si>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</si>
  <si>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</si>
  <si>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</si>
  <si>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</si>
  <si>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</si>
  <si>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</si>
  <si>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</si>
  <si>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</si>
  <si>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</si>
  <si>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</si>
  <si>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</si>
  <si>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</si>
  <si>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</si>
  <si>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</si>
  <si>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</si>
  <si>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</si>
  <si>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</si>
  <si>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</si>
  <si>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</si>
  <si>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</si>
  <si>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</si>
  <si>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</si>
  <si>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</si>
  <si>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</si>
  <si>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</si>
  <si>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</si>
  <si>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</si>
  <si>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</si>
  <si>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</si>
  <si>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</si>
  <si>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</si>
  <si>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</si>
  <si>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</si>
  <si>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</si>
  <si>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</si>
  <si>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</si>
  <si>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</si>
  <si>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</si>
  <si>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</si>
  <si>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</si>
  <si>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</si>
  <si>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</si>
  <si>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</si>
  <si>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</si>
  <si>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</si>
  <si>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</si>
  <si>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</si>
  <si>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</si>
  <si>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</si>
  <si>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</si>
  <si>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</si>
  <si>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</si>
  <si>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</si>
  <si>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</si>
  <si>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</si>
  <si>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</si>
  <si>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</si>
  <si>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</si>
  <si>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</si>
  <si>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</si>
  <si>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</si>
  <si>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</si>
  <si>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</si>
  <si>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</si>
  <si>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</si>
  <si>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</si>
  <si>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</si>
  <si>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</si>
  <si>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</si>
  <si>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</si>
  <si>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</si>
  <si>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</si>
  <si>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</si>
  <si>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</si>
  <si>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</si>
  <si>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</si>
  <si>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</si>
  <si>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</si>
  <si>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</si>
  <si>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</si>
  <si>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</si>
  <si>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</si>
  <si>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</si>
  <si>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</si>
  <si>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</si>
  <si>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</si>
  <si>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</si>
  <si>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</si>
  <si>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</si>
  <si>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</si>
  <si>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</si>
  <si>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</si>
  <si>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</si>
  <si>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</si>
  <si>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</si>
  <si>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</si>
  <si>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</si>
  <si>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</si>
  <si>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</si>
  <si>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</si>
  <si>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</si>
  <si>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</si>
  <si>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</si>
  <si>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</si>
  <si>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</si>
  <si>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</si>
  <si>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</si>
  <si>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</si>
  <si>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</si>
  <si>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</si>
  <si>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</si>
  <si>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</si>
  <si>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</si>
  <si>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</si>
  <si>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</si>
  <si>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</si>
  <si>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</si>
  <si>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</si>
  <si>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</si>
  <si>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</si>
  <si>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</si>
  <si>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</si>
  <si>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</si>
  <si>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</si>
  <si>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</si>
  <si>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</si>
  <si>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</si>
  <si>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</si>
  <si>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</si>
  <si>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</si>
  <si>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</si>
  <si>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</si>
  <si>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</si>
  <si>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</si>
  <si>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</si>
  <si>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</si>
  <si>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</si>
  <si>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</si>
  <si>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</si>
  <si>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</si>
  <si>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</si>
  <si>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</si>
  <si>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</si>
  <si>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</si>
  <si>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</si>
  <si>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</si>
  <si>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</si>
  <si>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</si>
  <si>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</si>
  <si>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</si>
  <si>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</si>
  <si>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</si>
  <si>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</si>
  <si>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</si>
  <si>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</si>
  <si>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</si>
  <si>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</si>
  <si>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</si>
  <si>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</si>
  <si>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</si>
  <si>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</si>
  <si>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</si>
  <si>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</si>
  <si>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</si>
  <si>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</si>
  <si>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</si>
  <si>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</si>
  <si>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</si>
  <si>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</si>
  <si>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</si>
  <si>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</si>
  <si>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</si>
  <si>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</si>
  <si>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</si>
  <si>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</si>
  <si>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</si>
  <si>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</si>
  <si>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</si>
  <si>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</si>
  <si>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</si>
  <si>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</si>
  <si>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</si>
  <si>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</si>
  <si>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</si>
  <si>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</si>
  <si>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</si>
  <si>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</si>
  <si>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</si>
  <si>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</si>
  <si>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</si>
  <si>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</si>
  <si>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</si>
  <si>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</si>
  <si>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</si>
  <si>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</si>
  <si>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</si>
  <si>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</si>
  <si>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</si>
  <si>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</si>
  <si>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</si>
  <si>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</si>
  <si>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</si>
  <si>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</si>
  <si>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</si>
  <si>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</si>
  <si>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</si>
  <si>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</si>
  <si>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</si>
  <si>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</si>
  <si>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</si>
  <si>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</si>
  <si>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</si>
  <si>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</si>
  <si>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</si>
  <si>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</si>
  <si>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</si>
  <si>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</si>
  <si>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</si>
  <si>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</si>
  <si>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</si>
  <si>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</si>
  <si>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</si>
  <si>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</si>
  <si>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</si>
  <si>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</si>
  <si>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</si>
  <si>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</si>
  <si>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</si>
  <si>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</si>
  <si>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</si>
  <si>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</si>
  <si>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</si>
  <si>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</si>
  <si>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</si>
  <si>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</si>
  <si>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</si>
  <si>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</si>
  <si>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</si>
  <si>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</si>
  <si>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</si>
  <si>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</si>
  <si>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</si>
  <si>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</si>
  <si>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</si>
  <si>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</si>
  <si>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</si>
  <si>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</si>
  <si>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</si>
  <si>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</si>
  <si>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</si>
  <si>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</si>
  <si>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</si>
  <si>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</si>
  <si>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</si>
  <si>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</si>
  <si>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</si>
  <si>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</si>
  <si>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</si>
  <si>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</si>
  <si>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</si>
  <si>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</si>
  <si>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</si>
  <si>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</si>
  <si>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</si>
  <si>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</si>
  <si>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</si>
  <si>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</si>
  <si>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</si>
  <si>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</si>
  <si>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</si>
  <si>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</si>
  <si>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</si>
  <si>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</si>
  <si>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</si>
  <si>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</si>
  <si>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</si>
  <si>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</si>
  <si>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</si>
  <si>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</si>
  <si>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</si>
  <si>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</si>
  <si>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</si>
  <si>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</si>
  <si>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</si>
  <si>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</si>
  <si>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</si>
  <si>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</si>
  <si>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</si>
  <si>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</si>
  <si>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</si>
  <si>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</si>
  <si>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</si>
  <si>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</si>
  <si>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</si>
  <si>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</si>
  <si>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</si>
  <si>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</si>
  <si>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</si>
  <si>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</si>
  <si>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</si>
  <si>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</si>
  <si>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</si>
  <si>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</si>
  <si>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</si>
  <si>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</si>
  <si>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</si>
  <si>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</si>
  <si>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</si>
  <si>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</si>
  <si>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</si>
  <si>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</si>
  <si>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</si>
  <si>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</si>
  <si>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</si>
  <si>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</si>
  <si>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</si>
  <si>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</si>
  <si>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</si>
  <si>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</si>
  <si>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</si>
  <si>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</si>
  <si>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</si>
  <si>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</si>
  <si>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</si>
  <si>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</si>
  <si>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</si>
  <si>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</si>
  <si>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</si>
  <si>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</si>
  <si>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</si>
  <si>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</si>
  <si>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</si>
  <si>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</si>
  <si>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</si>
  <si>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</si>
  <si>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</si>
  <si>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</si>
  <si>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</si>
  <si>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</si>
  <si>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</si>
  <si>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</si>
  <si>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</si>
  <si>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</si>
  <si>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</si>
  <si>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</si>
  <si>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</si>
  <si>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</si>
  <si>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</si>
  <si>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</si>
  <si>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</si>
  <si>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</si>
  <si>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</si>
  <si>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</si>
  <si>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</si>
  <si>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</si>
  <si>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</si>
  <si>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</si>
  <si>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</si>
  <si>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</si>
  <si>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</si>
  <si>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</si>
  <si>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</si>
  <si>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</si>
  <si>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</si>
  <si>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</si>
  <si>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</si>
  <si>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</si>
  <si>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</si>
  <si>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</si>
  <si>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</si>
  <si>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</si>
  <si>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</si>
  <si>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</si>
  <si>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</si>
  <si>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</si>
  <si>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</si>
  <si>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</si>
  <si>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</si>
  <si>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</si>
  <si>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</si>
  <si>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</si>
  <si>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</si>
  <si>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</si>
  <si>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</si>
  <si>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</si>
  <si>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</si>
  <si>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</si>
  <si>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</si>
  <si>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</si>
  <si>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</si>
  <si>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</si>
  <si>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</si>
  <si>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</si>
  <si>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</si>
  <si>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</si>
  <si>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</si>
  <si>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</si>
  <si>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</si>
  <si>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</si>
  <si>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</si>
  <si>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</si>
  <si>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</si>
  <si>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</si>
  <si>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</si>
  <si>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</si>
  <si>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</si>
  <si>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</si>
  <si>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</si>
  <si>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</si>
  <si>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</si>
  <si>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</si>
  <si>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</si>
  <si>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</si>
  <si>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</si>
  <si>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</si>
  <si>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</si>
  <si>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</si>
  <si>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</si>
  <si>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</si>
  <si>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</si>
  <si>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</si>
  <si>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</si>
  <si>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</si>
  <si>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</si>
  <si>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</si>
  <si>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</si>
  <si>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</si>
  <si>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</si>
  <si>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</si>
  <si>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</si>
  <si>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</si>
  <si>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</si>
  <si>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</si>
  <si>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</si>
  <si>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</si>
  <si>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</si>
  <si>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</si>
  <si>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</si>
  <si>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</si>
  <si>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</si>
  <si>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</si>
  <si>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</si>
  <si>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</si>
  <si>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</si>
  <si>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</si>
  <si>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</si>
  <si>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</si>
  <si>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</si>
  <si>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</si>
  <si>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</si>
  <si>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</si>
  <si>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</si>
  <si>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</si>
  <si>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</si>
  <si>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</si>
  <si>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</si>
  <si>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</si>
  <si>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</si>
  <si>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</si>
  <si>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</si>
  <si>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</si>
  <si>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</si>
  <si>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</si>
  <si>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</si>
  <si>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</si>
  <si>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</si>
  <si>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</si>
  <si>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</si>
  <si>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</si>
  <si>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</si>
  <si>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</si>
  <si>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</si>
  <si>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</si>
  <si>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</si>
  <si>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</si>
  <si>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</si>
  <si>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</si>
  <si>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</si>
  <si>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</si>
  <si>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</si>
  <si>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</si>
  <si>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</si>
  <si>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</si>
  <si>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</si>
  <si>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</si>
  <si>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</si>
  <si>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</si>
  <si>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</si>
  <si>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</si>
  <si>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</si>
  <si>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</si>
  <si>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</si>
  <si>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</si>
  <si>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</si>
  <si>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</si>
  <si>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</si>
  <si>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</si>
  <si>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</si>
  <si>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</si>
  <si>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</si>
  <si>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</si>
  <si>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</si>
  <si>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</si>
  <si>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</si>
  <si>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</si>
  <si>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</si>
  <si>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</si>
  <si>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</si>
  <si>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</si>
  <si>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</si>
  <si>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</si>
  <si>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</si>
  <si>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</si>
  <si>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</si>
  <si>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</si>
  <si>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</si>
  <si>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</si>
  <si>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</si>
  <si>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</si>
  <si>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</si>
  <si>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</si>
  <si>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</si>
  <si>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</si>
  <si>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</si>
  <si>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</si>
  <si>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</si>
  <si>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</si>
  <si>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</si>
  <si>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</si>
  <si>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</si>
  <si>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</si>
  <si>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</si>
  <si>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</si>
  <si>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</si>
  <si>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</si>
  <si>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</si>
  <si>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</si>
  <si>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</si>
  <si>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</si>
  <si>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</si>
  <si>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</si>
  <si>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</si>
  <si>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</si>
  <si>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</si>
  <si>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</si>
  <si>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</si>
  <si>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</si>
  <si>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</si>
  <si>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</si>
  <si>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</si>
  <si>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</si>
  <si>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</si>
  <si>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</si>
  <si>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</si>
  <si>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</si>
  <si>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</si>
  <si>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</si>
  <si>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</si>
  <si>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</si>
  <si>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</si>
  <si>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</si>
  <si>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</si>
  <si>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</si>
  <si>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</si>
  <si>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</si>
  <si>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</si>
  <si>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</si>
  <si>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</si>
  <si>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</si>
  <si>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</si>
  <si>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</si>
  <si>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</si>
  <si>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</si>
  <si>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</si>
  <si>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</si>
  <si>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</si>
  <si>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</si>
  <si>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</si>
  <si>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</si>
  <si>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</si>
  <si>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</si>
  <si>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</si>
  <si>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</si>
  <si>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</si>
  <si>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</si>
  <si>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</si>
  <si>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</si>
  <si>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</si>
  <si>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</si>
  <si>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</si>
  <si>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</si>
  <si>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</si>
  <si>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</si>
  <si>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</si>
  <si>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</si>
  <si>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</si>
  <si>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</si>
  <si>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</si>
  <si>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</si>
  <si>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</si>
  <si>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</si>
  <si>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</si>
  <si>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</si>
  <si>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</si>
  <si>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</si>
  <si>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</si>
  <si>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</si>
  <si>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</si>
  <si>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</si>
  <si>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</si>
  <si>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</si>
  <si>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</si>
  <si>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</si>
  <si>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</si>
  <si>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</si>
  <si>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</si>
  <si>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</si>
  <si>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</si>
  <si>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</si>
  <si>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</si>
  <si>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</si>
  <si>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</si>
  <si>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</si>
  <si>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</si>
  <si>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</si>
  <si>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</si>
  <si>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</si>
  <si>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</si>
  <si>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</si>
  <si>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</si>
  <si>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</si>
  <si>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</si>
  <si>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</si>
  <si>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</si>
  <si>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</si>
  <si>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</si>
  <si>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</si>
  <si>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</si>
  <si>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</si>
  <si>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</si>
  <si>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</si>
  <si>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</si>
  <si>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</si>
  <si>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</si>
  <si>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</si>
  <si>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</si>
  <si>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</si>
  <si>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</si>
  <si>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</si>
  <si>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</si>
  <si>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</si>
  <si>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</si>
  <si>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</si>
  <si>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</si>
  <si>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</si>
  <si>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</si>
  <si>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</si>
  <si>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</si>
  <si>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</si>
  <si>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</si>
  <si>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</si>
  <si>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</si>
  <si>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</si>
  <si>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</si>
  <si>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</si>
  <si>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</si>
  <si>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</si>
  <si>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</si>
  <si>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</si>
  <si>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</si>
  <si>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</si>
  <si>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</si>
  <si>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</si>
  <si>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</si>
  <si>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</si>
  <si>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</si>
  <si>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</si>
  <si>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</si>
  <si>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</si>
  <si>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</si>
  <si>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</si>
  <si>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</si>
  <si>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</si>
  <si>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</si>
  <si>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</si>
  <si>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</si>
  <si>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</si>
  <si>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</si>
  <si>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</si>
  <si>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</si>
  <si>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</si>
  <si>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</si>
  <si>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</si>
  <si>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</si>
  <si>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</si>
  <si>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</si>
  <si>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</si>
  <si>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</si>
  <si>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</si>
  <si>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</si>
  <si>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</si>
  <si>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</si>
  <si>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</si>
  <si>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</si>
  <si>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</si>
  <si>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</si>
  <si>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</si>
  <si>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</si>
  <si>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</si>
  <si>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</si>
  <si>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</si>
  <si>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</si>
  <si>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</si>
  <si>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</si>
  <si>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</si>
  <si>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</si>
  <si>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</si>
  <si>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</si>
  <si>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</si>
  <si>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</si>
  <si>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</si>
  <si>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</si>
  <si>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</si>
  <si>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</si>
  <si>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</si>
  <si>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</si>
  <si>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</si>
  <si>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</si>
  <si>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</si>
  <si>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</si>
  <si>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</si>
  <si>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</si>
  <si>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</si>
  <si>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</si>
  <si>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</si>
  <si>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</si>
  <si>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</si>
  <si>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</si>
  <si>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</si>
  <si>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</si>
  <si>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</si>
  <si>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</si>
  <si>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</si>
  <si>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</si>
  <si>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</si>
  <si>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</si>
  <si>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</si>
  <si>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</si>
  <si>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</si>
  <si>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</si>
  <si>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</si>
  <si>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</si>
  <si>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</si>
  <si>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</si>
  <si>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</si>
  <si>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</si>
  <si>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</si>
  <si>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</si>
  <si>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</si>
  <si>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</si>
  <si>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</si>
  <si>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</si>
  <si>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</si>
  <si>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</si>
  <si>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</si>
  <si>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</si>
  <si>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</si>
  <si>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</si>
  <si>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</si>
  <si>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</si>
  <si>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</si>
  <si>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</si>
  <si>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</si>
  <si>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</si>
  <si>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</si>
  <si>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</si>
  <si>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</si>
  <si>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</si>
  <si>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</si>
  <si>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</si>
  <si>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</si>
  <si>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</si>
  <si>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</si>
  <si>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</si>
  <si>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</si>
  <si>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</si>
  <si>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</si>
  <si>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</si>
  <si>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</si>
  <si>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</si>
  <si>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</si>
  <si>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</si>
  <si>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</si>
  <si>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</si>
  <si>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</si>
  <si>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</si>
  <si>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</si>
  <si>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</si>
  <si>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</si>
  <si>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</si>
  <si>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</si>
  <si>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</si>
  <si>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</si>
  <si>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</si>
  <si>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</si>
  <si>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</si>
  <si>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</si>
  <si>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</si>
  <si>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</si>
  <si>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</si>
  <si>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</si>
  <si>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</si>
  <si>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</si>
  <si>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</si>
  <si>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</si>
  <si>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</si>
  <si>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</si>
  <si>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</si>
  <si>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</si>
  <si>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</si>
  <si>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</si>
  <si>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</si>
  <si>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</si>
  <si>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</si>
  <si>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</si>
  <si>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</si>
  <si>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</si>
  <si>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</si>
  <si>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</si>
  <si>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</si>
  <si>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</si>
  <si>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</si>
  <si>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</si>
  <si>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</si>
  <si>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</si>
  <si>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</si>
  <si>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</si>
  <si>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</si>
  <si>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</si>
  <si>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</si>
  <si>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</si>
  <si>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</si>
  <si>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</si>
  <si>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</si>
  <si>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</si>
  <si>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</si>
  <si>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</si>
  <si>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</si>
  <si>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</si>
  <si>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</si>
  <si>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</si>
  <si>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</si>
  <si>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</si>
  <si>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</si>
  <si>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</si>
  <si>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</si>
  <si>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</si>
  <si>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</si>
  <si>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</si>
  <si>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</si>
  <si>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</si>
  <si>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</si>
  <si>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</si>
  <si>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</si>
  <si>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</si>
  <si>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</si>
  <si>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</si>
  <si>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</si>
  <si>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</si>
  <si>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</si>
  <si>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</si>
  <si>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</si>
  <si>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</si>
  <si>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</si>
  <si>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</si>
  <si>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</si>
  <si>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</si>
  <si>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</si>
  <si>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</si>
  <si>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</si>
  <si>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</si>
  <si>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</si>
  <si>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</si>
  <si>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</si>
  <si>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</si>
  <si>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</si>
  <si>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</si>
  <si>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</si>
  <si>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</si>
  <si>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</si>
  <si>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</si>
  <si>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</si>
  <si>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</si>
  <si>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</si>
  <si>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</si>
  <si>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</si>
  <si>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</si>
  <si>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</si>
  <si>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</si>
  <si>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</si>
  <si>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</si>
  <si>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</si>
  <si>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</si>
  <si>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</si>
  <si>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</si>
  <si>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</si>
  <si>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</si>
  <si>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</si>
  <si>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</si>
  <si>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</si>
  <si>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</si>
  <si>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</si>
  <si>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</si>
  <si>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</si>
  <si>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</si>
  <si>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</si>
  <si>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</si>
  <si>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</si>
  <si>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</si>
  <si>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</si>
  <si>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</si>
  <si>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</si>
  <si>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</si>
  <si>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</si>
  <si>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</si>
  <si>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</si>
  <si>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</si>
  <si>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</si>
  <si>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</si>
  <si>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</si>
  <si>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</si>
  <si>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</si>
  <si>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</si>
  <si>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</si>
  <si>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</si>
  <si>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</si>
  <si>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</si>
  <si>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</si>
  <si>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</si>
  <si>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</si>
  <si>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</si>
  <si>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</si>
  <si>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</si>
  <si>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</si>
  <si>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</si>
  <si>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</si>
  <si>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</si>
  <si>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</si>
  <si>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</si>
  <si>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</si>
  <si>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</si>
  <si>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</si>
  <si>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</si>
  <si>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</si>
  <si>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</si>
  <si>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</si>
  <si>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</si>
  <si>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</si>
  <si>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</si>
  <si>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</si>
  <si>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</si>
  <si>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</si>
  <si>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</si>
  <si>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</si>
  <si>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</si>
  <si>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</si>
  <si>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</si>
  <si>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</si>
  <si>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</si>
  <si>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</si>
  <si>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</si>
  <si>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</si>
  <si>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</si>
  <si>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</si>
  <si>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</si>
  <si>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</si>
  <si>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</si>
  <si>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</si>
  <si>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</si>
  <si>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</si>
  <si>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</si>
  <si>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</si>
  <si>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</si>
  <si>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</si>
  <si>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</si>
  <si>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</si>
  <si>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</si>
  <si>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</si>
  <si>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</si>
  <si>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</si>
  <si>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</si>
  <si>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</si>
  <si>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</si>
  <si>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</si>
  <si>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</si>
  <si>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</si>
  <si>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</si>
  <si>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</si>
  <si>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</si>
  <si>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</si>
  <si>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</si>
  <si>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</si>
  <si>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</si>
  <si>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</si>
  <si>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</si>
  <si>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</si>
  <si>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</si>
  <si>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</si>
  <si>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</si>
  <si>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</si>
  <si>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</si>
  <si>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</si>
  <si>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</si>
  <si>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</si>
  <si>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</si>
  <si>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</si>
  <si>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</si>
  <si>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</si>
  <si>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</si>
  <si>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</si>
  <si>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</si>
  <si>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</si>
  <si>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</si>
  <si>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</si>
  <si>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</si>
  <si>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</si>
  <si>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</si>
  <si>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</si>
  <si>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</si>
  <si>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</si>
  <si>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</si>
  <si>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</si>
  <si>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</si>
  <si>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</si>
  <si>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</si>
  <si>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</si>
  <si>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</si>
  <si>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</si>
  <si>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</si>
  <si>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</si>
  <si>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</si>
  <si>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</si>
  <si>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</si>
  <si>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</si>
  <si>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</si>
  <si>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</si>
  <si>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</si>
  <si>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</si>
  <si>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</si>
  <si>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</si>
  <si>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</si>
  <si>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</si>
  <si>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</si>
  <si>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</si>
  <si>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</si>
  <si>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</si>
  <si>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</si>
  <si>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</si>
  <si>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</si>
  <si>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</si>
  <si>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</si>
  <si>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</si>
  <si>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</si>
  <si>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</si>
  <si>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</si>
  <si>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</si>
  <si>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</si>
  <si>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</si>
  <si>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</si>
  <si>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</si>
  <si>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</si>
  <si>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</si>
  <si>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</si>
  <si>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</si>
  <si>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</si>
  <si>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</si>
  <si>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</si>
  <si>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</si>
  <si>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</si>
  <si>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</si>
  <si>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</si>
  <si>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</si>
  <si>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</si>
  <si>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</si>
  <si>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</si>
  <si>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</si>
  <si>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</si>
  <si>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</si>
  <si>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</si>
  <si>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</si>
  <si>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</si>
  <si>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</si>
  <si>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</si>
  <si>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</si>
  <si>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</si>
  <si>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</si>
  <si>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</si>
  <si>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</si>
  <si>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</si>
  <si>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</si>
  <si>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</si>
  <si>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</si>
  <si>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</si>
  <si>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</si>
  <si>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</si>
  <si>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</si>
  <si>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</si>
  <si>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</si>
  <si>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</si>
  <si>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</si>
  <si>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</si>
  <si>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</si>
  <si>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</si>
  <si>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</si>
  <si>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</si>
  <si>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</si>
  <si>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</si>
  <si>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</si>
  <si>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</si>
  <si>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</si>
  <si>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</si>
  <si>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</si>
  <si>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</si>
  <si>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</si>
  <si>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</si>
  <si>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</si>
  <si>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</si>
  <si>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</si>
  <si>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</si>
  <si>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</si>
  <si>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</si>
  <si>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</si>
  <si>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</si>
  <si>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</si>
  <si>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</si>
  <si>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</si>
  <si>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</si>
  <si>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</si>
  <si>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</si>
  <si>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</si>
  <si>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</si>
  <si>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</si>
  <si>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</si>
  <si>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</si>
  <si>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</si>
  <si>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</si>
  <si>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</si>
  <si>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</si>
  <si>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</si>
  <si>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</si>
  <si>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</si>
  <si>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</si>
  <si>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</si>
  <si>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</si>
  <si>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</si>
  <si>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</si>
  <si>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</si>
  <si>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</si>
  <si>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</si>
  <si>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</si>
  <si>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</si>
  <si>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</si>
  <si>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</si>
  <si>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</si>
  <si>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</si>
  <si>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</si>
  <si>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</si>
  <si>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</si>
  <si>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</si>
  <si>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</si>
  <si>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</si>
  <si>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</si>
  <si>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</si>
  <si>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</si>
  <si>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</si>
  <si>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</si>
  <si>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</si>
  <si>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</si>
  <si>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</si>
  <si>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</si>
  <si>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</si>
  <si>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</si>
  <si>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</si>
  <si>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</si>
  <si>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</si>
  <si>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</si>
  <si>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</si>
  <si>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</si>
  <si>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</si>
  <si>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</si>
  <si>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</si>
  <si>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</si>
  <si>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</si>
  <si>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</si>
  <si>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</si>
  <si>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</si>
  <si>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</si>
  <si>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</si>
  <si>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</si>
  <si>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</si>
  <si>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</si>
  <si>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</si>
  <si>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</si>
  <si>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</si>
  <si>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</si>
  <si>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</si>
  <si>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</si>
  <si>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</si>
  <si>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</si>
  <si>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</si>
  <si>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</si>
  <si>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</si>
  <si>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</si>
  <si>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</si>
  <si>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</si>
  <si>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</si>
  <si>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</si>
  <si>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</si>
  <si>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</si>
  <si>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</si>
  <si>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</si>
  <si>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</si>
  <si>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</si>
  <si>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</si>
  <si>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</si>
  <si>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</si>
  <si>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</si>
  <si>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</si>
  <si>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</si>
  <si>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</si>
  <si>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</si>
  <si>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</si>
  <si>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</si>
  <si>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</si>
  <si>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</si>
  <si>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</si>
  <si>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</si>
  <si>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</si>
  <si>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</si>
  <si>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</si>
  <si>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</si>
  <si>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</si>
  <si>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</si>
  <si>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</si>
  <si>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</si>
  <si>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</si>
  <si>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</si>
  <si>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</si>
  <si>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</si>
  <si>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</si>
  <si>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</si>
  <si>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</si>
  <si>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</si>
  <si>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</si>
  <si>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</si>
  <si>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</si>
  <si>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</si>
  <si>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</si>
  <si>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</si>
  <si>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</si>
  <si>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</si>
  <si>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</si>
  <si>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</si>
  <si>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</si>
  <si>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</si>
  <si>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</si>
  <si>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</si>
  <si>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</si>
  <si>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</si>
  <si>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</si>
  <si>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</si>
  <si>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</si>
  <si>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</si>
  <si>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</si>
  <si>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</si>
  <si>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</si>
  <si>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</si>
  <si>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</si>
  <si>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</si>
  <si>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</si>
  <si>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</si>
  <si>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</si>
  <si>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</si>
  <si>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</si>
  <si>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</si>
  <si>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</si>
  <si>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</si>
  <si>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</si>
  <si>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</si>
  <si>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</si>
  <si>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</si>
  <si>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</si>
  <si>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</si>
  <si>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</si>
  <si>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</si>
  <si>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</si>
  <si>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</si>
  <si>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</si>
  <si>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</si>
  <si>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</si>
  <si>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</si>
  <si>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</si>
  <si>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</si>
  <si>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</si>
  <si>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</si>
  <si>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</si>
  <si>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</si>
  <si>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</si>
  <si>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</si>
  <si>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</si>
  <si>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</si>
  <si>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</si>
  <si>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</si>
  <si>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</si>
  <si>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</si>
  <si>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</si>
  <si>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</si>
  <si>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</si>
  <si>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</si>
  <si>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</si>
  <si>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</si>
  <si>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</si>
  <si>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</si>
  <si>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</si>
  <si>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</si>
  <si>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</si>
  <si>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</si>
  <si>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</si>
  <si>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</si>
  <si>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</si>
  <si>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</si>
  <si>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</si>
  <si>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</si>
  <si>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</si>
  <si>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</si>
  <si>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</si>
  <si>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</si>
  <si>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</si>
  <si>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</si>
  <si>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</si>
  <si>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</si>
  <si>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</si>
  <si>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</si>
  <si>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</si>
  <si>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</si>
  <si>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</si>
  <si>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</si>
  <si>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</si>
  <si>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</si>
  <si>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</si>
  <si>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</si>
  <si>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</si>
  <si>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</si>
  <si>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</si>
  <si>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</si>
  <si>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</si>
  <si>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</si>
  <si>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</si>
  <si>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</si>
  <si>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</si>
  <si>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</si>
  <si>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</si>
  <si>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</si>
  <si>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</si>
  <si>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</si>
  <si>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</si>
  <si>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</si>
  <si>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</si>
  <si>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</si>
  <si>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</si>
  <si>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</si>
  <si>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</si>
  <si>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</si>
  <si>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</si>
  <si>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</si>
  <si>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</si>
  <si>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</si>
  <si>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</si>
  <si>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</si>
  <si>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</si>
  <si>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</si>
  <si>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</si>
  <si>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</si>
  <si>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</si>
  <si>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</si>
  <si>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</si>
  <si>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</si>
  <si>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</si>
  <si>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</si>
  <si>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</si>
  <si>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</si>
  <si>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</si>
  <si>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</si>
  <si>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</si>
  <si>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</si>
  <si>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</si>
  <si>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</si>
  <si>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</si>
  <si>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</si>
  <si>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</si>
  <si>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</si>
  <si>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</si>
  <si>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</si>
  <si>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</si>
  <si>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</si>
  <si>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</si>
  <si>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</si>
  <si>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</si>
  <si>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</si>
  <si>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</si>
  <si>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</si>
  <si>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</si>
  <si>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</si>
  <si>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</si>
  <si>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</si>
  <si>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</si>
  <si>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</si>
  <si>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</si>
  <si>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</si>
  <si>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</si>
  <si>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</si>
  <si>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</si>
  <si>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</si>
  <si>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</si>
  <si>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</si>
  <si>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</si>
  <si>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</si>
  <si>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</si>
  <si>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</si>
  <si>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</si>
  <si>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</si>
  <si>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</si>
  <si>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</si>
  <si>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</si>
  <si>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</si>
  <si>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</si>
  <si>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</si>
  <si>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</si>
  <si>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</si>
  <si>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</si>
  <si>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</si>
  <si>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</si>
  <si>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</si>
  <si>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</si>
  <si>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</si>
  <si>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</si>
  <si>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</si>
  <si>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</si>
  <si>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</si>
  <si>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</si>
  <si>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</si>
  <si>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</si>
  <si>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</si>
  <si>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</si>
  <si>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</si>
  <si>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</si>
  <si>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</si>
  <si>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</si>
  <si>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</si>
  <si>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</si>
  <si>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</si>
  <si>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</si>
  <si>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</si>
  <si>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</si>
  <si>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</si>
  <si>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</si>
  <si>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</si>
  <si>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</si>
  <si>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</si>
  <si>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</si>
  <si>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</si>
  <si>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</si>
  <si>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</si>
  <si>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</si>
  <si>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</si>
  <si>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</si>
  <si>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</si>
  <si>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</si>
  <si>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</si>
  <si>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</si>
  <si>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</si>
  <si>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</si>
  <si>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</si>
  <si>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</si>
  <si>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</si>
  <si>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</si>
  <si>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</si>
  <si>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</si>
  <si>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</si>
  <si>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</si>
  <si>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</si>
  <si>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</si>
  <si>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</si>
  <si>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</si>
  <si>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</si>
  <si>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</si>
  <si>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</si>
  <si>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</si>
  <si>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</si>
  <si>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</si>
  <si>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</si>
  <si>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</si>
  <si>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</si>
  <si>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</si>
  <si>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</si>
  <si>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</si>
  <si>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</si>
  <si>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</si>
  <si>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</si>
  <si>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</si>
  <si>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</si>
  <si>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</si>
  <si>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</si>
  <si>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</si>
  <si>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</si>
  <si>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</si>
  <si>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</si>
  <si>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</si>
  <si>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</si>
  <si>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</si>
  <si>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</si>
  <si>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</si>
  <si>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</si>
  <si>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</si>
  <si>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</si>
  <si>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</si>
  <si>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</si>
  <si>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</si>
  <si>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</si>
  <si>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</si>
  <si>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</si>
  <si>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</si>
  <si>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</si>
  <si>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</si>
  <si>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</si>
  <si>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</si>
  <si>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</si>
  <si>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</si>
  <si>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</si>
  <si>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</si>
  <si>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</si>
  <si>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</si>
  <si>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</si>
  <si>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</si>
  <si>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</si>
  <si>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</si>
  <si>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</si>
  <si>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</si>
  <si>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</si>
  <si>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</si>
  <si>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</si>
  <si>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</si>
  <si>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</si>
  <si>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</si>
  <si>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</si>
  <si>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</si>
  <si>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</si>
  <si>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</si>
  <si>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</si>
  <si>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</si>
  <si>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</si>
  <si>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</si>
  <si>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</si>
  <si>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</si>
  <si>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</si>
  <si>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</si>
  <si>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</si>
  <si>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</si>
  <si>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</si>
  <si>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</si>
  <si>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</si>
  <si>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</si>
  <si>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</si>
  <si>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</si>
  <si>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</si>
  <si>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</si>
  <si>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</si>
  <si>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</si>
  <si>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</si>
  <si>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</si>
  <si>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</si>
  <si>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</si>
  <si>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</si>
  <si>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</si>
  <si>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</si>
  <si>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</si>
  <si>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</si>
  <si>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</si>
  <si>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</si>
  <si>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</si>
  <si>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</si>
  <si>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</si>
  <si>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</si>
  <si>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</si>
  <si>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</si>
  <si>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</si>
  <si>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</si>
  <si>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</si>
  <si>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</si>
  <si>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</si>
  <si>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</si>
  <si>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</si>
  <si>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</si>
  <si>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</si>
  <si>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</si>
  <si>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</si>
  <si>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</si>
  <si>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</si>
  <si>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</si>
  <si>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</si>
  <si>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</si>
  <si>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</si>
  <si>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</si>
  <si>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</si>
  <si>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</si>
  <si>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</si>
  <si>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</si>
  <si>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</si>
  <si>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</si>
  <si>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</si>
  <si>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</si>
  <si>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</si>
  <si>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</si>
  <si>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</si>
  <si>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</si>
  <si>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</si>
  <si>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</si>
  <si>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</si>
  <si>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</si>
  <si>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</si>
  <si>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</si>
  <si>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</si>
  <si>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</si>
  <si>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</si>
  <si>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</si>
  <si>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</si>
  <si>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</si>
  <si>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</si>
  <si>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</si>
  <si>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</si>
  <si>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</si>
  <si>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</si>
  <si>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</si>
  <si>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</si>
  <si>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</si>
  <si>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</si>
  <si>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</si>
  <si>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</si>
  <si>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</si>
  <si>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</si>
  <si>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</si>
  <si>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</si>
  <si>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</si>
  <si>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</si>
  <si>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</si>
  <si>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</si>
  <si>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</si>
  <si>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</si>
  <si>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</si>
  <si>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</si>
  <si>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</si>
  <si>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</si>
  <si>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</si>
  <si>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</si>
  <si>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</si>
  <si>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</si>
  <si>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</si>
  <si>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</si>
  <si>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</si>
  <si>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</si>
  <si>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</si>
  <si>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</si>
  <si>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</si>
  <si>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</si>
  <si>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</si>
  <si>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</si>
  <si>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</si>
  <si>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</si>
  <si>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</si>
  <si>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</si>
  <si>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</si>
  <si>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</si>
  <si>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</si>
  <si>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</si>
  <si>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</si>
  <si>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</si>
  <si>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</si>
  <si>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</si>
  <si>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</si>
  <si>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</si>
  <si>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</si>
  <si>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</si>
  <si>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</si>
  <si>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</si>
  <si>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</si>
  <si>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</si>
  <si>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</si>
  <si>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</si>
  <si>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</si>
  <si>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</si>
  <si>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</si>
  <si>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</si>
  <si>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</si>
  <si>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</si>
  <si>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</si>
  <si>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</si>
  <si>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</si>
  <si>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</si>
  <si>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</si>
  <si>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</si>
  <si>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</si>
  <si>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</si>
  <si>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</si>
  <si>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</si>
  <si>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</si>
  <si>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</si>
  <si>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</si>
  <si>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</si>
  <si>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</si>
  <si>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</si>
  <si>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</si>
  <si>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</si>
  <si>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</si>
  <si>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</si>
  <si>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</si>
  <si>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</si>
  <si>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</si>
  <si>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</si>
  <si>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</si>
  <si>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</si>
  <si>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</si>
  <si>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</si>
  <si>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</si>
  <si>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</si>
  <si>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</si>
  <si>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</si>
  <si>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</si>
  <si>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</si>
  <si>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</si>
  <si>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</si>
  <si>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</si>
  <si>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</si>
  <si>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</si>
  <si>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</si>
  <si>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</si>
  <si>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</si>
  <si>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</si>
  <si>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</si>
  <si>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</si>
  <si>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</si>
  <si>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</si>
  <si>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</si>
  <si>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</si>
  <si>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</si>
  <si>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</si>
  <si>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</si>
  <si>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</si>
  <si>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</si>
  <si>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</si>
  <si>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</si>
  <si>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</si>
  <si>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</si>
  <si>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</si>
  <si>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</si>
  <si>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</si>
  <si>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</si>
  <si>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</si>
  <si>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</si>
  <si>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</si>
  <si>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</si>
  <si>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</si>
  <si>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</si>
  <si>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</si>
  <si>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</si>
  <si>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</si>
  <si>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</si>
  <si>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</si>
  <si>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</si>
  <si>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</si>
  <si>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</si>
  <si>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</si>
  <si>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</si>
  <si>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</si>
  <si>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</si>
  <si>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</si>
  <si>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</si>
  <si>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</si>
  <si>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</si>
  <si>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</si>
  <si>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</si>
  <si>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</si>
  <si>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</si>
  <si>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</si>
  <si>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</si>
  <si>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</si>
  <si>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</si>
  <si>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</si>
  <si>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</si>
  <si>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</si>
  <si>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</si>
  <si>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</si>
  <si>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</si>
  <si>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</si>
  <si>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</si>
  <si>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</si>
  <si>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</si>
  <si>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</si>
  <si>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</si>
  <si>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</si>
  <si>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</si>
  <si>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</si>
  <si>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</si>
  <si>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</si>
  <si>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</si>
  <si>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</si>
  <si>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</si>
  <si>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</si>
  <si>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</si>
  <si>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</si>
  <si>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</si>
  <si>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</si>
  <si>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</si>
  <si>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</si>
  <si>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</si>
  <si>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</si>
  <si>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</si>
  <si>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</si>
  <si>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</si>
  <si>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</si>
  <si>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</si>
  <si>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</si>
  <si>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</si>
  <si>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</si>
  <si>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</si>
  <si>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</si>
  <si>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</si>
  <si>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</si>
  <si>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</si>
  <si>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</si>
  <si>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</si>
  <si>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</si>
  <si>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</si>
  <si>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</si>
  <si>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</si>
  <si>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</si>
  <si>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</si>
  <si>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</si>
  <si>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</si>
  <si>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</si>
  <si>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</si>
  <si>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</si>
  <si>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</si>
  <si>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</si>
  <si>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</si>
  <si>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</si>
  <si>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</si>
  <si>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</si>
  <si>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</si>
  <si>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</si>
  <si>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</si>
  <si>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</si>
  <si>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</si>
  <si>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</si>
  <si>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</si>
  <si>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</si>
  <si>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</si>
  <si>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</si>
  <si>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</si>
  <si>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</si>
  <si>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</si>
  <si>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</si>
  <si>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</si>
  <si>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</si>
  <si>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</si>
  <si>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</si>
  <si>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</si>
  <si>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</si>
  <si>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</si>
  <si>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</si>
  <si>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</si>
  <si>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</si>
  <si>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</si>
  <si>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</si>
  <si>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</si>
  <si>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</si>
  <si>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</si>
  <si>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</si>
  <si>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</si>
  <si>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</si>
  <si>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</si>
  <si>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</si>
  <si>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自然人</t>
  </si>
  <si>
    <t>绿地中央广场</t>
    <phoneticPr fontId="224"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</si>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</sst>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4" fontId="0" fillId="0" borderId="0" xfId="0" applyNumberForma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771900" y="0"/>
          <a:ext cx="3771429" cy="5790476"/>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54380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估价对象为北京市房地产，为所有。根据《国有土地使用证》[]，估价对象（分摊）出让国有建设用地使用权面积为0平方米，建筑面积为149.79平方米。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估价对象为北京市房地产,属开发建设的办公项目，该项目尚在开发建设中。根据《国有土地使用证》[]，估价对象（分摊）出让国有建设用地使用权面积为0平方米，规划建筑面积为149.79平方米。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295</v>
      </c>
    </row>
    <row r="21" spans="1:2">
      <c r="A21" s="3157" t="s">
        <v>21</v>
      </c>
      <c r="B21" s="3158">
        <f ca="1">'预评函-2'!D7</f>
        <v>19667</v>
      </c>
    </row>
    <row r="22" spans="1:2">
      <c r="A22" s="3157" t="s">
        <v>22</v>
      </c>
      <c r="B22" s="3158" t="str">
        <f ca="1">'预评函-2'!D6</f>
        <v>贰佰玖拾伍万元整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295</v>
      </c>
    </row>
    <row r="31" spans="1:2">
      <c r="A31" s="3157" t="s">
        <v>31</v>
      </c>
      <c r="B31" s="3158">
        <f ca="1">'预评函-2'!D15</f>
        <v>19667</v>
      </c>
    </row>
    <row r="32" spans="1:2">
      <c r="A32" s="3157" t="s">
        <v>32</v>
      </c>
      <c r="B32" s="3158" t="str">
        <f ca="1">'预评函-2'!D14</f>
        <v>贰佰玖拾伍万元整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149.79</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149.79</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149.79</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149.79</v>
      </c>
      <c r="H5" s="2806">
        <f t="shared" ref="H5:AT5" si="0">SUM(H13:H656)</f>
        <v>149.79</v>
      </c>
      <c r="I5" s="2806">
        <f t="shared" si="0"/>
        <v>149.79</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149.79</v>
      </c>
      <c r="BA5" s="2859">
        <f t="shared" si="1"/>
        <v>149.79</v>
      </c>
      <c r="BB5" s="2859">
        <f t="shared" si="1"/>
        <v>149.79</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906</v>
      </c>
      <c r="D13" s="2820" t="s">
        <v>605</v>
      </c>
      <c r="E13" s="2806">
        <f>IF($C$3="是",ROUND($A$3*G13/$B$3,2),ROUND($A$3*(G13-AT13)/$B$3,2))</f>
        <v>0</v>
      </c>
      <c r="F13" s="2821"/>
      <c r="G13" s="2822">
        <f>H13+AC13+AT13</f>
        <v>149.79</v>
      </c>
      <c r="H13" s="2809">
        <f>SUMIF(I$12:AB$12,"总值",I13:AB13)</f>
        <v>149.79</v>
      </c>
      <c r="I13" s="2834">
        <v>149.79</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906</v>
      </c>
      <c r="AY13" s="2350">
        <f>ROUND($AY$6*AZ13/$AZ$5,2)</f>
        <v>0</v>
      </c>
      <c r="AZ13" s="2806">
        <f>BA13+BL13</f>
        <v>149.79</v>
      </c>
      <c r="BA13" s="2806">
        <f>SUM(BB13:BK13)</f>
        <v>149.79</v>
      </c>
      <c r="BB13" s="2806">
        <f>IF($D13="是",I13-J13,0)</f>
        <v>149.79</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149.79</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149.79</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149.79</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149.79</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149.79</v>
      </c>
      <c r="F19" s="2767">
        <f>'数据-基础表'!I13</f>
        <v>149.79</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149.79</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149.79</v>
      </c>
      <c r="F27" s="2772">
        <f>IF(SUM(F19:F26)=E8,SUM(F19:F26),"地上面积有误")</f>
        <v>149.79</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149.79</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149.79</v>
      </c>
      <c r="F31" s="2780">
        <f>F27+F30</f>
        <v>149.79</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149.79</v>
      </c>
      <c r="L6" s="2664">
        <v>4500</v>
      </c>
      <c r="M6" s="2665">
        <f t="shared" ref="M6:M14" si="0">ROUND(K6*L6/10000,0)</f>
        <v>67</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0.85</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277.9701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149.79</v>
      </c>
      <c r="L16" s="2674">
        <f>ROUND(M16*10000/SUM(K6:K14),0)</f>
        <v>4473</v>
      </c>
      <c r="M16" s="2674">
        <f>SUM(M6:M14)</f>
        <v>67</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8.1313839375125188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149.79</v>
      </c>
      <c r="U18" s="2125">
        <v>423400</v>
      </c>
      <c r="V18" s="3168">
        <f>U18/365/K16</f>
        <v>7.7441751785833501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129.48999999999998</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29958</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149.79</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295</v>
      </c>
      <c r="C5" s="2485">
        <f ca="1">IF(B5=D14,结果表!H102,ROUND(B5*10000/$B$1,0))</f>
        <v>19667</v>
      </c>
      <c r="D5" s="2485" t="e">
        <f ca="1">ROUND(B5*10000/$B$2,0)</f>
        <v>#DIV/0!</v>
      </c>
      <c r="E5" s="2486"/>
      <c r="F5" s="2487"/>
      <c r="G5" s="2487"/>
      <c r="H5" s="2487"/>
      <c r="I5" s="2487"/>
      <c r="J5" s="2487"/>
      <c r="K5" s="2487"/>
    </row>
    <row r="6" spans="1:11" ht="16.5">
      <c r="A6" s="2485" t="s">
        <v>794</v>
      </c>
      <c r="B6" s="2485">
        <f ca="1">SUM(G14:G23)</f>
        <v>295</v>
      </c>
      <c r="C6" s="2485">
        <f ca="1">IF(B6=G14,结果表!H108,ROUND(B6*10000/$B$1,0))</f>
        <v>19667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149.79</v>
      </c>
      <c r="C14" s="2496"/>
      <c r="D14" s="2496">
        <f ca="1">结果表!G19</f>
        <v>295</v>
      </c>
      <c r="E14" s="2496">
        <f ca="1">ROUND(D14*10000/B14,0)</f>
        <v>19694</v>
      </c>
      <c r="F14" s="2496" t="e">
        <f ca="1">ROUND(D14*10000/C14,0)</f>
        <v>#DIV/0!</v>
      </c>
      <c r="G14" s="2496">
        <f ca="1">D14</f>
        <v>295</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38" sqref="F3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2802</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5</v>
      </c>
      <c r="D14" s="3280">
        <v>5</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5</v>
      </c>
      <c r="D17" s="2232">
        <f>SUM(D5:D16)</f>
        <v>5</v>
      </c>
      <c r="E17" s="939"/>
      <c r="F17" s="939"/>
      <c r="G17" s="939"/>
      <c r="H17" s="939"/>
      <c r="I17" s="939"/>
      <c r="K17" s="1848"/>
      <c r="L17" s="1848" t="s">
        <v>840</v>
      </c>
      <c r="M17" s="1848" t="s">
        <v>841</v>
      </c>
    </row>
    <row r="18" spans="1:36" ht="31.9" customHeight="1">
      <c r="A18" s="2233" t="s">
        <v>842</v>
      </c>
      <c r="B18" s="2234"/>
      <c r="C18" s="2235">
        <f>ROUND(C17/SUM(C17:D17),2)</f>
        <v>0.5</v>
      </c>
      <c r="D18" s="2235">
        <f>1-C18</f>
        <v>0.5</v>
      </c>
      <c r="E18" s="3269" t="s">
        <v>843</v>
      </c>
      <c r="F18" s="3270"/>
      <c r="G18" s="3270"/>
      <c r="H18" s="3270"/>
      <c r="I18" s="3270"/>
      <c r="K18" s="1848" t="s">
        <v>504</v>
      </c>
      <c r="L18" s="1848">
        <f>IF(C1="",'数据-汇总表'!E3,SUMIF(项目类型,C1,'数据-汇总表'!E17:E26)+SUMIF(项目类型,C1,'数据-汇总表'!I17:I26))</f>
        <v>149.79</v>
      </c>
      <c r="M18" s="1848">
        <f>IF(C1="",'数据-汇总表'!E3,SUMIF(项目类型,C1,'数据-汇总表'!E17:E26))</f>
        <v>149.79</v>
      </c>
    </row>
    <row r="19" spans="1:36" ht="15">
      <c r="A19" s="1230" t="s">
        <v>844</v>
      </c>
      <c r="B19" s="2236" t="s">
        <v>845</v>
      </c>
      <c r="C19" s="2237">
        <f ca="1">SUMIF(INDIRECT("'"&amp;C4&amp;"'"&amp;"!A:A"),结果表!B19,INDIRECT("'"&amp;C4&amp;"'"&amp;"!B:B"))</f>
        <v>311.21870000000001</v>
      </c>
      <c r="D19" s="1348">
        <f ca="1">SUMIF(INDIRECT("'"&amp;D4&amp;"'"&amp;"!A:A"),结果表!B19,INDIRECT("'"&amp;D4&amp;"'"&amp;"!B:B"))</f>
        <v>277.9701</v>
      </c>
      <c r="E19" s="1230" t="s">
        <v>846</v>
      </c>
      <c r="F19" s="2236" t="s">
        <v>845</v>
      </c>
      <c r="G19" s="2238">
        <f ca="1">ROUND(C19*$C$18+D19*$D$18,0)</f>
        <v>295</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20777</v>
      </c>
      <c r="D20" s="1595">
        <f ca="1">SUMIF(INDIRECT("'"&amp;D4&amp;"'"&amp;"!A:A"),结果表!B20,INDIRECT("'"&amp;D4&amp;"'"&amp;"!B:B"))</f>
        <v>18557</v>
      </c>
      <c r="E20" s="2240"/>
      <c r="F20" s="2241" t="s">
        <v>848</v>
      </c>
      <c r="G20" s="2242">
        <f ca="1">ROUND(C20*$C$18+D20*$D$18,0)</f>
        <v>19667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0.11961214533505582</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23137.647058823532</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19667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295</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45975</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278" t="s">
        <v>892</v>
      </c>
      <c r="L48" s="3278"/>
      <c r="M48" s="3287">
        <f ca="1">H101</f>
        <v>295</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295</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15</v>
      </c>
      <c r="E52" s="1901" t="s">
        <v>909</v>
      </c>
      <c r="F52" s="2328">
        <f>'数据-取费表'!B41</f>
        <v>5.5000000000000007E-2</v>
      </c>
      <c r="G52" s="2329"/>
      <c r="H52" s="2012"/>
      <c r="I52" s="2357"/>
      <c r="J52" s="580">
        <v>1</v>
      </c>
      <c r="K52" s="3290" t="s">
        <v>910</v>
      </c>
      <c r="L52" s="3290"/>
      <c r="M52" s="2358" t="b">
        <f>D48</f>
        <v>0</v>
      </c>
      <c r="N52" s="580" t="str">
        <f>E48</f>
        <v>销售额×税（费）率</v>
      </c>
      <c r="O52" s="2359">
        <f>F48</f>
        <v>5.5000000000000007E-2</v>
      </c>
    </row>
    <row r="53" spans="1:35" ht="12" customHeight="1">
      <c r="A53" s="2327" t="s">
        <v>911</v>
      </c>
      <c r="B53" s="3291" t="s">
        <v>912</v>
      </c>
      <c r="C53" s="3292"/>
      <c r="D53" s="1897">
        <f ca="1">ROUND(D45*'数据-取费表'!B41/(1+'数据-取费表'!C42),0)</f>
        <v>15</v>
      </c>
      <c r="E53" s="1901" t="s">
        <v>909</v>
      </c>
      <c r="F53" s="2328">
        <f>'数据-取费表'!B41</f>
        <v>5.5000000000000007E-2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15</v>
      </c>
      <c r="E54" s="1911" t="s">
        <v>916</v>
      </c>
      <c r="F54" s="2328">
        <f>'数据-取费表'!B41</f>
        <v>5.5000000000000007E-2</v>
      </c>
      <c r="G54" s="2329"/>
      <c r="H54" s="2330"/>
      <c r="I54" s="2357"/>
      <c r="J54" s="580">
        <v>3</v>
      </c>
      <c r="K54" s="3290" t="s">
        <v>917</v>
      </c>
      <c r="L54" s="3290"/>
      <c r="M54" s="2358">
        <f t="shared" ca="1" si="0"/>
        <v>168</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3</v>
      </c>
      <c r="N55" s="561" t="str">
        <f>E59</f>
        <v>差额计税</v>
      </c>
      <c r="O55" s="2363">
        <f>F59</f>
        <v>0.01</v>
      </c>
    </row>
    <row r="56" spans="1:35" ht="24.75">
      <c r="A56" s="3293" t="s">
        <v>920</v>
      </c>
      <c r="B56" s="3286"/>
      <c r="C56" s="3286"/>
      <c r="D56" s="1998">
        <f ca="1">IF(H56="个人住宅",D57,D58)</f>
        <v>168</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171</v>
      </c>
      <c r="O57" s="2367"/>
      <c r="P57" s="2368">
        <f ca="1">N57/M49</f>
        <v>0.57966101694915251</v>
      </c>
    </row>
    <row r="58" spans="1:35" ht="24.75">
      <c r="A58" s="2327" t="s">
        <v>907</v>
      </c>
      <c r="B58" s="3291" t="s">
        <v>926</v>
      </c>
      <c r="C58" s="3288"/>
      <c r="D58" s="1998">
        <f ca="1">IF(H58="转让取得",C81,C97)</f>
        <v>168</v>
      </c>
      <c r="E58" s="1901" t="s">
        <v>921</v>
      </c>
      <c r="F58" s="1848" t="s">
        <v>124</v>
      </c>
      <c r="G58" s="2329"/>
      <c r="H58" s="2332"/>
      <c r="I58" s="2341"/>
      <c r="J58" s="3290"/>
      <c r="K58" s="3290"/>
      <c r="L58" s="2364" t="s">
        <v>927</v>
      </c>
      <c r="M58" s="2369"/>
      <c r="N58" s="2370" t="str">
        <f ca="1">NUMBERSTRING(INT(N57*10000),2)&amp;"元整"</f>
        <v>壹佰柒拾壹万元整</v>
      </c>
      <c r="O58" s="2371"/>
    </row>
    <row r="59" spans="1:35" ht="24">
      <c r="A59" s="3300" t="s">
        <v>928</v>
      </c>
      <c r="B59" s="3301"/>
      <c r="C59" s="3301"/>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124</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壹佰贰拾肆万元整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8278</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281</v>
      </c>
      <c r="D63" s="590"/>
      <c r="E63" s="2345"/>
      <c r="F63" s="2341"/>
      <c r="G63" s="2341"/>
      <c r="H63" s="940"/>
      <c r="I63" s="939"/>
      <c r="J63" s="3289" t="s">
        <v>937</v>
      </c>
      <c r="K63" s="2379" t="s">
        <v>938</v>
      </c>
      <c r="L63" s="2379">
        <f ca="1">IF(M49&gt;10000,M49*0.5%,IF(AND(M49&gt;1000,M49&lt;=10000),M49*1%,IF(AND(M49&gt;100,M49&lt;=1000),M49*3%,IF(AND(M49&gt;10,M49&lt;=100),M49*5%,M49*8%))))</f>
        <v>8.85</v>
      </c>
      <c r="M63" s="1848">
        <f ca="1">ROUND(L63,1)</f>
        <v>8.9</v>
      </c>
      <c r="N63" s="2380"/>
      <c r="Z63" s="2218"/>
      <c r="AI63" s="2217"/>
    </row>
    <row r="64" spans="1:35" ht="14.25" customHeight="1">
      <c r="A64" s="2346" t="s">
        <v>939</v>
      </c>
      <c r="B64" s="513" t="s">
        <v>940</v>
      </c>
      <c r="C64" s="2347">
        <f ca="1">D45</f>
        <v>295</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2.36</v>
      </c>
      <c r="M64" s="1848">
        <f t="shared" ref="M64:M65" ca="1" si="1">ROUND(L64,1)</f>
        <v>2.4</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2.95</v>
      </c>
      <c r="M65" s="1848">
        <f t="shared" ca="1" si="1"/>
        <v>3</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1.4750000000000001</v>
      </c>
      <c r="M66" s="1848">
        <f ca="1">IF(L66&gt;0.5,0.5,ROUND(L66,0))</f>
        <v>0.5</v>
      </c>
      <c r="N66" s="2012" t="s">
        <v>950</v>
      </c>
      <c r="Z66" s="2218"/>
      <c r="AI66" s="2217"/>
    </row>
    <row r="67" spans="1:35" ht="14.25" customHeight="1">
      <c r="A67" s="2343" t="s">
        <v>951</v>
      </c>
      <c r="B67" s="2383" t="s">
        <v>952</v>
      </c>
      <c r="C67" s="2386">
        <f ca="1">C63-C66</f>
        <v>281</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0.98750000000000004</v>
      </c>
      <c r="M67" s="1848">
        <f ca="1">ROUND(L67*0.9,1)</f>
        <v>0.9</v>
      </c>
      <c r="N67" s="2380"/>
      <c r="Z67" s="2218"/>
      <c r="AI67" s="2217"/>
    </row>
    <row r="68" spans="1:35" ht="14.25" customHeight="1">
      <c r="A68" s="2387" t="s">
        <v>954</v>
      </c>
      <c r="B68" s="2388" t="s">
        <v>955</v>
      </c>
      <c r="C68" s="2389">
        <f ca="1">IF(C67&lt;=0,0,ROUND(C67*D68,0))</f>
        <v>15</v>
      </c>
      <c r="D68" s="775">
        <f>'数据-取费表'!B41</f>
        <v>5.5000000000000007E-2</v>
      </c>
      <c r="E68" s="2390"/>
      <c r="F68" s="2341"/>
      <c r="G68" s="2341"/>
      <c r="H68" s="940"/>
      <c r="I68" s="939"/>
      <c r="J68" s="3289"/>
      <c r="K68" s="2379" t="s">
        <v>956</v>
      </c>
      <c r="L68" s="2379">
        <f ca="1">IF(M49&gt;10000,M49*0.5%,IF(AND(M49&gt;5000,M49&lt;=10000),M49*1%,IF(AND(M49&gt;1000,M49&lt;=5000),M49*2%,IF(AND(M49&gt;200,M49&lt;=1000),M49*3%,M49*5%))))</f>
        <v>8.85</v>
      </c>
      <c r="M68" s="1848">
        <f ca="1">ROUND(L68,1)</f>
        <v>8.9</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25</v>
      </c>
      <c r="N69" s="2454">
        <f ca="1">M69/M49</f>
        <v>8.4745762711864403E-2</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281</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280</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280</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168</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281</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280</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280</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168</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295</v>
      </c>
      <c r="I101" s="939"/>
    </row>
    <row r="102" spans="1:35" ht="18.75" customHeight="1">
      <c r="A102" s="3347" t="s">
        <v>1005</v>
      </c>
      <c r="B102" s="2436" t="s">
        <v>1004</v>
      </c>
      <c r="C102" s="2431">
        <f ca="1">IF(D32="楼面单价",ROUND(C19,0),C19)</f>
        <v>311</v>
      </c>
      <c r="D102" s="2432">
        <f ca="1">IF(D32="楼面单价",ROUND(D19,0),D19)</f>
        <v>278</v>
      </c>
      <c r="E102" s="3338"/>
      <c r="F102" s="3334"/>
      <c r="G102" s="2434" t="s">
        <v>99</v>
      </c>
      <c r="H102" s="2329">
        <f ca="1">I118</f>
        <v>19667</v>
      </c>
      <c r="I102" s="939"/>
    </row>
    <row r="103" spans="1:35" ht="42.75" customHeight="1">
      <c r="A103" s="3347"/>
      <c r="B103" s="2436" t="s">
        <v>99</v>
      </c>
      <c r="C103" s="2437">
        <f ca="1">C20</f>
        <v>20777</v>
      </c>
      <c r="D103" s="2438">
        <f ca="1">D20</f>
        <v>18557</v>
      </c>
      <c r="E103" s="3318" t="s">
        <v>1006</v>
      </c>
      <c r="F103" s="3319"/>
      <c r="G103" s="2439" t="s">
        <v>102</v>
      </c>
      <c r="H103" s="2435">
        <f>IF(D36="正常操作",H104+H105+H106,H105+H106)</f>
        <v>0</v>
      </c>
      <c r="I103" s="939"/>
    </row>
    <row r="104" spans="1:35" ht="18.75" customHeight="1">
      <c r="A104" s="3347" t="s">
        <v>1007</v>
      </c>
      <c r="B104" s="2440" t="s">
        <v>1004</v>
      </c>
      <c r="C104" s="2441">
        <f ca="1">H118</f>
        <v>295</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19667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2945919.9299999997</v>
      </c>
      <c r="E107" s="3333" t="str">
        <f>IF(项目基本情况!E8="已注销","——","3.房地产抵押价值")</f>
        <v>3.房地产抵押价值</v>
      </c>
      <c r="F107" s="3334"/>
      <c r="G107" s="2434" t="s">
        <v>1004</v>
      </c>
      <c r="H107" s="2435">
        <f ca="1">IF(E107="——","——",H101-H103)</f>
        <v>295</v>
      </c>
      <c r="I107" s="939"/>
    </row>
    <row r="108" spans="1:35" ht="18.75" customHeight="1">
      <c r="A108" s="939"/>
      <c r="B108" s="939"/>
      <c r="C108" s="939"/>
      <c r="D108" s="939"/>
      <c r="E108" s="3333"/>
      <c r="F108" s="3334"/>
      <c r="G108" s="2434" t="s">
        <v>99</v>
      </c>
      <c r="H108" s="2329">
        <f ca="1">IF(H107=H101,H102,ROUND(H107*10000/'数据-汇总表'!E3,0))</f>
        <v>19667</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149.79</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295</v>
      </c>
      <c r="I118" s="872">
        <f ca="1">ROUND(IF(D32="楼面单价",C32,H118*10000/B118),0)</f>
        <v>19667</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贰佰玖拾伍万元整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295</v>
      </c>
      <c r="E122" s="3309"/>
      <c r="F122" s="3309"/>
      <c r="G122" s="3309"/>
      <c r="H122" s="3309"/>
      <c r="I122" s="3310"/>
      <c r="AA122" s="898"/>
    </row>
    <row r="123" spans="1:27" ht="18.75" customHeight="1">
      <c r="A123" s="3311" t="s">
        <v>1020</v>
      </c>
      <c r="B123" s="3311"/>
      <c r="C123" s="3311"/>
      <c r="D123" s="3312" t="str">
        <f ca="1">NUMBERSTRING(INT(D122*10000),2)&amp;"元整"</f>
        <v>贰佰玖拾伍万元整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40583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2709326</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29958</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29958</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149.79</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149.79</v>
      </c>
      <c r="E19" s="353">
        <f>'数据-取费表'!B31</f>
        <v>200</v>
      </c>
      <c r="F19" s="375"/>
      <c r="G19" s="2212"/>
    </row>
    <row r="20" spans="1:7" s="333" customFormat="1" ht="13.5" customHeight="1">
      <c r="A20" s="351" t="s">
        <v>1067</v>
      </c>
      <c r="B20" s="352" t="s">
        <v>1068</v>
      </c>
      <c r="C20" s="376">
        <f ca="1">ROUND((C5+C19)*F20,0)</f>
        <v>899</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1933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1905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28</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4629</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4629</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40500</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75</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67</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149.79</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98</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83</v>
      </c>
      <c r="D51" s="376"/>
      <c r="E51" s="376"/>
      <c r="F51" s="411"/>
      <c r="G51" s="381" t="s">
        <v>1120</v>
      </c>
    </row>
    <row r="52" spans="1:7" s="332" customFormat="1" ht="15.75">
      <c r="A52" s="412" t="s">
        <v>1121</v>
      </c>
      <c r="B52" s="413"/>
      <c r="C52" s="414">
        <f ca="1">C31+C51</f>
        <v>40583</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29958</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29958</v>
      </c>
      <c r="D10" s="369">
        <f ca="1">IF(B1="",'数据-汇总表'!E6,IF(INDIRECT("'数据-取费表'!c"&amp;$G$1)="住宅",INDIRECT("'数据-取费表'!s"&amp;$G$1),INDIRECT("'数据-取费表'!k"&amp;$G$1)+INDIRECT("'数据-取费表'!s"&amp;$G$1)))</f>
        <v>149.79</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149.79</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757937</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674055</v>
      </c>
      <c r="D34" s="359"/>
      <c r="E34" s="362"/>
      <c r="F34" s="405"/>
      <c r="G34" s="361"/>
    </row>
    <row r="35" spans="1:7" ht="13.5" customHeight="1">
      <c r="A35" s="384" t="s">
        <v>1040</v>
      </c>
      <c r="B35" s="357" t="s">
        <v>1098</v>
      </c>
      <c r="C35" s="362">
        <f ca="1">ROUND(C34*F35,0)</f>
        <v>40443</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29958</v>
      </c>
      <c r="D37" s="359">
        <f ca="1">D19</f>
        <v>149.79</v>
      </c>
      <c r="E37" s="397">
        <f>'数据-取费表'!B35</f>
        <v>200</v>
      </c>
      <c r="F37" s="406"/>
      <c r="G37" s="408"/>
    </row>
    <row r="38" spans="1:7" ht="13.5" customHeight="1">
      <c r="A38" s="384" t="s">
        <v>1104</v>
      </c>
      <c r="B38" s="357" t="s">
        <v>970</v>
      </c>
      <c r="C38" s="362">
        <f ca="1">ROUND(C34*F38,0)</f>
        <v>13481</v>
      </c>
      <c r="D38" s="362"/>
      <c r="E38" s="362"/>
      <c r="F38" s="406">
        <f>'数据-取费表'!B36</f>
        <v>0.02</v>
      </c>
      <c r="G38" s="361" t="s">
        <v>1099</v>
      </c>
    </row>
    <row r="39" spans="1:7" s="333" customFormat="1" ht="13.5" customHeight="1">
      <c r="A39" s="351" t="s">
        <v>1065</v>
      </c>
      <c r="B39" s="352" t="s">
        <v>1068</v>
      </c>
      <c r="C39" s="376">
        <f ca="1">ROUND(C33*F20,0)</f>
        <v>22738</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24435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23723</v>
      </c>
      <c r="D42" s="386"/>
      <c r="E42" s="386"/>
      <c r="F42" s="387"/>
      <c r="G42" s="3355" t="s">
        <v>1128</v>
      </c>
    </row>
    <row r="43" spans="1:7" ht="13.5" customHeight="1">
      <c r="A43" s="384" t="s">
        <v>1040</v>
      </c>
      <c r="B43" s="357" t="s">
        <v>1078</v>
      </c>
      <c r="C43" s="386">
        <f ca="1">ROUND(IF('数据-取费表'!B22&lt;=1,C39*F22*'数据-取费表'!B20/2,C39*(POWER((1+F22),'数据-取费表'!B20/2)-1)),0)</f>
        <v>712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117101</v>
      </c>
      <c r="D45" s="379">
        <f ca="1">C47</f>
        <v>3.0000000000000001E-3</v>
      </c>
      <c r="E45" s="380" t="s">
        <v>1106</v>
      </c>
      <c r="F45" s="394">
        <f ca="1">F27</f>
        <v>0.15</v>
      </c>
      <c r="G45" s="395" t="s">
        <v>1109</v>
      </c>
    </row>
    <row r="46" spans="1:7" s="333" customFormat="1" ht="13.5" customHeight="1">
      <c r="A46" s="384" t="s">
        <v>1038</v>
      </c>
      <c r="B46" s="396" t="s">
        <v>1110</v>
      </c>
      <c r="C46" s="397">
        <f ca="1">ROUND((C33+C39)*F27,0)</f>
        <v>117101</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998064</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848354</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34482</v>
      </c>
      <c r="C2" s="2126" t="s">
        <v>1132</v>
      </c>
      <c r="D2" s="2126"/>
      <c r="E2" s="2124"/>
      <c r="F2" s="2124"/>
      <c r="G2" s="2124"/>
      <c r="H2" s="2124"/>
      <c r="I2" s="2124"/>
      <c r="J2" s="2124"/>
      <c r="K2" s="2124"/>
    </row>
    <row r="3" spans="1:33" ht="18" customHeight="1">
      <c r="A3" s="346" t="s">
        <v>1031</v>
      </c>
      <c r="B3" s="347">
        <f ca="1">ROUND(B2*10000/IF(C1="",'数据-汇总表'!E3,INDIRECT("'数据-取费表'!K"&amp;$K$1)),0)</f>
        <v>2302023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149.79</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149.79</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-29955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149.79</v>
      </c>
      <c r="E20" s="950">
        <f>'数据-取费表'!B28</f>
        <v>200</v>
      </c>
      <c r="F20" s="2150"/>
      <c r="G20" s="1998"/>
      <c r="H20" s="2157"/>
      <c r="I20" s="2157"/>
      <c r="J20" s="2157"/>
      <c r="K20" s="2200"/>
    </row>
    <row r="21" spans="1:33" s="2115" customFormat="1" ht="13.5" customHeight="1">
      <c r="A21" s="2133" t="s">
        <v>939</v>
      </c>
      <c r="B21" s="2158" t="s">
        <v>1163</v>
      </c>
      <c r="C21" s="2159">
        <f ca="1">C16+C17+C18</f>
        <v>-29955</v>
      </c>
      <c r="D21" s="2160"/>
      <c r="E21" s="2161"/>
      <c r="F21" s="2161"/>
      <c r="G21" s="1888" t="s">
        <v>1164</v>
      </c>
      <c r="H21" s="1999"/>
      <c r="I21" s="1999"/>
      <c r="J21" s="1999"/>
      <c r="K21" s="2000"/>
    </row>
    <row r="22" spans="1:33" s="2115" customFormat="1" ht="13.5" customHeight="1">
      <c r="A22" s="2133" t="s">
        <v>943</v>
      </c>
      <c r="B22" s="2158" t="s">
        <v>1165</v>
      </c>
      <c r="C22" s="2159">
        <f ca="1">ROUND(C21*F22,0)</f>
        <v>-899</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-4628</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-4628</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34482</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 zoomScaleNormal="70" workbookViewId="0">
      <selection activeCell="I8" sqref="I8"/>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311.21870000000001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20777</v>
      </c>
      <c r="C3" s="1376" t="s">
        <v>1377</v>
      </c>
      <c r="D3" s="1377">
        <f>IF(D1="",'数据-汇总表'!E3,SUMIF('数据-汇总表'!$C19:$C33,D1,'数据-汇总表'!$E19:$E33))</f>
        <v>149.79</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ht="15">
      <c r="A5" s="1029"/>
      <c r="B5" s="1030"/>
      <c r="C5" s="3367" t="s">
        <v>2804</v>
      </c>
      <c r="D5" s="3368"/>
      <c r="E5" s="3367" t="s">
        <v>2804</v>
      </c>
      <c r="F5" s="3368"/>
      <c r="G5" s="3367" t="s">
        <v>2804</v>
      </c>
      <c r="H5" s="3368"/>
      <c r="I5" s="3367" t="s">
        <v>2804</v>
      </c>
      <c r="J5" s="3368"/>
      <c r="K5" s="1171"/>
      <c r="L5" s="1172"/>
      <c r="M5" s="1122"/>
      <c r="N5" s="1122"/>
      <c r="O5" s="1122"/>
      <c r="P5" s="3400"/>
      <c r="Q5" s="3401"/>
      <c r="R5" s="3406"/>
      <c r="S5" s="3407"/>
      <c r="T5" s="3406"/>
      <c r="U5" s="3407"/>
      <c r="V5" s="3379"/>
      <c r="W5" s="3379"/>
      <c r="X5" s="1214"/>
      <c r="Y5" s="3406"/>
      <c r="Z5" s="3407"/>
      <c r="AA5" s="3393"/>
      <c r="AB5" s="3393"/>
      <c r="AC5" s="3396"/>
    </row>
    <row r="6" spans="1:29" ht="15">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5">
      <c r="A7" s="1033" t="s">
        <v>1391</v>
      </c>
      <c r="B7" s="1034"/>
      <c r="C7" s="1035">
        <f>'数据-取费表'!B2</f>
        <v>45975</v>
      </c>
      <c r="D7" s="1036">
        <v>100</v>
      </c>
      <c r="E7" s="1037">
        <v>45787</v>
      </c>
      <c r="F7" s="1038">
        <f>SUMIF(59:59,YEAR(E7)&amp;"-"&amp;MONTH(E7),60:60)</f>
        <v>100</v>
      </c>
      <c r="G7" s="1037">
        <v>45839</v>
      </c>
      <c r="H7" s="1036">
        <f>SUMIF(59:59,YEAR(G7)&amp;"-"&amp;MONTH(G7),60:60)</f>
        <v>100</v>
      </c>
      <c r="I7" s="1037">
        <v>45962</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5">
      <c r="A8" s="1033" t="s">
        <v>1394</v>
      </c>
      <c r="B8" s="1034"/>
      <c r="C8" s="1040" t="s">
        <v>1395</v>
      </c>
      <c r="D8" s="1036">
        <v>100</v>
      </c>
      <c r="E8" s="1040" t="s">
        <v>1395</v>
      </c>
      <c r="F8" s="1038">
        <f>SUMIF(62:62,E8,63:63)-SUMIF(62:62,C8,63:63)+100</f>
        <v>100</v>
      </c>
      <c r="G8" s="1040" t="s">
        <v>1395</v>
      </c>
      <c r="H8" s="1036">
        <f>SUMIF(62:62,G8,63:63)-SUMIF(62:62,C8,63:63)+100</f>
        <v>100</v>
      </c>
      <c r="I8" s="1040" t="s">
        <v>1395</v>
      </c>
      <c r="J8" s="1036">
        <f>SUMIF(62:62,I8,63:63)-SUMIF(62:62,C8,63:63)+100</f>
        <v>100</v>
      </c>
      <c r="K8" s="1173"/>
      <c r="L8" s="1174"/>
      <c r="M8" s="1175"/>
      <c r="N8" s="1175"/>
      <c r="O8" s="1175"/>
      <c r="P8" s="3373" t="s">
        <v>1397</v>
      </c>
      <c r="Q8" s="3376"/>
      <c r="R8" s="1215" t="s">
        <v>1393</v>
      </c>
      <c r="S8" s="1216">
        <f t="shared" si="0"/>
        <v>100</v>
      </c>
      <c r="T8" s="1215" t="s">
        <v>1393</v>
      </c>
      <c r="U8" s="1216">
        <f t="shared" si="1"/>
        <v>100</v>
      </c>
      <c r="V8" s="1215" t="s">
        <v>1393</v>
      </c>
      <c r="W8" s="1216">
        <f t="shared" si="2"/>
        <v>100</v>
      </c>
      <c r="X8" s="1217"/>
      <c r="Y8" s="3375" t="s">
        <v>1397</v>
      </c>
      <c r="Z8" s="3376"/>
      <c r="AA8" s="1227">
        <f t="shared" ref="AA8:AA47" si="3">D8/F8</f>
        <v>1</v>
      </c>
      <c r="AB8" s="1227">
        <f t="shared" ref="AB8:AB47" si="4">D8/H8</f>
        <v>1</v>
      </c>
      <c r="AC8" s="2096">
        <f t="shared" ref="AC8:AC47" si="5">D8/J8</f>
        <v>1</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1415</v>
      </c>
      <c r="H27" s="759">
        <f>SUMIF(89:89,G27,90:90)-SUMIF(89:89,C27,90:90)+100</f>
        <v>94</v>
      </c>
      <c r="I27" s="1083" t="s">
        <v>1416</v>
      </c>
      <c r="J27" s="759">
        <f>SUMIF(89:89,I27,90:90)-SUMIF(89:89,C27,90:90)+100</f>
        <v>97</v>
      </c>
      <c r="K27" s="1190">
        <v>3</v>
      </c>
      <c r="L27" s="1184"/>
      <c r="M27" s="1122"/>
      <c r="N27" s="1122"/>
      <c r="O27" s="1122"/>
      <c r="P27" s="3381"/>
      <c r="Q27" s="625" t="str">
        <f t="shared" ref="Q27:Q47" si="11">B27</f>
        <v>楼层</v>
      </c>
      <c r="R27" s="1219" t="s">
        <v>1393</v>
      </c>
      <c r="S27" s="1220">
        <f>F27</f>
        <v>100</v>
      </c>
      <c r="T27" s="1219" t="s">
        <v>1393</v>
      </c>
      <c r="U27" s="1220">
        <f>H27</f>
        <v>94</v>
      </c>
      <c r="V27" s="1219" t="s">
        <v>1393</v>
      </c>
      <c r="W27" s="1220">
        <f>J27</f>
        <v>97</v>
      </c>
      <c r="X27" s="1214"/>
      <c r="Y27" s="3386"/>
      <c r="Z27" s="1204" t="str">
        <f>Q27</f>
        <v>楼层</v>
      </c>
      <c r="AA27" s="1204">
        <f t="shared" si="3"/>
        <v>1</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149.79</v>
      </c>
      <c r="D34" s="1048">
        <v>100</v>
      </c>
      <c r="E34" s="1381">
        <v>361.7</v>
      </c>
      <c r="F34" s="1046">
        <f>LOOKUP(E34,104:104,105:105)-LOOKUP(C34,104:104,105:105)+100</f>
        <v>102</v>
      </c>
      <c r="G34" s="1381">
        <v>158.43</v>
      </c>
      <c r="H34" s="1048">
        <f>LOOKUP(G34,104:104,105:105)-LOOKUP(C34,104:104,105:105)+100</f>
        <v>100</v>
      </c>
      <c r="I34" s="1381">
        <f>Sheet1!M39</f>
        <v>128.76</v>
      </c>
      <c r="J34" s="1048">
        <f>LOOKUP(I34,104:104,105:105)-LOOKUP(C34,104:104,105:105)+100</f>
        <v>100</v>
      </c>
      <c r="K34" s="1189"/>
      <c r="L34" s="1182"/>
      <c r="M34" s="1191"/>
      <c r="N34" s="1191"/>
      <c r="O34" s="1191"/>
      <c r="P34" s="3383"/>
      <c r="Q34" s="1415" t="str">
        <f t="shared" si="11"/>
        <v>项目建筑规模</v>
      </c>
      <c r="R34" s="1221" t="s">
        <v>1393</v>
      </c>
      <c r="S34" s="1222">
        <f t="shared" si="12"/>
        <v>102</v>
      </c>
      <c r="T34" s="1221" t="s">
        <v>1393</v>
      </c>
      <c r="U34" s="1222">
        <f t="shared" si="13"/>
        <v>100</v>
      </c>
      <c r="V34" s="1221" t="s">
        <v>1393</v>
      </c>
      <c r="W34" s="1222">
        <f t="shared" si="14"/>
        <v>100</v>
      </c>
      <c r="X34" s="1223"/>
      <c r="Y34" s="3387"/>
      <c r="Z34" s="1228" t="str">
        <f t="shared" si="15"/>
        <v>项目建筑规模</v>
      </c>
      <c r="AA34" s="1204">
        <f t="shared" si="3"/>
        <v>0.98039215686274506</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83"/>
      <c r="Q43" s="625" t="str">
        <f t="shared" si="11"/>
        <v>内部装修</v>
      </c>
      <c r="R43" s="1219" t="s">
        <v>1393</v>
      </c>
      <c r="S43" s="1220">
        <f t="shared" si="12"/>
        <v>100</v>
      </c>
      <c r="T43" s="1219" t="s">
        <v>1393</v>
      </c>
      <c r="U43" s="1220">
        <f t="shared" si="13"/>
        <v>100</v>
      </c>
      <c r="V43" s="1219" t="s">
        <v>1393</v>
      </c>
      <c r="W43" s="1220">
        <f t="shared" si="14"/>
        <v>100</v>
      </c>
      <c r="X43" s="1214"/>
      <c r="Y43" s="3387"/>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5">
      <c r="A48" s="1105" t="s">
        <v>1437</v>
      </c>
      <c r="B48" s="1398"/>
      <c r="C48" s="1399" t="s">
        <v>124</v>
      </c>
      <c r="D48" s="1108"/>
      <c r="E48" s="1109">
        <v>20770</v>
      </c>
      <c r="F48" s="1110"/>
      <c r="G48" s="1109">
        <v>20770</v>
      </c>
      <c r="H48" s="1112"/>
      <c r="I48" s="1109">
        <f>Sheet1!O39</f>
        <v>19277</v>
      </c>
      <c r="J48" s="1112"/>
      <c r="K48" s="1195"/>
      <c r="L48" s="1196"/>
      <c r="M48" s="1122"/>
      <c r="N48" s="1122"/>
      <c r="O48" s="1122"/>
      <c r="P48" s="3377" t="str">
        <f>A48</f>
        <v>成交单价（元/平方米）</v>
      </c>
      <c r="Q48" s="3378"/>
      <c r="R48" s="3379">
        <f>E48</f>
        <v>20770</v>
      </c>
      <c r="S48" s="3379"/>
      <c r="T48" s="3379">
        <f>G48</f>
        <v>20770</v>
      </c>
      <c r="U48" s="3379"/>
      <c r="V48" s="3379">
        <f>I48</f>
        <v>19277</v>
      </c>
      <c r="W48" s="3379"/>
      <c r="X48" s="1162"/>
      <c r="Y48" s="1229"/>
      <c r="Z48" s="1162"/>
      <c r="AA48" s="1162"/>
      <c r="AB48" s="1162"/>
      <c r="AC48" s="1067"/>
    </row>
    <row r="49" spans="1:29" ht="15">
      <c r="A49" s="1113" t="s">
        <v>1438</v>
      </c>
      <c r="B49" s="1400"/>
      <c r="C49" s="1401">
        <f>R50</f>
        <v>20777</v>
      </c>
      <c r="D49" s="1116" t="s">
        <v>1439</v>
      </c>
      <c r="E49" s="1402">
        <f>R49</f>
        <v>20363</v>
      </c>
      <c r="F49" s="1117"/>
      <c r="G49" s="1401">
        <f>T49</f>
        <v>22096</v>
      </c>
      <c r="H49" s="1117"/>
      <c r="I49" s="1402">
        <f>V49</f>
        <v>19873</v>
      </c>
      <c r="J49" s="1117"/>
      <c r="K49" s="1197">
        <f>F49+H49+J49</f>
        <v>0</v>
      </c>
      <c r="L49" s="1196"/>
      <c r="M49" s="1122"/>
      <c r="N49" s="1122"/>
      <c r="O49" s="1122"/>
      <c r="P49" s="3377" t="str">
        <f>A49</f>
        <v>比较价值（元/平方米）</v>
      </c>
      <c r="Q49" s="3378"/>
      <c r="R49" s="3379">
        <f>IF(F1="售价",ROUND(PRODUCT(R48,AA7:AA47),0),ROUND(PRODUCT(R48,AA7:AA47),1))</f>
        <v>20363</v>
      </c>
      <c r="S49" s="3379"/>
      <c r="T49" s="3379">
        <f>IF(F1="售价",ROUND(PRODUCT(T48,AB7:AB47),0),ROUND(PRODUCT(T48,AB7:AB47),1))</f>
        <v>22096</v>
      </c>
      <c r="U49" s="3379"/>
      <c r="V49" s="3379">
        <f>IF(F1="售价",ROUND(PRODUCT(V48,AC7:AC47),0),ROUND(PRODUCT(V48,AC7:AC47),1))</f>
        <v>19873</v>
      </c>
      <c r="W49" s="3379"/>
      <c r="X49" s="1162"/>
      <c r="Y49" s="1162"/>
      <c r="Z49" s="1162"/>
      <c r="AA49" s="1162"/>
      <c r="AB49" s="1162"/>
      <c r="AC49" s="1067"/>
    </row>
    <row r="50" spans="1:29" ht="15">
      <c r="A50" s="1119" t="s">
        <v>1440</v>
      </c>
      <c r="B50" s="1120"/>
      <c r="C50" s="1032">
        <f>R50</f>
        <v>20777</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20777</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1.9987231743849199E-2</v>
      </c>
      <c r="F53" s="1126" t="str">
        <f>IF(OR(E53&gt;=0.3,E53&lt;=-0.3),"超过30%","")</f>
        <v/>
      </c>
      <c r="G53" s="1125">
        <f>IF(G48&lt;G49,G49/G48-1,G48/G49-1)</f>
        <v>6.3842079922965755E-2</v>
      </c>
      <c r="H53" s="1126" t="str">
        <f>IF(OR(G53&gt;=0.3,G53&lt;=-0.3),"超过30%","")</f>
        <v/>
      </c>
      <c r="I53" s="1125">
        <f>IF(I48&lt;I49,I49/I48-1,I48/I49-1)</f>
        <v>3.0917673911915688E-2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8.51053381132445E-2</v>
      </c>
      <c r="F54" s="1126" t="str">
        <f>IF(OR(E54&gt;=0.2,E54&lt;=-0.2),"超过20%","")</f>
        <v/>
      </c>
      <c r="G54" s="1125">
        <f>IF(G49&lt;I49,I49/G49-1,G49/I49-1)</f>
        <v>0.11186031298747046</v>
      </c>
      <c r="H54" s="1126" t="str">
        <f>IF(OR(G54&gt;=0.2,G54&lt;=-0.2),"超过20%","")</f>
        <v/>
      </c>
      <c r="I54" s="1125">
        <f>IF(I49&lt;E49,E49/I49-1,I49/E49-1)</f>
        <v>2.4656569214512203E-2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7.7449810655184859E-2</v>
      </c>
      <c r="H55" s="1126" t="str">
        <f>IF(OR(G55&gt;=0.3,G55&lt;=-0.3),"超过30%","")</f>
        <v/>
      </c>
      <c r="I55" s="1125">
        <f>IF(I48&lt;E48,E48/I48-1,I48/E48-1)</f>
        <v>7.7449810655184859E-2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ht="15">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5" t="s">
        <v>1392</v>
      </c>
      <c r="Q7" s="3374"/>
      <c r="R7" s="1215" t="s">
        <v>1393</v>
      </c>
      <c r="S7" s="1216">
        <f t="shared" ref="S7:S15" si="0">F7</f>
        <v>100.5</v>
      </c>
      <c r="T7" s="1215" t="s">
        <v>1393</v>
      </c>
      <c r="U7" s="1216">
        <f t="shared" ref="U7:U15" si="1">H7</f>
        <v>100.5</v>
      </c>
      <c r="V7" s="1215" t="s">
        <v>1393</v>
      </c>
      <c r="W7" s="1216">
        <f t="shared" ref="W7:W15" si="2">J7</f>
        <v>100.5</v>
      </c>
      <c r="X7" s="1217"/>
      <c r="Y7" s="3375" t="s">
        <v>1392</v>
      </c>
      <c r="Z7" s="3376"/>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149.79</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78" t="str">
        <f>A48</f>
        <v>比较价值（元/平方米）</v>
      </c>
      <c r="Q48" s="3378"/>
      <c r="R48" s="3379">
        <f>IF(F1="售价",ROUND(PRODUCT(R47,AA7:AA46),0),ROUND(PRODUCT(R47,AA7:AA46),1))</f>
        <v>24351</v>
      </c>
      <c r="S48" s="3379"/>
      <c r="T48" s="3379">
        <f>IF(F1="售价",ROUND(PRODUCT(T47,AB7:AB46),0),ROUND(PRODUCT(T47,AB7:AB46),1))</f>
        <v>25626</v>
      </c>
      <c r="U48" s="3379"/>
      <c r="V48" s="3379">
        <f>IF(F1="售价",ROUND(PRODUCT(V47,AC7:AC46),0),ROUND(PRODUCT(V47,AC7:AC46),1))</f>
        <v>23426</v>
      </c>
      <c r="W48" s="3379"/>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24468</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277.9701</v>
      </c>
      <c r="C2" s="1826" t="s">
        <v>1187</v>
      </c>
      <c r="D2" s="1827">
        <f ca="1">C40+J29+L46</f>
        <v>2779701</v>
      </c>
      <c r="E2" s="1828" t="s">
        <v>1462</v>
      </c>
      <c r="F2" s="1829"/>
      <c r="G2" s="1830"/>
      <c r="H2" s="1831"/>
      <c r="I2" s="1831"/>
      <c r="J2" s="1831"/>
      <c r="K2" s="1986"/>
      <c r="L2" s="1831"/>
      <c r="M2" s="1831"/>
    </row>
    <row r="3" spans="1:37" ht="18" customHeight="1">
      <c r="A3" s="1832" t="s">
        <v>1188</v>
      </c>
      <c r="B3" s="1833">
        <f ca="1">IF(ISERROR(D2/F43),0,ROUND(D2/F43,0))</f>
        <v>18557</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147803</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147618</v>
      </c>
      <c r="D6" s="1847" t="s">
        <v>1463</v>
      </c>
      <c r="E6" s="1848" t="s">
        <v>1200</v>
      </c>
      <c r="F6" s="1849">
        <f ca="1">INDIRECT("'数据-取费表'!u"&amp;$G$1)</f>
        <v>3</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149.79</v>
      </c>
      <c r="G7" s="718"/>
      <c r="H7" s="1854"/>
      <c r="I7" s="3361"/>
      <c r="J7" s="1855"/>
      <c r="K7" s="1852"/>
      <c r="L7" s="1848" t="s">
        <v>1202</v>
      </c>
      <c r="M7" s="1849">
        <f ca="1">F7</f>
        <v>149.79</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185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848354</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674055</v>
      </c>
      <c r="D14" s="1879" t="s">
        <v>1215</v>
      </c>
      <c r="E14" s="1880"/>
      <c r="F14" s="1881"/>
      <c r="G14" s="718"/>
      <c r="H14" s="1877" t="s">
        <v>939</v>
      </c>
      <c r="I14" s="1848" t="s">
        <v>1216</v>
      </c>
      <c r="J14" s="950">
        <f ca="1">C29</f>
        <v>998064</v>
      </c>
      <c r="K14" s="1998"/>
      <c r="L14" s="1999"/>
      <c r="M14" s="2000"/>
    </row>
    <row r="15" spans="1:37" s="1816" customFormat="1" ht="18" customHeight="1">
      <c r="A15" s="1877" t="s">
        <v>966</v>
      </c>
      <c r="B15" s="1848" t="s">
        <v>1145</v>
      </c>
      <c r="C15" s="950">
        <f ca="1">ROUND(C14*F15,0)</f>
        <v>40443</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1996</v>
      </c>
      <c r="K16" s="1897" t="s">
        <v>1221</v>
      </c>
      <c r="L16" s="1898"/>
      <c r="M16" s="1844"/>
    </row>
    <row r="17" spans="1:37" s="1816" customFormat="1" ht="18" customHeight="1">
      <c r="A17" s="1877" t="s">
        <v>1222</v>
      </c>
      <c r="B17" s="1848" t="s">
        <v>1223</v>
      </c>
      <c r="C17" s="950">
        <f ca="1">ROUND(F17*(F43+INDIRECT("'数据-取费表'!S"&amp;$G$1)),0)</f>
        <v>29958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13481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757937</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22738</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1996</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24435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-1996</v>
      </c>
      <c r="K25" s="1916" t="s">
        <v>1259</v>
      </c>
      <c r="L25" s="1917"/>
      <c r="M25" s="1918"/>
    </row>
    <row r="26" spans="1:37" ht="18" customHeight="1">
      <c r="A26" s="1877" t="s">
        <v>962</v>
      </c>
      <c r="B26" s="1848" t="s">
        <v>1260</v>
      </c>
      <c r="C26" s="950">
        <f ca="1">ROUND((C19+C20)*F26,0)</f>
        <v>117101</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998064</v>
      </c>
      <c r="D29" s="1894"/>
      <c r="E29" s="1870"/>
      <c r="F29" s="1895"/>
      <c r="G29" s="1884"/>
      <c r="H29" s="1896" t="s">
        <v>1275</v>
      </c>
      <c r="I29" s="1925" t="s">
        <v>1276</v>
      </c>
      <c r="J29" s="1926">
        <f ca="1">ROUND(J26/(1+F40)^F41,0)</f>
        <v>0</v>
      </c>
      <c r="K29" s="1927" t="s">
        <v>1277</v>
      </c>
      <c r="L29" s="1928"/>
      <c r="M29" s="1929">
        <f ca="1">INDIRECT("'数据-取费表'!k"&amp;$G$1)</f>
        <v>149.79</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13424</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9841</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1996</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848</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739</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134379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2753038</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18379</v>
      </c>
      <c r="D43" s="1927" t="s">
        <v>1282</v>
      </c>
      <c r="E43" s="1928" t="s">
        <v>1283</v>
      </c>
      <c r="F43" s="1929">
        <f ca="1">INDIRECT("'数据-取费表'!k"&amp;$G$1)</f>
        <v>149.79</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-279.77730000000003</v>
      </c>
      <c r="D45" s="1934" t="s">
        <v>1470</v>
      </c>
      <c r="E45" s="1930"/>
      <c r="F45" s="1930"/>
      <c r="O45" s="2014" t="s">
        <v>1284</v>
      </c>
      <c r="P45" s="1920"/>
      <c r="Q45" s="1920"/>
      <c r="R45" s="1920"/>
    </row>
    <row r="46" spans="1:18" s="718" customFormat="1">
      <c r="A46" s="1935" t="s">
        <v>1285</v>
      </c>
      <c r="C46" s="1936">
        <f ca="1">ROUND(C45,0)</f>
        <v>-280</v>
      </c>
      <c r="D46" s="1937" t="str">
        <f>C2</f>
        <v>万元</v>
      </c>
      <c r="I46" s="2015" t="s">
        <v>1286</v>
      </c>
      <c r="J46" s="2016"/>
      <c r="K46" s="2017"/>
      <c r="L46" s="2018">
        <f ca="1">IF(M47="住宅",0,IF(L48&gt;J51,L60,J60))</f>
        <v>26663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2753038</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26663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998064</v>
      </c>
      <c r="R49" s="2063" t="s">
        <v>1294</v>
      </c>
    </row>
    <row r="50" spans="1:18" s="718" customFormat="1">
      <c r="A50" s="1953"/>
      <c r="B50" s="915"/>
      <c r="C50" s="1954"/>
      <c r="D50" s="1955"/>
      <c r="E50" s="1956" t="s">
        <v>1202</v>
      </c>
      <c r="F50" s="1957">
        <f ca="1">F7</f>
        <v>149.79</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1375317</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58" t="s">
        <v>1322</v>
      </c>
      <c r="L53" s="3359"/>
      <c r="O53" s="2026" t="s">
        <v>1147</v>
      </c>
      <c r="P53" s="2027" t="s">
        <v>1323</v>
      </c>
      <c r="Q53" s="2063">
        <f ca="1">Q47+Q48</f>
        <v>2779701</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0.22600000000000001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848354</v>
      </c>
      <c r="D56" s="1967"/>
      <c r="E56" s="1968"/>
      <c r="F56" s="1964"/>
      <c r="I56" s="2051" t="s">
        <v>1328</v>
      </c>
      <c r="J56" s="2052" t="s">
        <v>534</v>
      </c>
      <c r="K56" s="2028" t="s">
        <v>1329</v>
      </c>
      <c r="L56" s="2031" t="str">
        <f ca="1">IF(L48&lt;J51,"——",L48-J51)</f>
        <v>——</v>
      </c>
      <c r="O56" s="2026" t="s">
        <v>1044</v>
      </c>
      <c r="P56" s="2027" t="s">
        <v>1293</v>
      </c>
      <c r="Q56" s="2063">
        <f ca="1">C40+J29</f>
        <v>2753038</v>
      </c>
      <c r="R56" s="2063" t="s">
        <v>1294</v>
      </c>
    </row>
    <row r="57" spans="1:18" s="718" customFormat="1" ht="24">
      <c r="A57" s="1969"/>
      <c r="B57" s="1970" t="s">
        <v>1274</v>
      </c>
      <c r="C57" s="386">
        <f ca="1">C29</f>
        <v>998064</v>
      </c>
      <c r="D57" s="1971"/>
      <c r="E57" s="1972"/>
      <c r="F57" s="1973"/>
      <c r="I57" s="2053" t="s">
        <v>1330</v>
      </c>
      <c r="J57" s="2054">
        <f ca="1">IF(OR(M47="住宅",J51&lt;L48,J56="是"),"——",J51-L48)</f>
        <v>13.579999999999998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2844</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399226</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5.5000000000000007E-2</v>
      </c>
      <c r="I60" s="2056" t="s">
        <v>1339</v>
      </c>
      <c r="J60" s="2057">
        <f ca="1">IF(OR(M47="住宅",J51&lt;L48,J56="是"),"0",ROUND(J59/(1+J52)^J53,0))</f>
        <v>26663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2753038</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1996</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848</v>
      </c>
      <c r="D65" s="1978" t="s">
        <v>1251</v>
      </c>
      <c r="E65" s="1970" t="s">
        <v>1218</v>
      </c>
      <c r="F65" s="1914">
        <f t="shared" ca="1" si="0"/>
        <v>1E-3</v>
      </c>
      <c r="I65" s="2059" t="s">
        <v>1352</v>
      </c>
      <c r="J65" s="1139">
        <v>40</v>
      </c>
      <c r="K65" s="1139">
        <v>30</v>
      </c>
      <c r="L65" s="1139">
        <v>50</v>
      </c>
      <c r="M65" s="2061">
        <v>0.02</v>
      </c>
      <c r="O65" s="2026" t="s">
        <v>1044</v>
      </c>
      <c r="P65" s="2027" t="s">
        <v>1293</v>
      </c>
      <c r="Q65" s="2063">
        <f ca="1">C40+J29</f>
        <v>2753038</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-2844</v>
      </c>
      <c r="D67" s="1977" t="s">
        <v>1259</v>
      </c>
      <c r="E67" s="2066"/>
      <c r="F67" s="2067"/>
      <c r="O67" s="2034" t="s">
        <v>1305</v>
      </c>
      <c r="P67" s="2027" t="s">
        <v>1336</v>
      </c>
      <c r="Q67" s="2087">
        <f ca="1">L51</f>
        <v>1375317</v>
      </c>
      <c r="R67" s="2063" t="s">
        <v>1353</v>
      </c>
    </row>
    <row r="68" spans="1:18" s="718" customFormat="1" ht="15.75">
      <c r="A68" s="2068" t="s">
        <v>1263</v>
      </c>
      <c r="B68" s="2069" t="s">
        <v>1280</v>
      </c>
      <c r="C68" s="1919">
        <f ca="1">ROUND(C67*(1-((1+F70)/(1+F68))^F69)/(F68-F70),0)</f>
        <v>-44735</v>
      </c>
      <c r="D68" s="1980" t="s">
        <v>1265</v>
      </c>
      <c r="E68" s="1970" t="s">
        <v>1266</v>
      </c>
      <c r="F68" s="1856">
        <f ca="1">F40</f>
        <v>5.5E-2</v>
      </c>
      <c r="O68" s="2034" t="s">
        <v>1309</v>
      </c>
      <c r="P68" s="2086" t="s">
        <v>1354</v>
      </c>
      <c r="Q68" s="2063">
        <f ca="1">ROUND(Q69-Q70*Q71,0)</f>
        <v>74994</v>
      </c>
      <c r="R68" s="2063" t="s">
        <v>1355</v>
      </c>
    </row>
    <row r="69" spans="1:18" s="718" customFormat="1">
      <c r="A69" s="2070"/>
      <c r="B69" s="2071"/>
      <c r="C69" s="1855"/>
      <c r="D69" s="2072" t="s">
        <v>1269</v>
      </c>
      <c r="E69" s="1970" t="s">
        <v>1270</v>
      </c>
      <c r="F69" s="1923">
        <f ca="1">F41</f>
        <v>37.42</v>
      </c>
      <c r="O69" s="2034" t="s">
        <v>1356</v>
      </c>
      <c r="P69" s="2086" t="s">
        <v>1357</v>
      </c>
      <c r="Q69" s="2063">
        <f ca="1">C39</f>
        <v>134379</v>
      </c>
      <c r="R69" s="2063" t="s">
        <v>1294</v>
      </c>
    </row>
    <row r="70" spans="1:18" s="718" customFormat="1">
      <c r="A70" s="2073"/>
      <c r="B70" s="2074"/>
      <c r="C70" s="1874"/>
      <c r="D70" s="1982"/>
      <c r="E70" s="1970" t="s">
        <v>1273</v>
      </c>
      <c r="F70" s="1960"/>
      <c r="O70" s="2034" t="s">
        <v>1358</v>
      </c>
      <c r="P70" s="2086" t="s">
        <v>1359</v>
      </c>
      <c r="Q70" s="2063">
        <f ca="1">C13</f>
        <v>848354</v>
      </c>
      <c r="R70" s="2063" t="s">
        <v>1294</v>
      </c>
    </row>
    <row r="71" spans="1:18" s="718" customFormat="1">
      <c r="A71" s="2075" t="s">
        <v>1275</v>
      </c>
      <c r="B71" s="2076" t="s">
        <v>1281</v>
      </c>
      <c r="C71" s="1926">
        <f ca="1">ROUND(C68/F71,0)</f>
        <v>-299</v>
      </c>
      <c r="D71" s="2077" t="s">
        <v>1282</v>
      </c>
      <c r="E71" s="2078" t="s">
        <v>1283</v>
      </c>
      <c r="F71" s="1929">
        <f ca="1">F43</f>
        <v>149.79</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59385</v>
      </c>
      <c r="D75" s="718"/>
      <c r="E75" s="718"/>
      <c r="F75" s="718"/>
      <c r="K75" s="2013"/>
      <c r="L75" s="718"/>
      <c r="O75" s="2026" t="s">
        <v>1147</v>
      </c>
      <c r="P75" s="2027" t="s">
        <v>1323</v>
      </c>
      <c r="Q75" s="2063">
        <f ca="1">Q65+Q66</f>
        <v>2753038</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0.55800000000000005</v>
      </c>
    </row>
    <row r="80" spans="1:18">
      <c r="B80" s="2080" t="s">
        <v>1369</v>
      </c>
      <c r="C80" s="419">
        <f ca="1">ROUND(C75/C39,3)</f>
        <v>0.442</v>
      </c>
    </row>
    <row r="81" spans="2:3">
      <c r="B81" s="416" t="s">
        <v>1370</v>
      </c>
      <c r="C81" s="386"/>
    </row>
    <row r="82" spans="2:3">
      <c r="B82" s="418" t="s">
        <v>1123</v>
      </c>
      <c r="C82" s="420">
        <f ca="1">1-C83</f>
        <v>0.69199999999999995</v>
      </c>
    </row>
    <row r="83" spans="2:3">
      <c r="B83" s="418" t="s">
        <v>1124</v>
      </c>
      <c r="C83" s="419">
        <f ca="1">ROUND(C13/C40,3)</f>
        <v>0.308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15"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15"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277.9701</v>
      </c>
      <c r="C2" s="1629" t="s">
        <v>1590</v>
      </c>
      <c r="D2" s="1630" t="s">
        <v>1591</v>
      </c>
      <c r="E2" s="1631">
        <f>SUM(E6:E13)</f>
        <v>149.79</v>
      </c>
      <c r="F2" s="1627"/>
      <c r="G2" s="1507"/>
      <c r="H2" s="1507"/>
      <c r="I2" s="1507"/>
      <c r="J2" s="1507"/>
      <c r="K2" s="1507"/>
      <c r="L2" s="1507"/>
      <c r="M2" s="1507"/>
      <c r="N2" s="1507"/>
      <c r="O2" s="1507"/>
      <c r="P2" s="1507"/>
      <c r="Q2" s="1507"/>
      <c r="R2" s="1507"/>
      <c r="S2" s="1507"/>
    </row>
    <row r="3" spans="1:22" ht="15.75">
      <c r="A3" s="1628" t="s">
        <v>1031</v>
      </c>
      <c r="B3" s="1632">
        <f ca="1">ROUND(B2*10000/E2,0)</f>
        <v>18557</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277.9701</v>
      </c>
      <c r="C6" s="1629" t="s">
        <v>1590</v>
      </c>
      <c r="D6" s="1627"/>
      <c r="E6" s="1639">
        <f>IF(OR(A6=0,F6="否"),0,'数据-取费表'!K6+'数据-取费表'!S6)</f>
        <v>149.79</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149.79</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ht="15">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149.79</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估价对象为北京市房地产，为所有。根据《国有土地使用证》[]，估价对象（分摊）出让国有建设用地使用权面积为0平方米，建筑面积为149.79平方米。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估价对象为北京市房地产,属开发建设的办公项目，该项目尚在开发建设中。根据《国有土地使用证》[]，估价对象（分摊）出让国有建设用地使用权面积为0平方米，规划建筑面积为149.79平方米。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78"/>
      <c r="Q10" s="794" t="str">
        <f t="shared" si="6"/>
        <v>土地使用年限（年）</v>
      </c>
      <c r="R10" s="1215" t="s">
        <v>1393</v>
      </c>
      <c r="S10" s="1216">
        <f t="shared" si="0"/>
        <v>109</v>
      </c>
      <c r="T10" s="1215" t="s">
        <v>1393</v>
      </c>
      <c r="U10" s="1216">
        <f t="shared" si="1"/>
        <v>109</v>
      </c>
      <c r="V10" s="1215" t="s">
        <v>1393</v>
      </c>
      <c r="W10" s="1216">
        <f t="shared" si="2"/>
        <v>109</v>
      </c>
      <c r="X10" s="1217"/>
      <c r="Y10" s="3349"/>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149.79</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149.79</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78"/>
      <c r="Q10" s="794" t="str">
        <f t="shared" si="6"/>
        <v>土地使用年限（年）</v>
      </c>
      <c r="R10" s="1215" t="s">
        <v>1393</v>
      </c>
      <c r="S10" s="1216">
        <f t="shared" si="0"/>
        <v>109</v>
      </c>
      <c r="T10" s="1215" t="s">
        <v>1393</v>
      </c>
      <c r="U10" s="1216">
        <f t="shared" si="1"/>
        <v>109</v>
      </c>
      <c r="V10" s="1215" t="s">
        <v>1393</v>
      </c>
      <c r="W10" s="1216">
        <f t="shared" si="2"/>
        <v>109</v>
      </c>
      <c r="X10" s="1217"/>
      <c r="Y10" s="3349"/>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149.79</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607</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19694</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308.22000000000003</v>
      </c>
      <c r="C22" s="3457" t="s">
        <v>124</v>
      </c>
      <c r="D22" s="3458"/>
      <c r="E22" s="3458"/>
      <c r="F22" s="3458"/>
      <c r="G22" s="3458"/>
      <c r="H22" s="3458"/>
      <c r="I22" s="3458"/>
      <c r="J22" s="3458"/>
      <c r="K22" s="3458"/>
      <c r="L22" s="3458"/>
      <c r="M22" s="3458"/>
      <c r="N22" s="3458"/>
      <c r="O22" s="3458"/>
      <c r="P22" s="3458"/>
      <c r="Q22" s="3459"/>
      <c r="R22" s="950">
        <f ca="1">ROUND(S22*10000/B22,0)</f>
        <v>19694</v>
      </c>
      <c r="S22" s="950">
        <f ca="1">SUM(S24:S10000)</f>
        <v>607</v>
      </c>
      <c r="T22" s="898">
        <f ca="1">T24+T25</f>
        <v>6061763</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149.79</v>
      </c>
      <c r="C24" s="955">
        <v>1</v>
      </c>
      <c r="D24" s="956"/>
      <c r="E24" s="955">
        <v>1</v>
      </c>
      <c r="F24" s="956"/>
      <c r="G24" s="955">
        <v>1</v>
      </c>
      <c r="H24" s="956"/>
      <c r="I24" s="955">
        <v>1</v>
      </c>
      <c r="J24" s="956"/>
      <c r="K24" s="955">
        <v>1</v>
      </c>
      <c r="L24" s="956"/>
      <c r="M24" s="955">
        <v>1</v>
      </c>
      <c r="N24" s="956"/>
      <c r="O24" s="955">
        <v>1</v>
      </c>
      <c r="P24" s="956"/>
      <c r="Q24" s="955">
        <v>1</v>
      </c>
      <c r="R24" s="954">
        <f ca="1">结果表!C32</f>
        <v>19667</v>
      </c>
      <c r="S24" s="1005">
        <f t="shared" ref="S24:S54" ca="1" si="11">ROUND(R24*B24/10000,0)</f>
        <v>295</v>
      </c>
      <c r="T24" s="1006">
        <f ca="1">ROUND(R24*B24,0)</f>
        <v>2945920</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19667</v>
      </c>
      <c r="S25" s="949">
        <f t="shared" ca="1" si="11"/>
        <v>312</v>
      </c>
      <c r="T25" s="1006">
        <f ca="1">ROUND(R25*B25,0)</f>
        <v>3115843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149.79</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149.79</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149.79</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149.79</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149.79</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3.5">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13.5">
      <c r="A87" s="465">
        <v>13</v>
      </c>
      <c r="B87" s="3489"/>
      <c r="C87" s="454" t="s">
        <v>2005</v>
      </c>
      <c r="D87" s="454" t="s">
        <v>2006</v>
      </c>
      <c r="E87" s="465">
        <v>0.1</v>
      </c>
      <c r="F87" s="465">
        <v>15</v>
      </c>
    </row>
    <row r="88" spans="1:6" ht="13.5">
      <c r="A88" s="465">
        <v>14</v>
      </c>
      <c r="B88" s="3489"/>
      <c r="C88" s="454" t="s">
        <v>2007</v>
      </c>
      <c r="D88" s="454" t="s">
        <v>2008</v>
      </c>
      <c r="E88" s="465">
        <v>0.1</v>
      </c>
      <c r="F88" s="465">
        <v>15</v>
      </c>
    </row>
    <row r="89" spans="1:6" ht="13.5">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3.5">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3.5">
      <c r="A94" s="465">
        <v>20</v>
      </c>
      <c r="B94" s="3489"/>
      <c r="C94" s="454" t="s">
        <v>2020</v>
      </c>
      <c r="D94" s="454" t="s">
        <v>2021</v>
      </c>
      <c r="E94" s="465">
        <v>0.15</v>
      </c>
      <c r="F94" s="465">
        <v>20</v>
      </c>
    </row>
    <row r="95" spans="1:6" ht="13.5">
      <c r="A95" s="465">
        <v>21</v>
      </c>
      <c r="B95" s="3489"/>
      <c r="C95" s="454" t="s">
        <v>2022</v>
      </c>
      <c r="D95" s="454" t="s">
        <v>2023</v>
      </c>
      <c r="E95" s="465">
        <v>0.15</v>
      </c>
      <c r="F95" s="465">
        <v>20</v>
      </c>
    </row>
    <row r="96" spans="1:6" ht="13.5">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13.5">
      <c r="A98" s="465">
        <v>24</v>
      </c>
      <c r="B98" s="3489"/>
      <c r="C98" s="454" t="s">
        <v>2028</v>
      </c>
      <c r="D98" s="454" t="s">
        <v>2029</v>
      </c>
      <c r="E98" s="465">
        <v>0.1</v>
      </c>
      <c r="F98" s="465">
        <v>15</v>
      </c>
    </row>
    <row r="99" spans="1:6" ht="13.5">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13.5">
      <c r="A102" s="465">
        <v>28</v>
      </c>
      <c r="B102" s="3489"/>
      <c r="C102" s="454" t="s">
        <v>2036</v>
      </c>
      <c r="D102" s="454" t="s">
        <v>2037</v>
      </c>
      <c r="E102" s="465">
        <v>0.1</v>
      </c>
      <c r="F102" s="465">
        <v>15</v>
      </c>
    </row>
    <row r="103" spans="1:6" ht="13.5">
      <c r="A103" s="465">
        <v>29</v>
      </c>
      <c r="B103" s="3489"/>
      <c r="C103" s="454" t="s">
        <v>2038</v>
      </c>
      <c r="D103" s="454" t="s">
        <v>2039</v>
      </c>
      <c r="E103" s="465">
        <v>0.1</v>
      </c>
      <c r="F103" s="465">
        <v>15</v>
      </c>
    </row>
    <row r="104" spans="1:6" ht="13.5">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24">
      <c r="A109" s="465">
        <v>35</v>
      </c>
      <c r="B109" s="3490" t="s">
        <v>2050</v>
      </c>
      <c r="C109" s="465" t="s">
        <v>2051</v>
      </c>
      <c r="D109" s="454" t="s">
        <v>2052</v>
      </c>
      <c r="E109" s="465">
        <v>0.15</v>
      </c>
      <c r="F109" s="465">
        <v>20</v>
      </c>
    </row>
    <row r="110" spans="1:6" ht="13.5">
      <c r="A110" s="465">
        <v>36</v>
      </c>
      <c r="B110" s="3489"/>
      <c r="C110" s="465" t="s">
        <v>2053</v>
      </c>
      <c r="D110" s="454" t="s">
        <v>2054</v>
      </c>
      <c r="E110" s="465">
        <v>0.15</v>
      </c>
      <c r="F110" s="465">
        <v>20</v>
      </c>
    </row>
    <row r="111" spans="1:6" ht="13.5">
      <c r="A111" s="465">
        <v>37</v>
      </c>
      <c r="B111" s="3489"/>
      <c r="C111" s="465" t="s">
        <v>2055</v>
      </c>
      <c r="D111" s="454" t="s">
        <v>2056</v>
      </c>
      <c r="E111" s="465">
        <v>0.15</v>
      </c>
      <c r="F111" s="465">
        <v>20</v>
      </c>
    </row>
    <row r="112" spans="1:6" ht="13.5">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13.5">
      <c r="A115" s="465">
        <v>41</v>
      </c>
      <c r="B115" s="3486" t="s">
        <v>2063</v>
      </c>
      <c r="C115" s="465" t="s">
        <v>2064</v>
      </c>
      <c r="D115" s="454" t="s">
        <v>2065</v>
      </c>
      <c r="E115" s="465">
        <v>0.1</v>
      </c>
      <c r="F115" s="465">
        <v>15</v>
      </c>
    </row>
    <row r="116" spans="1:6" ht="13.5">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13.5">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13.5">
      <c r="A122" s="465">
        <v>48</v>
      </c>
      <c r="B122" s="3490" t="s">
        <v>2080</v>
      </c>
      <c r="C122" s="465" t="s">
        <v>2081</v>
      </c>
      <c r="D122" s="454" t="s">
        <v>2082</v>
      </c>
      <c r="E122" s="465">
        <v>0.1</v>
      </c>
      <c r="F122" s="465">
        <v>15</v>
      </c>
    </row>
    <row r="123" spans="1:6" ht="13.5">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6" t="s">
        <v>2098</v>
      </c>
      <c r="C129" s="465" t="s">
        <v>2099</v>
      </c>
      <c r="D129" s="454" t="s">
        <v>2100</v>
      </c>
      <c r="E129" s="465">
        <v>0.1</v>
      </c>
      <c r="F129" s="465">
        <v>15</v>
      </c>
    </row>
    <row r="130" spans="1:6" ht="13.5">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13.5">
      <c r="A133" s="465">
        <v>59</v>
      </c>
      <c r="B133" s="3486"/>
      <c r="C133" s="465" t="s">
        <v>2108</v>
      </c>
      <c r="D133" s="454" t="s">
        <v>2109</v>
      </c>
      <c r="E133" s="465">
        <v>0.1</v>
      </c>
      <c r="F133" s="465">
        <v>15</v>
      </c>
    </row>
    <row r="134" spans="1:6" ht="13.5">
      <c r="A134" s="465">
        <v>60</v>
      </c>
      <c r="B134" s="3490" t="s">
        <v>2110</v>
      </c>
      <c r="C134" s="465" t="s">
        <v>2111</v>
      </c>
      <c r="D134" s="454" t="s">
        <v>2112</v>
      </c>
      <c r="E134" s="465">
        <v>0.1</v>
      </c>
      <c r="F134" s="465">
        <v>15</v>
      </c>
    </row>
    <row r="135" spans="1:6" ht="13.5">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6" t="s">
        <v>2118</v>
      </c>
      <c r="C137" s="465" t="s">
        <v>2119</v>
      </c>
      <c r="D137" s="454" t="s">
        <v>2120</v>
      </c>
      <c r="E137" s="465">
        <v>0.1</v>
      </c>
      <c r="F137" s="465">
        <v>15</v>
      </c>
    </row>
    <row r="138" spans="1:6" ht="13.5">
      <c r="A138" s="465">
        <v>64</v>
      </c>
      <c r="B138" s="3486"/>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27945</v>
      </c>
      <c r="C2" s="345" t="s">
        <v>1470</v>
      </c>
      <c r="D2" s="342"/>
      <c r="E2" s="342"/>
      <c r="F2" s="342"/>
      <c r="G2" s="342"/>
    </row>
    <row r="3" spans="1:7" s="331" customFormat="1" ht="18" customHeight="1">
      <c r="A3" s="346" t="s">
        <v>2140</v>
      </c>
      <c r="B3" s="347">
        <f ca="1">ROUND(B2*10000/'数据-汇总表'!E3,0)</f>
        <v>1865612</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149.79</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149.79</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75</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67</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149.79</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98</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83</v>
      </c>
      <c r="D51" s="376"/>
      <c r="E51" s="376"/>
      <c r="F51" s="411"/>
      <c r="G51" s="381" t="s">
        <v>2212</v>
      </c>
    </row>
    <row r="52" spans="1:7" s="332" customFormat="1" ht="15.75">
      <c r="A52" s="412" t="s">
        <v>2213</v>
      </c>
      <c r="B52" s="413"/>
      <c r="C52" s="414">
        <f ca="1">C31+C51</f>
        <v>27945</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295</v>
      </c>
    </row>
    <row r="6" spans="1:5" ht="15.75">
      <c r="B6" s="3175"/>
      <c r="C6" s="3119" t="s">
        <v>98</v>
      </c>
      <c r="D6" s="3120" t="str">
        <f ca="1">NUMBERSTRING(INT(D5*10000),2)&amp;"元整"</f>
        <v>贰佰玖拾伍万元整</v>
      </c>
    </row>
    <row r="7" spans="1:5" ht="15.75">
      <c r="B7" s="3176"/>
      <c r="C7" s="3121" t="s">
        <v>99</v>
      </c>
      <c r="D7" s="3122">
        <f ca="1">结果表!H102</f>
        <v>19667</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295</v>
      </c>
    </row>
    <row r="14" spans="1:5" ht="15.75">
      <c r="B14" s="3175"/>
      <c r="C14" s="3119" t="s">
        <v>98</v>
      </c>
      <c r="D14" s="3120" t="str">
        <f ca="1">NUMBERSTRING(INT(D13*10000),2)&amp;"元整"</f>
        <v>贰佰玖拾伍万元整</v>
      </c>
    </row>
    <row r="15" spans="1:5" ht="15">
      <c r="B15" s="3176"/>
      <c r="C15" s="3121" t="s">
        <v>99</v>
      </c>
      <c r="D15" s="3129">
        <f ca="1">结果表!H108</f>
        <v>19667</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31" workbookViewId="0">
      <selection activeCell="A39" sqref="A39:XFD42"/>
    </sheetView>
  </sheetViews>
  <sheetFormatPr defaultRowHeight="13.5"/>
  <cols>
    <col min="1" max="1" width="10.5" bestFit="1" customWidth="1"/>
  </cols>
  <sheetData>
    <row r="36" spans="1:15">
      <c r="A36" t="s">
        <v>2805</v>
      </c>
      <c r="B36" t="s">
        <v>2806</v>
      </c>
      <c r="C36" t="s">
        <v>2807</v>
      </c>
      <c r="D36" t="s">
        <v>2808</v>
      </c>
      <c r="E36" t="s">
        <v>2809</v>
      </c>
      <c r="F36" t="s">
        <v>2810</v>
      </c>
      <c r="G36" t="s">
        <v>2811</v>
      </c>
      <c r="H36" t="s">
        <v>2812</v>
      </c>
      <c r="I36" t="s">
        <v>2813</v>
      </c>
      <c r="J36" t="s">
        <v>2814</v>
      </c>
      <c r="K36" t="s">
        <v>2815</v>
      </c>
      <c r="L36" t="s">
        <v>2816</v>
      </c>
      <c r="M36" t="s">
        <v>2817</v>
      </c>
      <c r="N36" t="s">
        <v>2818</v>
      </c>
      <c r="O36" t="s">
        <v>2819</v>
      </c>
    </row>
    <row r="37" spans="1:15">
      <c r="A37" s="3511">
        <v>45787.333831018521</v>
      </c>
      <c r="B37" t="s">
        <v>2820</v>
      </c>
      <c r="C37" t="s">
        <v>2820</v>
      </c>
      <c r="D37" t="s">
        <v>2821</v>
      </c>
      <c r="E37">
        <v>1</v>
      </c>
      <c r="F37">
        <v>11</v>
      </c>
      <c r="G37">
        <v>10</v>
      </c>
      <c r="H37">
        <v>1011</v>
      </c>
      <c r="I37" t="s">
        <v>2822</v>
      </c>
      <c r="J37" t="s">
        <v>230</v>
      </c>
      <c r="K37" t="s">
        <v>2823</v>
      </c>
      <c r="L37">
        <v>1</v>
      </c>
      <c r="M37">
        <v>361.7</v>
      </c>
      <c r="N37">
        <v>751.25</v>
      </c>
      <c r="O37">
        <v>20770</v>
      </c>
    </row>
    <row r="38" spans="1:15">
      <c r="A38" s="3511">
        <v>45839.333831018521</v>
      </c>
      <c r="B38" t="s">
        <v>2820</v>
      </c>
      <c r="C38" t="s">
        <v>2820</v>
      </c>
      <c r="D38" t="s">
        <v>2821</v>
      </c>
      <c r="E38">
        <v>1</v>
      </c>
      <c r="F38">
        <v>11</v>
      </c>
      <c r="G38">
        <v>4</v>
      </c>
      <c r="H38">
        <v>407</v>
      </c>
      <c r="I38" t="s">
        <v>2822</v>
      </c>
      <c r="J38" t="s">
        <v>230</v>
      </c>
      <c r="K38" t="s">
        <v>2823</v>
      </c>
      <c r="L38">
        <v>1</v>
      </c>
      <c r="M38">
        <v>158.43</v>
      </c>
      <c r="N38">
        <v>329.06</v>
      </c>
      <c r="O38">
        <v>20770</v>
      </c>
    </row>
    <row r="39" spans="1:15">
      <c r="A39" s="3511">
        <v>45930.333831018521</v>
      </c>
      <c r="B39" t="s">
        <v>2820</v>
      </c>
      <c r="C39" t="s">
        <v>2820</v>
      </c>
      <c r="D39" t="s">
        <v>2824</v>
      </c>
      <c r="E39">
        <v>1</v>
      </c>
      <c r="F39">
        <v>11</v>
      </c>
      <c r="G39">
        <v>7</v>
      </c>
      <c r="H39">
        <v>701</v>
      </c>
      <c r="I39" t="s">
        <v>2825</v>
      </c>
      <c r="J39" t="s">
        <v>230</v>
      </c>
      <c r="K39" t="s">
        <v>2823</v>
      </c>
      <c r="L39">
        <v>1</v>
      </c>
      <c r="M39">
        <v>128.76</v>
      </c>
      <c r="N39">
        <v>248.21</v>
      </c>
      <c r="O39">
        <v>19277</v>
      </c>
    </row>
    <row r="40" spans="1:15">
      <c r="A40" s="3511">
        <v>45930.333831018521</v>
      </c>
      <c r="B40" t="s">
        <v>2820</v>
      </c>
      <c r="C40" t="s">
        <v>2820</v>
      </c>
      <c r="D40" t="s">
        <v>2824</v>
      </c>
      <c r="E40">
        <v>1</v>
      </c>
      <c r="F40">
        <v>11</v>
      </c>
      <c r="G40">
        <v>7</v>
      </c>
      <c r="H40">
        <v>703</v>
      </c>
      <c r="I40" t="s">
        <v>2825</v>
      </c>
      <c r="J40" t="s">
        <v>230</v>
      </c>
      <c r="K40" t="s">
        <v>2823</v>
      </c>
      <c r="L40">
        <v>1</v>
      </c>
      <c r="M40">
        <v>168.83</v>
      </c>
      <c r="N40">
        <v>325.45</v>
      </c>
      <c r="O40">
        <v>19277</v>
      </c>
    </row>
    <row r="41" spans="1:15">
      <c r="A41" s="3511">
        <v>45930.333831018521</v>
      </c>
      <c r="B41" t="s">
        <v>2820</v>
      </c>
      <c r="C41" t="s">
        <v>2820</v>
      </c>
      <c r="D41" t="s">
        <v>2821</v>
      </c>
      <c r="E41">
        <v>1</v>
      </c>
      <c r="F41">
        <v>11</v>
      </c>
      <c r="G41">
        <v>3</v>
      </c>
      <c r="H41">
        <v>312</v>
      </c>
      <c r="I41" t="s">
        <v>2822</v>
      </c>
      <c r="J41" t="s">
        <v>230</v>
      </c>
      <c r="K41" t="s">
        <v>2823</v>
      </c>
      <c r="L41">
        <v>1</v>
      </c>
      <c r="M41">
        <v>148.6</v>
      </c>
      <c r="N41">
        <v>286.45999999999998</v>
      </c>
      <c r="O41">
        <v>19277</v>
      </c>
    </row>
    <row r="42" spans="1:15">
      <c r="A42" s="3511">
        <v>45930.333831018521</v>
      </c>
      <c r="B42" t="s">
        <v>2820</v>
      </c>
      <c r="C42" t="s">
        <v>2820</v>
      </c>
      <c r="D42" t="s">
        <v>2821</v>
      </c>
      <c r="E42">
        <v>1</v>
      </c>
      <c r="F42">
        <v>11</v>
      </c>
      <c r="G42">
        <v>3</v>
      </c>
      <c r="H42">
        <v>301</v>
      </c>
      <c r="I42" t="s">
        <v>2822</v>
      </c>
      <c r="J42" t="s">
        <v>230</v>
      </c>
      <c r="K42" t="s">
        <v>2823</v>
      </c>
      <c r="L42">
        <v>1</v>
      </c>
      <c r="M42">
        <v>158.07</v>
      </c>
      <c r="N42">
        <v>304.70999999999998</v>
      </c>
      <c r="O42">
        <v>19277</v>
      </c>
    </row>
    <row r="43" spans="1:15">
      <c r="A43" s="3511"/>
    </row>
    <row r="44" spans="1:15">
      <c r="A44" s="3511"/>
    </row>
    <row r="45" spans="1:15">
      <c r="A45" s="3511"/>
    </row>
    <row r="46" spans="1:15">
      <c r="A46" s="3511"/>
    </row>
    <row r="47" spans="1:15">
      <c r="A47" s="3511"/>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149.79</v>
      </c>
      <c r="C4" s="3113">
        <f>项目基本情况!C18</f>
        <v>0</v>
      </c>
      <c r="D4" s="3113" t="e">
        <f ca="1">结果表!D118</f>
        <v>#REF!</v>
      </c>
      <c r="E4" s="3113" t="e">
        <f ca="1">结果表!E118</f>
        <v>#REF!</v>
      </c>
      <c r="F4" s="3113" t="e">
        <f ca="1">结果表!F118</f>
        <v>#REF!</v>
      </c>
      <c r="G4" s="3113" t="e">
        <f ca="1">结果表!G118</f>
        <v>#REF!</v>
      </c>
      <c r="H4" s="3113">
        <f ca="1">结果表!H118</f>
        <v>295</v>
      </c>
      <c r="I4" s="3113">
        <f ca="1">结果表!I118</f>
        <v>19667</v>
      </c>
    </row>
    <row r="5" spans="1:9" ht="30" customHeight="1">
      <c r="A5" s="3186" t="s">
        <v>112</v>
      </c>
      <c r="B5" s="3186"/>
      <c r="C5" s="3186"/>
      <c r="D5" s="3186" t="e">
        <f ca="1">结果表!D119</f>
        <v>#REF!</v>
      </c>
      <c r="E5" s="3186"/>
      <c r="F5" s="3186" t="e">
        <f ca="1">结果表!F119</f>
        <v>#REF!</v>
      </c>
      <c r="G5" s="3186"/>
      <c r="H5" s="3186" t="str">
        <f ca="1">结果表!H119</f>
        <v>贰佰玖拾伍万元整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295</v>
      </c>
      <c r="E8" s="3187"/>
      <c r="F8" s="3187"/>
      <c r="G8" s="3187"/>
      <c r="H8" s="3187"/>
      <c r="I8" s="3187"/>
    </row>
    <row r="9" spans="1:9" ht="15">
      <c r="A9" s="3186" t="s">
        <v>112</v>
      </c>
      <c r="B9" s="3186"/>
      <c r="C9" s="3186"/>
      <c r="D9" s="3186" t="str">
        <f ca="1">结果表!D123</f>
        <v>贰佰玖拾伍万元整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2025-11-17T06:59:06Z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