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KG\Desktop\"/>
    </mc:Choice>
  </mc:AlternateContent>
  <xr:revisionPtr revIDLastSave="0" documentId="13_ncr:1_{DE45F3E6-6A2C-4E25-B7AB-DDFFF1668AB3}" xr6:coauthVersionLast="45" xr6:coauthVersionMax="45" xr10:uidLastSave="{00000000-0000-0000-0000-000000000000}"/>
  <bookViews>
    <workbookView xWindow="-120" yWindow="-120" windowWidth="20730" windowHeight="1116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r:id="rId17"/>
    <sheet name="比较法-商业租金" sheetId="33" r:id="rId18"/>
    <sheet name="比较法-商业售价" sheetId="84" r:id="rId19"/>
    <sheet name="收益法倒推" sheetId="81" r:id="rId20"/>
    <sheet name="案例" sheetId="82" r:id="rId21"/>
    <sheet name="比较法-办公" sheetId="34" r:id="rId22"/>
    <sheet name="系统读取表" sheetId="74" r:id="rId23"/>
    <sheet name="结果表" sheetId="9" r:id="rId24"/>
    <sheet name="成本法" sheetId="68" r:id="rId25"/>
    <sheet name="成本法 (元)" sheetId="69" r:id="rId26"/>
    <sheet name="假设开发法" sheetId="12" r:id="rId27"/>
    <sheet name="收益法" sheetId="15" r:id="rId28"/>
    <sheet name="收益法 (元)" sheetId="67" r:id="rId29"/>
    <sheet name="收益法-酒店模型" sheetId="77" r:id="rId30"/>
    <sheet name="收益法（汇总）" sheetId="70" r:id="rId31"/>
    <sheet name="比较法-住宅" sheetId="21"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'比较法-商业售价'!$A$1:$L$49</definedName>
    <definedName name="_xlnm._FilterDatabase" localSheetId="17" hidden="1">'比较法-商业租金'!$A$1:$L$49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'比较法-商业售价'!$A$1:$K$54,'比较法-商业售价'!$A$57:$M$131</definedName>
    <definedName name="_xlnm.Print_Area" localSheetId="17">'比较法-商业租金'!$A$1:$K$54,'比较法-商业租金'!$A$57:$M$131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3">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8">'比较法-商业售价'!$B$116:$M$116</definedName>
    <definedName name="商业层高">'比较法-商业租金'!$B$116:$M$116</definedName>
    <definedName name="商业成新度" localSheetId="18">'比较法-商业售价'!$B$109:$M$109</definedName>
    <definedName name="商业成新度">'比较法-商业租金'!$B$109:$M$109</definedName>
    <definedName name="商业繁华度">定义!$L$1:$L$6</definedName>
    <definedName name="商业公共部分装修" localSheetId="18">'比较法-商业售价'!$B$107:$M$107</definedName>
    <definedName name="商业公共部分装修">'比较法-商业租金'!$B$107:$M$107</definedName>
    <definedName name="商业基础设施水平" localSheetId="18">'比较法-商业售价'!$B$112:$M$112</definedName>
    <definedName name="商业基础设施水平">'比较法-商业租金'!$B$112:$M$112</definedName>
    <definedName name="商业建筑结构" localSheetId="18">'比较法-商业售价'!$B$105:$M$105</definedName>
    <definedName name="商业建筑结构">'比较法-商业租金'!$B$105:$M$105</definedName>
    <definedName name="商业交易情况" localSheetId="18">'比较法-商业售价'!$A$61:$M$61</definedName>
    <definedName name="商业交易情况">'比较法-商业租金'!$A$61:$M$61</definedName>
    <definedName name="商业街名称">修正!$C$71:$C$138</definedName>
    <definedName name="商业进深比" localSheetId="18">'比较法-商业售价'!$B$120:$M$120</definedName>
    <definedName name="商业进深比">'比较法-商业租金'!$B$120:$M$120</definedName>
    <definedName name="商业类型" localSheetId="18">'比较法-商业售价'!$B$100:$M$100</definedName>
    <definedName name="商业类型">'比较法-商业租金'!$B$100:$M$100</definedName>
    <definedName name="商业临街状况" localSheetId="18">'比较法-商业售价'!$B$86:$M$86</definedName>
    <definedName name="商业临街状况">'比较法-商业租金'!$B$86:$M$86</definedName>
    <definedName name="商业楼层" localSheetId="18">'比较法-商业售价'!$B$92:$M$92</definedName>
    <definedName name="商业楼层">'比较法-商业租金'!$B$92:$M$92</definedName>
    <definedName name="商业内部装修" localSheetId="18">'比较法-商业售价'!$B$122:$M$122</definedName>
    <definedName name="商业内部装修">'比较法-商业租金'!$B$122:$M$122</definedName>
    <definedName name="商业人流量" localSheetId="18">'比较法-商业售价'!$B$90:$M$90</definedName>
    <definedName name="商业人流量">'比较法-商业租金'!$B$90:$M$90</definedName>
    <definedName name="商业业态" localSheetId="18">'比较法-商业售价'!$B$114:$M$114</definedName>
    <definedName name="商业业态">'比较法-商业租金'!$B$114:$M$114</definedName>
    <definedName name="商业用途" localSheetId="1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84" l="1"/>
  <c r="I5" i="84"/>
  <c r="I47" i="84"/>
  <c r="E6" i="84"/>
  <c r="E47" i="84" l="1"/>
  <c r="I40" i="84"/>
  <c r="G40" i="84"/>
  <c r="G6" i="84"/>
  <c r="G5" i="84"/>
  <c r="G47" i="84"/>
  <c r="E40" i="84" l="1"/>
  <c r="E5" i="84"/>
  <c r="B130" i="84"/>
  <c r="B128" i="84"/>
  <c r="H45" i="84" s="1"/>
  <c r="B126" i="84"/>
  <c r="E125" i="84"/>
  <c r="F125" i="84" s="1"/>
  <c r="G125" i="84" s="1"/>
  <c r="D125" i="84"/>
  <c r="D123" i="84"/>
  <c r="E123" i="84" s="1"/>
  <c r="F123" i="84" s="1"/>
  <c r="G123" i="84" s="1"/>
  <c r="H123" i="84" s="1"/>
  <c r="I123" i="84" s="1"/>
  <c r="J123" i="84" s="1"/>
  <c r="K123" i="84" s="1"/>
  <c r="L123" i="84" s="1"/>
  <c r="M123" i="84" s="1"/>
  <c r="E121" i="84"/>
  <c r="F121" i="84" s="1"/>
  <c r="G121" i="84" s="1"/>
  <c r="H121" i="84" s="1"/>
  <c r="I121" i="84" s="1"/>
  <c r="J121" i="84" s="1"/>
  <c r="K121" i="84" s="1"/>
  <c r="L121" i="84" s="1"/>
  <c r="M121" i="84" s="1"/>
  <c r="D121" i="84"/>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B72" i="84"/>
  <c r="B70" i="84"/>
  <c r="F69" i="84"/>
  <c r="G69" i="84" s="1"/>
  <c r="H69" i="84" s="1"/>
  <c r="I69" i="84" s="1"/>
  <c r="J69" i="84" s="1"/>
  <c r="K69" i="84" s="1"/>
  <c r="L69" i="84" s="1"/>
  <c r="M69" i="84" s="1"/>
  <c r="D69" i="84"/>
  <c r="E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F45" i="84"/>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H41" i="84"/>
  <c r="AB41" i="84" s="1"/>
  <c r="F41" i="84"/>
  <c r="AA41" i="84" s="1"/>
  <c r="Q40" i="84"/>
  <c r="Z40" i="84" s="1"/>
  <c r="Q39" i="84"/>
  <c r="Z39" i="84" s="1"/>
  <c r="Q38" i="84"/>
  <c r="Z38" i="84" s="1"/>
  <c r="H38" i="84"/>
  <c r="AB38" i="84" s="1"/>
  <c r="Q37" i="84"/>
  <c r="Z37" i="84" s="1"/>
  <c r="J37" i="84"/>
  <c r="AC37" i="84" s="1"/>
  <c r="Q36" i="84"/>
  <c r="Z36" i="84" s="1"/>
  <c r="J36" i="84"/>
  <c r="AC36" i="84" s="1"/>
  <c r="H36" i="84"/>
  <c r="AB36" i="84" s="1"/>
  <c r="F36" i="84"/>
  <c r="AA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H32" i="84"/>
  <c r="AB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AB19" i="84"/>
  <c r="Q19" i="84"/>
  <c r="Z19" i="84" s="1"/>
  <c r="J19" i="84"/>
  <c r="AC19" i="84" s="1"/>
  <c r="I19" i="84"/>
  <c r="H19" i="84"/>
  <c r="U19" i="84" s="1"/>
  <c r="F19" i="84"/>
  <c r="AA19" i="84" s="1"/>
  <c r="C19" i="84"/>
  <c r="AA17" i="84"/>
  <c r="Q17" i="84"/>
  <c r="Z17" i="84" s="1"/>
  <c r="J17" i="84"/>
  <c r="AC17" i="84" s="1"/>
  <c r="H17" i="84"/>
  <c r="AB17" i="84" s="1"/>
  <c r="F17" i="84"/>
  <c r="S17" i="84" s="1"/>
  <c r="C17" i="84"/>
  <c r="U15" i="84"/>
  <c r="Q15" i="84"/>
  <c r="Z15" i="84" s="1"/>
  <c r="J15" i="84"/>
  <c r="AC15" i="84" s="1"/>
  <c r="H15" i="84"/>
  <c r="AB15" i="84" s="1"/>
  <c r="F15" i="84"/>
  <c r="AA15" i="84" s="1"/>
  <c r="C15" i="84"/>
  <c r="E15" i="84" s="1"/>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H87" i="84" l="1"/>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S28" i="84"/>
  <c r="W28" i="84"/>
  <c r="U29" i="84"/>
  <c r="S30" i="84"/>
  <c r="W30" i="84"/>
  <c r="U31" i="84"/>
  <c r="U33" i="84"/>
  <c r="S34" i="84"/>
  <c r="D118" i="84"/>
  <c r="J40" i="84" s="1"/>
  <c r="S41" i="84"/>
  <c r="AA45" i="84"/>
  <c r="S45" i="84"/>
  <c r="AB46" i="84"/>
  <c r="U46" i="84"/>
  <c r="E54" i="84"/>
  <c r="F54" i="84" s="1"/>
  <c r="I54" i="84"/>
  <c r="J54" i="84" s="1"/>
  <c r="V47" i="84"/>
  <c r="R47" i="84"/>
  <c r="S35" i="84"/>
  <c r="W35" i="84"/>
  <c r="U36" i="84"/>
  <c r="W37" i="84"/>
  <c r="U38" i="84"/>
  <c r="U41" i="84"/>
  <c r="S42" i="84"/>
  <c r="W42" i="84"/>
  <c r="U43" i="84"/>
  <c r="S44" i="84"/>
  <c r="W44" i="84"/>
  <c r="G54" i="84"/>
  <c r="H54" i="84" s="1"/>
  <c r="AB45" i="84"/>
  <c r="U45" i="84"/>
  <c r="S46" i="84"/>
  <c r="W46" i="84"/>
  <c r="T47" i="84"/>
  <c r="I42" i="34"/>
  <c r="F121" i="34" s="1"/>
  <c r="G42" i="34"/>
  <c r="E42" i="34"/>
  <c r="H121" i="34"/>
  <c r="I121" i="34"/>
  <c r="J121" i="34"/>
  <c r="G121" i="34"/>
  <c r="E121" i="34"/>
  <c r="D121" i="34"/>
  <c r="D87" i="34"/>
  <c r="E87" i="34"/>
  <c r="F87" i="34"/>
  <c r="G87" i="34"/>
  <c r="C87" i="34"/>
  <c r="C37" i="34"/>
  <c r="D119" i="34"/>
  <c r="E119" i="34"/>
  <c r="F119" i="34"/>
  <c r="C119" i="34"/>
  <c r="D123" i="34"/>
  <c r="D108" i="34" s="1"/>
  <c r="E123" i="34"/>
  <c r="E108" i="34" s="1"/>
  <c r="C123" i="34"/>
  <c r="C108" i="34" s="1"/>
  <c r="E7" i="34"/>
  <c r="I6" i="34"/>
  <c r="I5" i="34"/>
  <c r="G6" i="34"/>
  <c r="G5" i="34"/>
  <c r="E6" i="34"/>
  <c r="E5" i="34"/>
  <c r="E25" i="81"/>
  <c r="C15" i="81"/>
  <c r="S39" i="84" l="1"/>
  <c r="W39" i="84"/>
  <c r="AB39" i="84"/>
  <c r="U39" i="84"/>
  <c r="W38" i="84"/>
  <c r="S32" i="84"/>
  <c r="S38" i="84"/>
  <c r="S37" i="84"/>
  <c r="U37" i="84"/>
  <c r="W32" i="84"/>
  <c r="H40" i="84"/>
  <c r="AB40" i="84" s="1"/>
  <c r="F40" i="84"/>
  <c r="AA40" i="84" s="1"/>
  <c r="AC40" i="84"/>
  <c r="W40" i="84"/>
  <c r="U40" i="84"/>
  <c r="G7" i="33"/>
  <c r="G7" i="34" s="1"/>
  <c r="C118" i="33"/>
  <c r="D118" i="33"/>
  <c r="E118" i="33"/>
  <c r="O4" i="82"/>
  <c r="S40" i="84" l="1"/>
  <c r="I7" i="33"/>
  <c r="I7" i="34" s="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s="1"/>
  <c r="Z35" i="71" s="1"/>
  <c r="N35" i="71"/>
  <c r="Q34" i="71"/>
  <c r="P34" i="71"/>
  <c r="O34" i="71"/>
  <c r="N34" i="71"/>
  <c r="Q33" i="71"/>
  <c r="P33" i="71"/>
  <c r="O33" i="71"/>
  <c r="N33" i="71"/>
  <c r="D33" i="71"/>
  <c r="Q32" i="71"/>
  <c r="P32" i="71"/>
  <c r="O32" i="71"/>
  <c r="N32" i="71"/>
  <c r="Q31" i="71"/>
  <c r="P31" i="71"/>
  <c r="O31" i="71"/>
  <c r="N31" i="71"/>
  <c r="Q30" i="71"/>
  <c r="AB30" i="71" s="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s="1"/>
  <c r="D83" i="71"/>
  <c r="D82" i="71"/>
  <c r="D79" i="71"/>
  <c r="C78" i="71"/>
  <c r="D78" i="71" s="1"/>
  <c r="D71" i="71"/>
  <c r="C70" i="71"/>
  <c r="D70" i="71" s="1"/>
  <c r="D43" i="71"/>
  <c r="C26" i="71"/>
  <c r="D26" i="71" s="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A21" i="33"/>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B75" i="34"/>
  <c r="B73" i="34"/>
  <c r="B71" i="34"/>
  <c r="B130" i="33"/>
  <c r="B128" i="33"/>
  <c r="J45" i="33" s="1"/>
  <c r="B126" i="33"/>
  <c r="H44" i="33" s="1"/>
  <c r="B98" i="33"/>
  <c r="F31" i="33" s="1"/>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c r="Q36" i="33"/>
  <c r="Z36" i="33"/>
  <c r="Q35" i="33"/>
  <c r="Z35" i="33"/>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B92" i="21"/>
  <c r="B90" i="21"/>
  <c r="F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c r="AB41" i="21"/>
  <c r="S41" i="21"/>
  <c r="F36" i="39"/>
  <c r="S36" i="39" s="1"/>
  <c r="H36" i="39"/>
  <c r="AB36" i="39" s="1"/>
  <c r="J35" i="39"/>
  <c r="J36" i="39"/>
  <c r="AC36" i="39" s="1"/>
  <c r="W31" i="37"/>
  <c r="F29" i="36"/>
  <c r="AA29" i="36" s="1"/>
  <c r="F16" i="36"/>
  <c r="AA16" i="36" s="1"/>
  <c r="U31" i="36"/>
  <c r="H22" i="35"/>
  <c r="AB22" i="35" s="1"/>
  <c r="U31" i="35"/>
  <c r="W22" i="35"/>
  <c r="F36" i="34"/>
  <c r="AA36" i="34" s="1"/>
  <c r="J35" i="34"/>
  <c r="AC35" i="34" s="1"/>
  <c r="F26" i="33"/>
  <c r="AA26" i="33" s="1"/>
  <c r="S27" i="35"/>
  <c r="F11" i="40"/>
  <c r="AA11" i="40"/>
  <c r="H11" i="40"/>
  <c r="AB11" i="40"/>
  <c r="AA9" i="40"/>
  <c r="U38" i="40"/>
  <c r="F42" i="39"/>
  <c r="AA42" i="39" s="1"/>
  <c r="F41" i="39"/>
  <c r="S41" i="39" s="1"/>
  <c r="H40" i="39"/>
  <c r="AB40" i="39" s="1"/>
  <c r="H39" i="39"/>
  <c r="U39" i="39" s="1"/>
  <c r="S38" i="39"/>
  <c r="H34" i="39"/>
  <c r="U34" i="39" s="1"/>
  <c r="E108" i="39"/>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F11" i="21"/>
  <c r="S11" i="21" s="1"/>
  <c r="U34" i="21"/>
  <c r="H11" i="39"/>
  <c r="U11" i="39" s="1"/>
  <c r="H11" i="21"/>
  <c r="U11" i="21" s="1"/>
  <c r="J11" i="21"/>
  <c r="W11" i="21" s="1"/>
  <c r="H37" i="40"/>
  <c r="U37" i="40" s="1"/>
  <c r="H36" i="40"/>
  <c r="AB36" i="40" s="1"/>
  <c r="F35" i="40"/>
  <c r="AA35" i="40" s="1"/>
  <c r="H23" i="40"/>
  <c r="H17" i="40"/>
  <c r="U17" i="40" s="1"/>
  <c r="J15" i="40"/>
  <c r="W15" i="40" s="1"/>
  <c r="J11" i="40"/>
  <c r="AB8" i="39"/>
  <c r="W32" i="40"/>
  <c r="J34" i="36"/>
  <c r="W34" i="36" s="1"/>
  <c r="U30" i="36"/>
  <c r="J30" i="35"/>
  <c r="W30" i="35" s="1"/>
  <c r="H30" i="35"/>
  <c r="AB30" i="35" s="1"/>
  <c r="F22" i="35"/>
  <c r="AA22" i="35" s="1"/>
  <c r="H10" i="35"/>
  <c r="U10" i="35" s="1"/>
  <c r="F33" i="36"/>
  <c r="AA33" i="36" s="1"/>
  <c r="H16" i="36"/>
  <c r="AB16"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F14" i="21"/>
  <c r="S14" i="21" s="1"/>
  <c r="H28" i="21"/>
  <c r="AB28" i="21" s="1"/>
  <c r="F28" i="21"/>
  <c r="AA28" i="21" s="1"/>
  <c r="J28" i="21"/>
  <c r="W28" i="21" s="1"/>
  <c r="H30" i="21"/>
  <c r="U30"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J32" i="34"/>
  <c r="W32" i="34" s="1"/>
  <c r="H46" i="34"/>
  <c r="U46" i="34" s="1"/>
  <c r="F46" i="34"/>
  <c r="AA46" i="34" s="1"/>
  <c r="H11" i="35"/>
  <c r="AB11" i="35" s="1"/>
  <c r="J26" i="36"/>
  <c r="W26" i="36" s="1"/>
  <c r="H28" i="36"/>
  <c r="U28" i="36" s="1"/>
  <c r="J32" i="36"/>
  <c r="W32" i="36" s="1"/>
  <c r="H11" i="36"/>
  <c r="U11" i="36" s="1"/>
  <c r="H13" i="36"/>
  <c r="AB13" i="36" s="1"/>
  <c r="J13" i="36"/>
  <c r="F13" i="36"/>
  <c r="S13" i="36" s="1"/>
  <c r="J29" i="37"/>
  <c r="W29" i="37" s="1"/>
  <c r="F29" i="37"/>
  <c r="S29" i="37" s="1"/>
  <c r="H36" i="37"/>
  <c r="AB36" i="37" s="1"/>
  <c r="F107" i="37"/>
  <c r="J37" i="37"/>
  <c r="AC37" i="37" s="1"/>
  <c r="H37" i="37"/>
  <c r="U37" i="37" s="1"/>
  <c r="AC12" i="40"/>
  <c r="J29" i="34"/>
  <c r="AC29" i="34" s="1"/>
  <c r="J25" i="35"/>
  <c r="W25" i="35" s="1"/>
  <c r="F25" i="35"/>
  <c r="S25" i="35" s="1"/>
  <c r="H25" i="35"/>
  <c r="AB25" i="35" s="1"/>
  <c r="J35" i="35"/>
  <c r="AC35" i="35" s="1"/>
  <c r="F35" i="35"/>
  <c r="AA35" i="35" s="1"/>
  <c r="H35" i="35"/>
  <c r="AB35" i="35" s="1"/>
  <c r="J25" i="36"/>
  <c r="W25" i="36" s="1"/>
  <c r="H25" i="36"/>
  <c r="AB25" i="36" s="1"/>
  <c r="F13" i="37"/>
  <c r="S13" i="37"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H14" i="40"/>
  <c r="AB14" i="40" s="1"/>
  <c r="J14" i="40"/>
  <c r="W14" i="40" s="1"/>
  <c r="F14" i="40"/>
  <c r="AA14" i="40" s="1"/>
  <c r="J36" i="37"/>
  <c r="AC36" i="37" s="1"/>
  <c r="J10" i="36"/>
  <c r="AC10" i="36" s="1"/>
  <c r="AB30" i="21"/>
  <c r="AC13" i="36"/>
  <c r="W13" i="36"/>
  <c r="AB46" i="34"/>
  <c r="AA14" i="34"/>
  <c r="U31" i="33"/>
  <c r="AC28" i="21"/>
  <c r="F17" i="21"/>
  <c r="AA17" i="21" s="1"/>
  <c r="H17" i="21"/>
  <c r="AB17" i="21" s="1"/>
  <c r="F15" i="21"/>
  <c r="S15" i="21" s="1"/>
  <c r="J41" i="39"/>
  <c r="W41" i="39" s="1"/>
  <c r="G540" i="3"/>
  <c r="G531" i="3"/>
  <c r="G510" i="3"/>
  <c r="G580" i="3"/>
  <c r="G554" i="3"/>
  <c r="BL584" i="3"/>
  <c r="BL576" i="3"/>
  <c r="BL554" i="3"/>
  <c r="BL534" i="3"/>
  <c r="BL512" i="3"/>
  <c r="BL578" i="3"/>
  <c r="BL552" i="3"/>
  <c r="G533" i="3"/>
  <c r="G525" i="3"/>
  <c r="G493" i="3"/>
  <c r="BA582" i="3"/>
  <c r="BA578" i="3"/>
  <c r="AZ578" i="3" s="1"/>
  <c r="BA556" i="3"/>
  <c r="BA546" i="3"/>
  <c r="BA538" i="3"/>
  <c r="BA530" i="3"/>
  <c r="BA518" i="3"/>
  <c r="BA494" i="3"/>
  <c r="AZ494" i="3" s="1"/>
  <c r="BA581" i="3"/>
  <c r="BA567" i="3"/>
  <c r="BA553" i="3"/>
  <c r="BA543" i="3"/>
  <c r="BA535" i="3"/>
  <c r="BA527" i="3"/>
  <c r="BA507" i="3"/>
  <c r="G583" i="3"/>
  <c r="G579" i="3"/>
  <c r="G575" i="3"/>
  <c r="AC557" i="3"/>
  <c r="BQ557" i="3"/>
  <c r="BQ583" i="3"/>
  <c r="BQ581" i="3"/>
  <c r="BL581" i="3" s="1"/>
  <c r="BQ579" i="3"/>
  <c r="BQ577" i="3"/>
  <c r="BQ575" i="3"/>
  <c r="BQ573" i="3"/>
  <c r="BQ571" i="3"/>
  <c r="BQ569" i="3"/>
  <c r="BQ567" i="3"/>
  <c r="BQ565" i="3"/>
  <c r="BQ563" i="3"/>
  <c r="BQ561" i="3"/>
  <c r="BQ559" i="3"/>
  <c r="G555" i="3"/>
  <c r="G545" i="3"/>
  <c r="G537" i="3"/>
  <c r="BQ555" i="3"/>
  <c r="BL555" i="3"/>
  <c r="BQ553" i="3"/>
  <c r="BQ551" i="3"/>
  <c r="BL551" i="3" s="1"/>
  <c r="BQ549" i="3"/>
  <c r="BQ547" i="3"/>
  <c r="BL547" i="3" s="1"/>
  <c r="BQ545" i="3"/>
  <c r="BQ543" i="3"/>
  <c r="BL543" i="3" s="1"/>
  <c r="BQ541" i="3"/>
  <c r="BL541" i="3"/>
  <c r="BQ539" i="3"/>
  <c r="BQ537" i="3"/>
  <c r="BL537" i="3" s="1"/>
  <c r="BQ535" i="3"/>
  <c r="BQ533" i="3"/>
  <c r="BQ531" i="3"/>
  <c r="BL531" i="3" s="1"/>
  <c r="BQ529" i="3"/>
  <c r="BQ527" i="3"/>
  <c r="BL527" i="3" s="1"/>
  <c r="AZ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AB28" i="37"/>
  <c r="U19" i="21"/>
  <c r="AC15" i="34"/>
  <c r="W16" i="35"/>
  <c r="G107" i="37"/>
  <c r="H107" i="37" s="1"/>
  <c r="I107" i="37" s="1"/>
  <c r="J107" i="37" s="1"/>
  <c r="K107" i="37" s="1"/>
  <c r="L107" i="37" s="1"/>
  <c r="M107" i="37" s="1"/>
  <c r="H37" i="21"/>
  <c r="U37" i="21" s="1"/>
  <c r="S42"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BL164" i="3"/>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c r="BL192" i="3"/>
  <c r="G193" i="3"/>
  <c r="BA195" i="3"/>
  <c r="AZ195" i="3"/>
  <c r="BL196" i="3"/>
  <c r="AZ196" i="3"/>
  <c r="G197" i="3"/>
  <c r="BA199" i="3"/>
  <c r="BL200" i="3"/>
  <c r="G201" i="3"/>
  <c r="BA203" i="3"/>
  <c r="BL204" i="3"/>
  <c r="AZ204" i="3" s="1"/>
  <c r="AZ39" i="3"/>
  <c r="AZ43" i="3"/>
  <c r="AZ47" i="3"/>
  <c r="AZ136" i="3"/>
  <c r="AZ160" i="3"/>
  <c r="AZ200" i="3"/>
  <c r="AZ97" i="3"/>
  <c r="G534" i="3"/>
  <c r="G51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AZ344" i="3" s="1"/>
  <c r="BL344" i="3"/>
  <c r="BA346" i="3"/>
  <c r="AZ346" i="3" s="1"/>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BL339" i="3"/>
  <c r="AZ339" i="3" s="1"/>
  <c r="G340" i="3"/>
  <c r="BL343" i="3"/>
  <c r="G344" i="3"/>
  <c r="G348" i="3"/>
  <c r="G355" i="3"/>
  <c r="AZ303"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AZ241" i="3"/>
  <c r="AZ245" i="3"/>
  <c r="AZ257" i="3"/>
  <c r="AZ261" i="3"/>
  <c r="BA379" i="3"/>
  <c r="AZ379" i="3" s="1"/>
  <c r="BL380" i="3"/>
  <c r="G381" i="3"/>
  <c r="BA383" i="3"/>
  <c r="BL384" i="3"/>
  <c r="G385" i="3"/>
  <c r="BA387" i="3"/>
  <c r="AZ387" i="3" s="1"/>
  <c r="BL388" i="3"/>
  <c r="G389" i="3"/>
  <c r="BA391" i="3"/>
  <c r="BL392" i="3"/>
  <c r="G393" i="3"/>
  <c r="AZ263" i="3"/>
  <c r="BF5" i="3"/>
  <c r="AZ32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c r="H111" i="40" s="1"/>
  <c r="I111" i="40" s="1"/>
  <c r="J111" i="40" s="1"/>
  <c r="K111" i="40" s="1"/>
  <c r="L111" i="40" s="1"/>
  <c r="M111" i="40" s="1"/>
  <c r="H35" i="40"/>
  <c r="AB35" i="40"/>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C40" i="11"/>
  <c r="AZ240" i="3"/>
  <c r="AZ243" i="3"/>
  <c r="AZ256" i="3"/>
  <c r="AZ259" i="3"/>
  <c r="AZ130" i="3"/>
  <c r="AZ29" i="3"/>
  <c r="AZ31" i="3"/>
  <c r="AZ33" i="3"/>
  <c r="AZ37" i="3"/>
  <c r="AZ42" i="3"/>
  <c r="AZ45"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Z437" i="3"/>
  <c r="AZ441" i="3"/>
  <c r="AZ473" i="3"/>
  <c r="BL14" i="3"/>
  <c r="H12" i="39"/>
  <c r="F39" i="40"/>
  <c r="AA39" i="40" s="1"/>
  <c r="BA14" i="3"/>
  <c r="AZ238" i="3"/>
  <c r="AZ149" i="3"/>
  <c r="AZ189" i="3"/>
  <c r="AZ35" i="3"/>
  <c r="AZ41" i="3"/>
  <c r="B12" i="1"/>
  <c r="E12" i="1" s="1"/>
  <c r="B10" i="1"/>
  <c r="E10" i="1" s="1"/>
  <c r="K12" i="1"/>
  <c r="M12" i="1" s="1"/>
  <c r="S13" i="1"/>
  <c r="AR13" i="1" s="1"/>
  <c r="R13" i="1"/>
  <c r="J51" i="67"/>
  <c r="B41" i="1"/>
  <c r="F48" i="9" s="1"/>
  <c r="O52" i="9" s="1"/>
  <c r="S35" i="40"/>
  <c r="U35" i="40"/>
  <c r="AC36" i="40"/>
  <c r="AA32"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S17" i="39"/>
  <c r="U13" i="36"/>
  <c r="U26" i="36"/>
  <c r="S33" i="36"/>
  <c r="AA34" i="36"/>
  <c r="AA22" i="36"/>
  <c r="AB14" i="36"/>
  <c r="U22" i="36"/>
  <c r="S16" i="36"/>
  <c r="U24" i="36"/>
  <c r="S14" i="36"/>
  <c r="S23" i="35"/>
  <c r="U29" i="35"/>
  <c r="U28" i="35"/>
  <c r="AB27" i="35"/>
  <c r="U32" i="35"/>
  <c r="AC30" i="35"/>
  <c r="S32" i="35"/>
  <c r="AA36" i="35"/>
  <c r="S28" i="35"/>
  <c r="AC20" i="35"/>
  <c r="W9" i="35"/>
  <c r="F9" i="35"/>
  <c r="S9" i="35" s="1"/>
  <c r="AC29" i="37"/>
  <c r="U29" i="37"/>
  <c r="S32" i="37"/>
  <c r="W30" i="37"/>
  <c r="S36" i="37"/>
  <c r="W38" i="37"/>
  <c r="AC35" i="37"/>
  <c r="S30" i="37"/>
  <c r="S37" i="37"/>
  <c r="J17" i="37"/>
  <c r="W17" i="37" s="1"/>
  <c r="F17" i="37"/>
  <c r="AA17" i="37" s="1"/>
  <c r="AB17" i="37"/>
  <c r="F19" i="37"/>
  <c r="AA19" i="37" s="1"/>
  <c r="F79" i="37"/>
  <c r="F23" i="37"/>
  <c r="S23" i="37" s="1"/>
  <c r="U23" i="37"/>
  <c r="H10" i="37"/>
  <c r="AB10" i="37" s="1"/>
  <c r="F11" i="37"/>
  <c r="S11" i="37" s="1"/>
  <c r="S27" i="34"/>
  <c r="AB8" i="34"/>
  <c r="U44" i="34"/>
  <c r="AC39"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F85" i="33"/>
  <c r="G85" i="33" s="1"/>
  <c r="H23" i="33"/>
  <c r="AB23" i="33" s="1"/>
  <c r="F81" i="33"/>
  <c r="J17" i="33"/>
  <c r="W17" i="33" s="1"/>
  <c r="J10" i="33"/>
  <c r="W10" i="33" s="1"/>
  <c r="H10" i="33"/>
  <c r="U10" i="33" s="1"/>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28" i="40"/>
  <c r="W34" i="40"/>
  <c r="W19" i="40"/>
  <c r="S36" i="40"/>
  <c r="AC14" i="40"/>
  <c r="AA15" i="40"/>
  <c r="U11" i="40"/>
  <c r="U15" i="40"/>
  <c r="AB17" i="40"/>
  <c r="U8" i="40"/>
  <c r="S8" i="40"/>
  <c r="U42" i="39"/>
  <c r="U41" i="39"/>
  <c r="W25" i="39"/>
  <c r="U13"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AA29" i="37"/>
  <c r="U8" i="37"/>
  <c r="AA30" i="34"/>
  <c r="AC32" i="34"/>
  <c r="W29" i="34"/>
  <c r="W46" i="34"/>
  <c r="AC46" i="34"/>
  <c r="S32" i="34"/>
  <c r="AA32" i="34"/>
  <c r="U30" i="34"/>
  <c r="AB30" i="34"/>
  <c r="U38" i="34"/>
  <c r="S36" i="34"/>
  <c r="S8" i="34"/>
  <c r="S46" i="34"/>
  <c r="U32" i="34"/>
  <c r="AB32" i="34"/>
  <c r="U14" i="34"/>
  <c r="W43" i="34"/>
  <c r="W23" i="34"/>
  <c r="AC23" i="34"/>
  <c r="W35" i="34"/>
  <c r="S31" i="33"/>
  <c r="AA31" i="33"/>
  <c r="W13"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S19" i="21"/>
  <c r="AA9" i="21"/>
  <c r="K141" i="21"/>
  <c r="K144" i="21"/>
  <c r="K143" i="21"/>
  <c r="W42" i="21"/>
  <c r="F10" i="21"/>
  <c r="AA10" i="21" s="1"/>
  <c r="K145" i="21"/>
  <c r="AA29" i="21"/>
  <c r="S17" i="21"/>
  <c r="AA15" i="21"/>
  <c r="AC26" i="21"/>
  <c r="S28" i="21"/>
  <c r="AC34" i="21"/>
  <c r="AB36" i="21"/>
  <c r="W30" i="40"/>
  <c r="C19" i="39"/>
  <c r="C23" i="40"/>
  <c r="B54" i="43"/>
  <c r="B58" i="43"/>
  <c r="B65" i="43"/>
  <c r="B69" i="43"/>
  <c r="D23" i="15"/>
  <c r="D22" i="15"/>
  <c r="E4" i="4"/>
  <c r="B5" i="62" s="1"/>
  <c r="B73" i="72" s="1"/>
  <c r="C4" i="4"/>
  <c r="F28" i="67"/>
  <c r="F32" i="67"/>
  <c r="F60" i="67" s="1"/>
  <c r="F28" i="15"/>
  <c r="S39" i="40"/>
  <c r="J32" i="39"/>
  <c r="W32" i="39" s="1"/>
  <c r="H32" i="39"/>
  <c r="AB32" i="39" s="1"/>
  <c r="AA32" i="39"/>
  <c r="AA21" i="39"/>
  <c r="AC17" i="37"/>
  <c r="J19" i="37"/>
  <c r="AC19" i="37" s="1"/>
  <c r="AA23" i="37"/>
  <c r="J23" i="37"/>
  <c r="G79" i="37"/>
  <c r="J10" i="37"/>
  <c r="W10" i="37" s="1"/>
  <c r="H11" i="37"/>
  <c r="AB11" i="37" s="1"/>
  <c r="H11" i="34"/>
  <c r="U11" i="34" s="1"/>
  <c r="J10" i="34"/>
  <c r="AC10" i="34" s="1"/>
  <c r="J27" i="33"/>
  <c r="AC27" i="33" s="1"/>
  <c r="F23" i="33"/>
  <c r="AA23" i="33" s="1"/>
  <c r="AC23" i="33"/>
  <c r="W23" i="33"/>
  <c r="G81" i="33"/>
  <c r="S37" i="21"/>
  <c r="AB15" i="21"/>
  <c r="J23" i="21"/>
  <c r="F85" i="21"/>
  <c r="G85" i="21" s="1"/>
  <c r="H23" i="21"/>
  <c r="U23" i="21" s="1"/>
  <c r="D6" i="52"/>
  <c r="AP7" i="1"/>
  <c r="S32" i="21"/>
  <c r="AC9" i="21"/>
  <c r="U32" i="21"/>
  <c r="A18" i="62"/>
  <c r="B64" i="72" s="1"/>
  <c r="U32" i="39"/>
  <c r="W23" i="37"/>
  <c r="AC23" i="37"/>
  <c r="J11" i="37"/>
  <c r="AC11" i="37" s="1"/>
  <c r="J11" i="34"/>
  <c r="W11" i="34" s="1"/>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16" i="67"/>
  <c r="J15" i="67"/>
  <c r="M9" i="67"/>
  <c r="L47" i="15"/>
  <c r="C19" i="9"/>
  <c r="F6" i="67"/>
  <c r="F43" i="15"/>
  <c r="M6" i="15"/>
  <c r="AO13" i="1"/>
  <c r="F40" i="67"/>
  <c r="E9" i="76"/>
  <c r="D6" i="73"/>
  <c r="F13" i="15"/>
  <c r="F26" i="15"/>
  <c r="L48" i="15"/>
  <c r="E2" i="69"/>
  <c r="F6" i="73"/>
  <c r="D19" i="9"/>
  <c r="D35" i="9"/>
  <c r="B10" i="76"/>
  <c r="B7" i="76"/>
  <c r="F20" i="31"/>
  <c r="E10" i="76"/>
  <c r="C20" i="9"/>
  <c r="E7" i="76"/>
  <c r="F7" i="73"/>
  <c r="B12" i="76"/>
  <c r="D34" i="9"/>
  <c r="E12" i="76"/>
  <c r="B9" i="76"/>
  <c r="B8" i="76"/>
  <c r="D20" i="9"/>
  <c r="F7" i="15"/>
  <c r="M29" i="15"/>
  <c r="F9" i="67"/>
  <c r="L47" i="67"/>
  <c r="M28" i="15"/>
  <c r="M22" i="67"/>
  <c r="M9" i="15"/>
  <c r="E8" i="76"/>
  <c r="M24" i="15"/>
  <c r="F5" i="73"/>
  <c r="M23" i="15"/>
  <c r="M8" i="67"/>
  <c r="B13" i="76"/>
  <c r="M28" i="67"/>
  <c r="M26" i="15"/>
  <c r="F13" i="67"/>
  <c r="F8" i="15"/>
  <c r="F4" i="73"/>
  <c r="E13" i="76"/>
  <c r="B11" i="76"/>
  <c r="E11" i="76"/>
  <c r="F7" i="67"/>
  <c r="E2" i="68"/>
  <c r="F26" i="67"/>
  <c r="F3" i="73"/>
  <c r="F37" i="15"/>
  <c r="D3" i="73"/>
  <c r="L48" i="67"/>
  <c r="F38" i="33" l="1"/>
  <c r="AA38" i="33" s="1"/>
  <c r="W38" i="33"/>
  <c r="AB28" i="34"/>
  <c r="U28" i="34"/>
  <c r="AC27" i="37"/>
  <c r="W27" i="37"/>
  <c r="AA27" i="21"/>
  <c r="S27" i="21"/>
  <c r="S14" i="39"/>
  <c r="AA14" i="39"/>
  <c r="W19" i="37"/>
  <c r="AZ556" i="3"/>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184" i="3"/>
  <c r="AZ378" i="3"/>
  <c r="AZ343" i="3"/>
  <c r="AB38" i="21"/>
  <c r="AZ543" i="3"/>
  <c r="S14" i="37"/>
  <c r="AA14" i="37"/>
  <c r="J30" i="33"/>
  <c r="S39" i="34"/>
  <c r="AA39" i="34"/>
  <c r="AZ384" i="3"/>
  <c r="AA31" i="39"/>
  <c r="S31" i="39"/>
  <c r="AB35" i="21"/>
  <c r="U35" i="21"/>
  <c r="BL585" i="3"/>
  <c r="J27" i="21"/>
  <c r="H27" i="21"/>
  <c r="J29" i="21"/>
  <c r="H29" i="21"/>
  <c r="H44" i="21"/>
  <c r="J44" i="21"/>
  <c r="H46" i="21"/>
  <c r="U46" i="21" s="1"/>
  <c r="F46" i="21"/>
  <c r="AA46" i="21" s="1"/>
  <c r="J46" i="21"/>
  <c r="AA40" i="21"/>
  <c r="S40"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AZ571" i="3" s="1"/>
  <c r="BL570" i="3"/>
  <c r="AZ570" i="3" s="1"/>
  <c r="BA569" i="3"/>
  <c r="BL568" i="3"/>
  <c r="BA568" i="3"/>
  <c r="AZ568" i="3" s="1"/>
  <c r="BL567" i="3"/>
  <c r="BL566" i="3"/>
  <c r="BA566" i="3"/>
  <c r="BA565" i="3"/>
  <c r="BL564" i="3"/>
  <c r="BA564" i="3"/>
  <c r="BL563" i="3"/>
  <c r="BA563" i="3"/>
  <c r="BL562" i="3"/>
  <c r="BA562" i="3"/>
  <c r="AZ562" i="3" s="1"/>
  <c r="BL561" i="3"/>
  <c r="BA561" i="3"/>
  <c r="BL560" i="3"/>
  <c r="BA560" i="3"/>
  <c r="AZ560" i="3" s="1"/>
  <c r="BA559" i="3"/>
  <c r="BL558" i="3"/>
  <c r="AZ558" i="3" s="1"/>
  <c r="BA558" i="3"/>
  <c r="BA557" i="3"/>
  <c r="BL556" i="3"/>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28" i="3"/>
  <c r="AZ115" i="3"/>
  <c r="AZ376" i="3"/>
  <c r="AZ362" i="3"/>
  <c r="AZ360" i="3"/>
  <c r="BL507" i="3"/>
  <c r="AZ507" i="3" s="1"/>
  <c r="BL519" i="3"/>
  <c r="AZ519" i="3" s="1"/>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AZ532" i="3" s="1"/>
  <c r="BL530" i="3"/>
  <c r="AZ530" i="3" s="1"/>
  <c r="BA529" i="3"/>
  <c r="BL528" i="3"/>
  <c r="BA528" i="3"/>
  <c r="AZ528" i="3" s="1"/>
  <c r="BA525" i="3"/>
  <c r="BL524" i="3"/>
  <c r="AZ524" i="3" s="1"/>
  <c r="BA524" i="3"/>
  <c r="BA523" i="3"/>
  <c r="BL522" i="3"/>
  <c r="BA522" i="3"/>
  <c r="AZ522" i="3" s="1"/>
  <c r="BL520" i="3"/>
  <c r="BA520" i="3"/>
  <c r="BA519" i="3"/>
  <c r="BL518" i="3"/>
  <c r="AZ518" i="3" s="1"/>
  <c r="BL516" i="3"/>
  <c r="BA516" i="3"/>
  <c r="AZ516" i="3" s="1"/>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AZ498" i="3" s="1"/>
  <c r="BA498" i="3"/>
  <c r="BL497" i="3"/>
  <c r="BA497" i="3"/>
  <c r="BL496" i="3"/>
  <c r="AZ496" i="3" s="1"/>
  <c r="BA496" i="3"/>
  <c r="BL495" i="3"/>
  <c r="AZ495" i="3" s="1"/>
  <c r="BA495" i="3"/>
  <c r="BP5" i="3"/>
  <c r="G29" i="6" s="1"/>
  <c r="G30" i="6" s="1"/>
  <c r="G31" i="6" s="1"/>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AZ491" i="3" s="1"/>
  <c r="BL491" i="3"/>
  <c r="BA492" i="3"/>
  <c r="AZ492" i="3" s="1"/>
  <c r="BA316" i="3"/>
  <c r="BL316" i="3"/>
  <c r="BL328" i="3"/>
  <c r="G329" i="3"/>
  <c r="BL330" i="3"/>
  <c r="AZ330" i="3" s="1"/>
  <c r="BA332" i="3"/>
  <c r="AZ332" i="3" s="1"/>
  <c r="G343" i="3"/>
  <c r="G345" i="3"/>
  <c r="G351" i="3"/>
  <c r="BA352" i="3"/>
  <c r="AZ352" i="3" s="1"/>
  <c r="BA354" i="3"/>
  <c r="BL354" i="3"/>
  <c r="BA358" i="3"/>
  <c r="AZ358" i="3" s="1"/>
  <c r="G366" i="3"/>
  <c r="BA367" i="3"/>
  <c r="BL367" i="3"/>
  <c r="G380" i="3"/>
  <c r="BL381" i="3"/>
  <c r="AZ381" i="3" s="1"/>
  <c r="BA384" i="3"/>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BA222" i="3"/>
  <c r="AZ222" i="3" s="1"/>
  <c r="BL222" i="3"/>
  <c r="BA224" i="3"/>
  <c r="AZ224" i="3" s="1"/>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AZ252" i="3" s="1"/>
  <c r="BL252" i="3"/>
  <c r="BA254" i="3"/>
  <c r="AZ254" i="3" s="1"/>
  <c r="BL254" i="3"/>
  <c r="G255" i="3"/>
  <c r="G259" i="3"/>
  <c r="G263" i="3"/>
  <c r="BL265" i="3"/>
  <c r="G266" i="3"/>
  <c r="BA267" i="3"/>
  <c r="BL267" i="3"/>
  <c r="AZ267" i="3" s="1"/>
  <c r="BA269" i="3"/>
  <c r="BL269" i="3"/>
  <c r="BL270" i="3"/>
  <c r="G271" i="3"/>
  <c r="BA272" i="3"/>
  <c r="BL272" i="3"/>
  <c r="BL274" i="3"/>
  <c r="G275" i="3"/>
  <c r="BA276" i="3"/>
  <c r="BL276" i="3"/>
  <c r="BA277" i="3"/>
  <c r="AZ277" i="3" s="1"/>
  <c r="BA279" i="3"/>
  <c r="AZ279" i="3" s="1"/>
  <c r="BL279" i="3"/>
  <c r="BA281" i="3"/>
  <c r="AZ281" i="3" s="1"/>
  <c r="BL281" i="3"/>
  <c r="BL282" i="3"/>
  <c r="G283" i="3"/>
  <c r="BA284" i="3"/>
  <c r="AZ284" i="3" s="1"/>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AZ173" i="3" s="1"/>
  <c r="BL173" i="3"/>
  <c r="BL175" i="3"/>
  <c r="AZ175" i="3" s="1"/>
  <c r="G176" i="3"/>
  <c r="BA178" i="3"/>
  <c r="AZ178" i="3" s="1"/>
  <c r="BL178" i="3"/>
  <c r="BA180" i="3"/>
  <c r="AZ180" i="3" s="1"/>
  <c r="BL182" i="3"/>
  <c r="G183" i="3"/>
  <c r="BA184" i="3"/>
  <c r="BL186" i="3"/>
  <c r="G187" i="3"/>
  <c r="BA188" i="3"/>
  <c r="AZ188" i="3" s="1"/>
  <c r="G191" i="3"/>
  <c r="G194" i="3"/>
  <c r="BL197" i="3"/>
  <c r="G198" i="3"/>
  <c r="G200" i="3"/>
  <c r="BA201" i="3"/>
  <c r="AZ201" i="3" s="1"/>
  <c r="BA202" i="3"/>
  <c r="AZ202" i="3" s="1"/>
  <c r="BL203" i="3"/>
  <c r="AZ203" i="3" s="1"/>
  <c r="BA206" i="3"/>
  <c r="BL206" i="3"/>
  <c r="BA207" i="3"/>
  <c r="AZ207" i="3" s="1"/>
  <c r="BA19" i="3"/>
  <c r="AZ19" i="3" s="1"/>
  <c r="BL19" i="3"/>
  <c r="BA21" i="3"/>
  <c r="AZ21" i="3" s="1"/>
  <c r="BL21"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AZ110" i="3" s="1"/>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AB17"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C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F29" i="6" s="1"/>
  <c r="E29" i="6" s="1"/>
  <c r="K15" i="1" s="1"/>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11" i="3"/>
  <c r="AZ427" i="3"/>
  <c r="AZ430"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29" i="3"/>
  <c r="AZ177" i="3"/>
  <c r="AZ18" i="3"/>
  <c r="AZ3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F30" i="6" s="1"/>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L59" i="15"/>
  <c r="N59" i="15"/>
  <c r="L58" i="15"/>
  <c r="M59" i="15"/>
  <c r="D103" i="9"/>
  <c r="C27" i="67"/>
  <c r="C27" i="15"/>
  <c r="F65" i="15"/>
  <c r="G20" i="9"/>
  <c r="C103" i="9"/>
  <c r="N59" i="67"/>
  <c r="L59" i="67"/>
  <c r="L58" i="67"/>
  <c r="M59" i="67"/>
  <c r="B13" i="70"/>
  <c r="M7" i="67"/>
  <c r="F50" i="67"/>
  <c r="F68" i="67"/>
  <c r="D9" i="69"/>
  <c r="C36" i="69"/>
  <c r="D9" i="68"/>
  <c r="F42" i="67"/>
  <c r="F43" i="67"/>
  <c r="F42" i="15"/>
  <c r="C76" i="15"/>
  <c r="M29" i="67"/>
  <c r="M24" i="67"/>
  <c r="M6" i="67"/>
  <c r="F38" i="15"/>
  <c r="J15" i="15"/>
  <c r="F40" i="15"/>
  <c r="F6" i="15"/>
  <c r="F36" i="15"/>
  <c r="D5" i="73"/>
  <c r="D4" i="73"/>
  <c r="F36" i="67"/>
  <c r="F9" i="15"/>
  <c r="M26" i="67"/>
  <c r="M22" i="15"/>
  <c r="D7" i="73"/>
  <c r="F16" i="15"/>
  <c r="C76" i="67"/>
  <c r="F8" i="67"/>
  <c r="F38" i="67"/>
  <c r="M8" i="15"/>
  <c r="F37" i="67"/>
  <c r="M23" i="67"/>
  <c r="G1" i="73"/>
  <c r="F65" i="67" l="1"/>
  <c r="F66" i="67"/>
  <c r="C6" i="67"/>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C48" i="69"/>
  <c r="W37" i="34"/>
  <c r="E28" i="6"/>
  <c r="K14" i="1" s="1"/>
  <c r="BL5" i="3"/>
  <c r="W14" i="37"/>
  <c r="S41" i="33"/>
  <c r="AZ112" i="3"/>
  <c r="AZ106" i="3"/>
  <c r="AZ94" i="3"/>
  <c r="AZ92" i="3"/>
  <c r="AZ54" i="3"/>
  <c r="G16" i="1"/>
  <c r="F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P29" i="43"/>
  <c r="P27" i="43"/>
  <c r="B70" i="39" s="1"/>
  <c r="C49" i="15"/>
  <c r="J18" i="15"/>
  <c r="C32" i="67"/>
  <c r="C32" i="9"/>
  <c r="Q60" i="67"/>
  <c r="Q73" i="67"/>
  <c r="M11" i="67"/>
  <c r="J10" i="67" s="1"/>
  <c r="F11" i="15"/>
  <c r="M11" i="15"/>
  <c r="J10" i="15" s="1"/>
  <c r="J5" i="15" s="1"/>
  <c r="J24" i="15" s="1"/>
  <c r="F11" i="67"/>
  <c r="F1" i="15"/>
  <c r="Q52" i="15"/>
  <c r="F1" i="67"/>
  <c r="Q52" i="67"/>
  <c r="Q60" i="15"/>
  <c r="Q73" i="15"/>
  <c r="Q61" i="67"/>
  <c r="Q74" i="67"/>
  <c r="Q74" i="15"/>
  <c r="Q61" i="15"/>
  <c r="AE11" i="1"/>
  <c r="AE6" i="1"/>
  <c r="AE9" i="1"/>
  <c r="F27" i="68"/>
  <c r="AE7" i="1"/>
  <c r="AE8" i="1"/>
  <c r="AE12" i="1"/>
  <c r="AE10" i="1"/>
  <c r="C16" i="15"/>
  <c r="F41" i="67"/>
  <c r="C16" i="67"/>
  <c r="J5" i="67" l="1"/>
  <c r="AB7" i="84"/>
  <c r="T48" i="84" s="1"/>
  <c r="G48" i="84" s="1"/>
  <c r="U7" i="84"/>
  <c r="S7" i="84"/>
  <c r="AA7" i="84"/>
  <c r="R48" i="84" s="1"/>
  <c r="T60" i="71"/>
  <c r="D60" i="71"/>
  <c r="AB7" i="36"/>
  <c r="T36" i="36" s="1"/>
  <c r="G36" i="36" s="1"/>
  <c r="AC6" i="3"/>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R49" i="84" l="1"/>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I53" i="84" l="1"/>
  <c r="J53" i="84" s="1"/>
  <c r="E53" i="84"/>
  <c r="F53" i="84" s="1"/>
  <c r="E52" i="84"/>
  <c r="F52" i="84" s="1"/>
  <c r="C48" i="84"/>
  <c r="C49" i="84"/>
  <c r="C11" i="81"/>
  <c r="C8" i="81"/>
  <c r="C12" i="81" s="1"/>
  <c r="C121" i="34"/>
  <c r="J42" i="34" s="1"/>
  <c r="C17" i="71"/>
  <c r="D18" i="71"/>
  <c r="C9"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E6" i="76"/>
  <c r="C14" i="15"/>
  <c r="C3" i="81" l="1"/>
  <c r="C4" i="81" s="1"/>
  <c r="B3" i="84"/>
  <c r="B2" i="84"/>
  <c r="C10" i="81"/>
  <c r="C13" i="81" s="1"/>
  <c r="H42" i="34"/>
  <c r="AB42" i="34" s="1"/>
  <c r="T49" i="34" s="1"/>
  <c r="G49" i="34" s="1"/>
  <c r="F42" i="34"/>
  <c r="S42" i="34" s="1"/>
  <c r="W42" i="34"/>
  <c r="AC42" i="34"/>
  <c r="V49" i="34" s="1"/>
  <c r="I49" i="34"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U42" i="34" l="1"/>
  <c r="AA42" i="34"/>
  <c r="R49" i="34" s="1"/>
  <c r="E49" i="34" s="1"/>
  <c r="G53" i="34"/>
  <c r="H53" i="34" s="1"/>
  <c r="G54" i="34"/>
  <c r="H54" i="34" s="1"/>
  <c r="D16" i="71"/>
  <c r="U16" i="71" s="1"/>
  <c r="C15" i="71"/>
  <c r="T16" i="71"/>
  <c r="I53" i="34"/>
  <c r="J53" i="34" s="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50" i="34" l="1"/>
  <c r="C49" i="34" s="1"/>
  <c r="E54" i="34"/>
  <c r="F54" i="34" s="1"/>
  <c r="E53" i="34"/>
  <c r="F53" i="34" s="1"/>
  <c r="D15" i="71"/>
  <c r="C14" i="7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50" i="34" l="1"/>
  <c r="D14" i="74"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L51" i="15"/>
  <c r="D2" i="37"/>
  <c r="D2" i="34"/>
  <c r="D2" i="35"/>
  <c r="D10" i="71" l="1"/>
  <c r="C9" i="7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6" i="1"/>
  <c r="AO11" i="1"/>
  <c r="AO7"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C49" i="33"/>
  <c r="B2" i="33" s="1"/>
  <c r="B3" i="33" s="1"/>
  <c r="C30" i="81" l="1"/>
  <c r="C31" i="81" s="1"/>
  <c r="D37" i="81" s="1"/>
  <c r="D38" i="81" l="1"/>
  <c r="D40" i="81" s="1"/>
  <c r="C41" i="81" l="1"/>
  <c r="E41" i="8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<sst xmlns="http://schemas.openxmlformats.org/spreadsheetml/2006/main" count="8607" uniqueCount="3678">
  <si>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</si>
  <si>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</si>
  <si>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</si>
  <si>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</si>
  <si>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</si>
  <si>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</si>
  <si>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</si>
  <si>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</si>
  <si>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</si>
  <si>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</si>
  <si>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</si>
  <si>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</si>
  <si>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</si>
  <si>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</si>
  <si>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</si>
  <si>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</si>
  <si>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</si>
  <si>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</si>
  <si>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</si>
  <si>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</si>
  <si>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</si>
  <si>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</si>
  <si>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</si>
  <si>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</si>
  <si>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</si>
  <si>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</si>
  <si>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</si>
  <si>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</si>
  <si>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</si>
  <si>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</si>
  <si>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</si>
  <si>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</si>
  <si>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</si>
  <si>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</si>
  <si>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</si>
  <si>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</si>
  <si>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</si>
  <si>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</si>
  <si>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</si>
  <si>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</si>
  <si>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</si>
  <si>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</si>
  <si>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</si>
  <si>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</si>
  <si>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</si>
  <si>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</si>
  <si>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</si>
  <si>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</si>
  <si>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</si>
  <si>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</si>
  <si>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</si>
  <si>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</si>
  <si>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</si>
  <si>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</si>
  <si>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</si>
  <si>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</si>
  <si>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</si>
  <si>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</si>
  <si>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</si>
  <si>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</si>
  <si>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</si>
  <si>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</si>
  <si>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</si>
  <si>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</si>
  <si>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</si>
  <si>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</si>
  <si>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</si>
  <si>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</si>
  <si>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</si>
  <si>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</si>
  <si>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</si>
  <si>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</si>
  <si>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</si>
  <si>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</si>
  <si>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</si>
  <si>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</si>
  <si>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</si>
  <si>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</si>
  <si>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</si>
  <si>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</si>
  <si>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</si>
  <si>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</si>
  <si>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</si>
  <si>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</si>
  <si>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</si>
  <si>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</si>
  <si>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</si>
  <si>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</si>
  <si>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</si>
  <si>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</si>
  <si>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</si>
  <si>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</si>
  <si>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</si>
  <si>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</si>
  <si>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</si>
  <si>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</si>
  <si>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</si>
  <si>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</si>
  <si>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</si>
  <si>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</si>
  <si>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</si>
  <si>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</si>
  <si>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</si>
  <si>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</si>
  <si>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</si>
  <si>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</si>
  <si>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</si>
  <si>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</si>
  <si>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</si>
  <si>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</si>
  <si>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</si>
  <si>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</si>
  <si>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</si>
  <si>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</si>
  <si>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</si>
  <si>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</si>
  <si>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</si>
  <si>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</si>
  <si>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</si>
  <si>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</si>
  <si>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</si>
  <si>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</si>
  <si>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</si>
  <si>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</si>
  <si>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</si>
  <si>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</si>
  <si>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</si>
  <si>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</si>
  <si>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</si>
  <si>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</si>
  <si>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</si>
  <si>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</si>
  <si>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</si>
  <si>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</si>
  <si>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</si>
  <si>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</si>
  <si>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</si>
  <si>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</si>
  <si>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</si>
  <si>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</si>
  <si>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</si>
  <si>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</si>
  <si>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</si>
  <si>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</si>
  <si>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</si>
  <si>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</si>
  <si>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</si>
  <si>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</si>
  <si>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</si>
  <si>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</si>
  <si>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</si>
  <si>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</si>
  <si>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</si>
  <si>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</si>
  <si>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</si>
  <si>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</si>
  <si>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</si>
  <si>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</si>
  <si>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</si>
  <si>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</si>
  <si>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</si>
  <si>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</si>
  <si>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</si>
  <si>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</si>
  <si>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</si>
  <si>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</si>
  <si>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</si>
  <si>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</si>
  <si>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</si>
  <si>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</si>
  <si>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</si>
  <si>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</si>
  <si>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</si>
  <si>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</si>
  <si>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</si>
  <si>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</si>
  <si>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</si>
  <si>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</si>
  <si>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</si>
  <si>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</si>
  <si>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</si>
  <si>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</si>
  <si>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</si>
  <si>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</si>
  <si>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</si>
  <si>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</si>
  <si>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</si>
  <si>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</si>
  <si>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</si>
  <si>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</si>
  <si>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</si>
  <si>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</si>
  <si>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</si>
  <si>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</si>
  <si>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</si>
  <si>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</si>
  <si>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</si>
  <si>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</si>
  <si>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</si>
  <si>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</si>
  <si>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</si>
  <si>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</si>
  <si>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</si>
  <si>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</si>
  <si>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</si>
  <si>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</si>
  <si>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</si>
  <si>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</si>
  <si>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</si>
  <si>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</si>
  <si>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</si>
  <si>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</si>
  <si>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</si>
  <si>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</si>
  <si>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</si>
  <si>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</si>
  <si>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</si>
  <si>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</si>
  <si>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</si>
  <si>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</si>
  <si>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</si>
  <si>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</si>
  <si>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</si>
  <si>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</si>
  <si>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</si>
  <si>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</si>
  <si>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</si>
  <si>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</si>
  <si>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</si>
  <si>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</si>
  <si>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</si>
  <si>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</si>
  <si>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</si>
  <si>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</si>
  <si>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</si>
  <si>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</si>
  <si>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</si>
  <si>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</si>
  <si>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</si>
  <si>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</si>
  <si>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</si>
  <si>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</si>
  <si>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</si>
  <si>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</si>
  <si>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</si>
  <si>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</si>
  <si>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</si>
  <si>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</si>
  <si>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</si>
  <si>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</si>
  <si>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</si>
  <si>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</si>
  <si>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</si>
  <si>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</si>
  <si>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</si>
  <si>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</si>
  <si>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</si>
  <si>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</si>
  <si>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</si>
  <si>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</si>
  <si>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</si>
  <si>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</si>
  <si>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</si>
  <si>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</si>
  <si>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</si>
  <si>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</si>
  <si>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</si>
  <si>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</si>
  <si>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</si>
  <si>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</si>
  <si>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</si>
  <si>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</si>
  <si>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</si>
  <si>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</si>
  <si>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</si>
  <si>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</si>
  <si>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</si>
  <si>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</si>
  <si>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</si>
  <si>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</si>
  <si>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</si>
  <si>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</si>
  <si>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</si>
  <si>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</si>
  <si>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</si>
  <si>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</si>
  <si>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</si>
  <si>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</si>
  <si>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</si>
  <si>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</si>
  <si>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</si>
  <si>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</si>
  <si>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</si>
  <si>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</si>
  <si>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</si>
  <si>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</si>
  <si>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</si>
  <si>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</si>
  <si>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</si>
  <si>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</si>
  <si>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</si>
  <si>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</si>
  <si>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</si>
  <si>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</si>
  <si>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</si>
  <si>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</si>
  <si>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</si>
  <si>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</si>
  <si>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</si>
  <si>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</si>
  <si>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</si>
  <si>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</si>
  <si>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</si>
  <si>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</si>
  <si>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</si>
  <si>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</si>
  <si>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</si>
  <si>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</si>
  <si>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</si>
  <si>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</si>
  <si>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</si>
  <si>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</si>
  <si>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</si>
  <si>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</si>
  <si>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</si>
  <si>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</si>
  <si>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</si>
  <si>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</si>
  <si>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</si>
  <si>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</si>
  <si>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</si>
  <si>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</si>
  <si>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</si>
  <si>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</si>
  <si>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</si>
  <si>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</si>
  <si>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</si>
  <si>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</si>
  <si>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</si>
  <si>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</si>
  <si>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</si>
  <si>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</si>
  <si>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</si>
  <si>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</si>
  <si>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</si>
  <si>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</si>
  <si>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</si>
  <si>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</si>
  <si>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</si>
  <si>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</si>
  <si>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</si>
  <si>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</si>
  <si>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</si>
  <si>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</si>
  <si>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</si>
  <si>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</si>
  <si>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</si>
  <si>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</si>
  <si>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</si>
  <si>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</si>
  <si>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</si>
  <si>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</si>
  <si>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</si>
  <si>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</si>
  <si>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</si>
  <si>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</si>
  <si>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</si>
  <si>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</si>
  <si>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</si>
  <si>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</si>
  <si>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</si>
  <si>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</si>
  <si>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</si>
  <si>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</si>
  <si>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</si>
  <si>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</si>
  <si>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</si>
  <si>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</si>
  <si>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</si>
  <si>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</si>
  <si>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</si>
  <si>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</si>
  <si>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</si>
  <si>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</si>
  <si>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</si>
  <si>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</si>
  <si>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</si>
  <si>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</si>
  <si>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</si>
  <si>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</si>
  <si>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</si>
  <si>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</si>
  <si>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</si>
  <si>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</si>
  <si>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</si>
  <si>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</si>
  <si>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</si>
  <si>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</si>
  <si>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</si>
  <si>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</si>
  <si>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</si>
  <si>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</si>
  <si>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</si>
  <si>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</si>
  <si>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</si>
  <si>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</si>
  <si>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</si>
  <si>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</si>
  <si>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</si>
  <si>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</si>
  <si>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</si>
  <si>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</si>
  <si>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</si>
  <si>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</si>
  <si>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</si>
  <si>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</si>
  <si>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</si>
  <si>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</si>
  <si>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</si>
  <si>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</si>
  <si>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</si>
  <si>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</si>
  <si>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</si>
  <si>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</si>
  <si>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</si>
  <si>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</si>
  <si>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</si>
  <si>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</si>
  <si>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</si>
  <si>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</si>
  <si>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</si>
  <si>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</si>
  <si>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</si>
  <si>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</si>
  <si>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</si>
  <si>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</si>
  <si>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</si>
  <si>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</si>
  <si>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</si>
  <si>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</si>
  <si>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</si>
  <si>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</si>
  <si>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</si>
  <si>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</si>
  <si>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</si>
  <si>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</si>
  <si>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</si>
  <si>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</si>
  <si>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</si>
  <si>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</si>
  <si>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</si>
  <si>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</si>
  <si>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</si>
  <si>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</si>
  <si>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</si>
  <si>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</si>
  <si>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</si>
  <si>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</si>
  <si>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</si>
  <si>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</si>
  <si>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</si>
  <si>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</si>
  <si>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</si>
  <si>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</si>
  <si>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</si>
  <si>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</si>
  <si>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</si>
  <si>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</si>
  <si>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</si>
  <si>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</si>
  <si>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</si>
  <si>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</si>
  <si>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</si>
  <si>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</si>
  <si>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</si>
  <si>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</si>
  <si>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</si>
  <si>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</si>
  <si>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</si>
  <si>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</si>
  <si>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</si>
  <si>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</si>
  <si>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</si>
  <si>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</si>
  <si>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</si>
  <si>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</si>
  <si>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</si>
  <si>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</si>
  <si>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</si>
  <si>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</si>
  <si>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</si>
  <si>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</si>
  <si>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</si>
  <si>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</si>
  <si>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</si>
  <si>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</si>
  <si>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</si>
  <si>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</si>
  <si>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</si>
  <si>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</si>
  <si>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</si>
  <si>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</si>
  <si>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</si>
  <si>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</si>
  <si>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</si>
  <si>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</si>
  <si>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</si>
  <si>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</si>
  <si>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</si>
  <si>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</si>
  <si>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</si>
  <si>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</si>
  <si>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</si>
  <si>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</si>
  <si>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</si>
  <si>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</si>
  <si>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</si>
  <si>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</si>
  <si>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</si>
  <si>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</si>
  <si>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</si>
  <si>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</si>
  <si>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</si>
  <si>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</si>
  <si>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</si>
  <si>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</si>
  <si>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</si>
  <si>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</si>
  <si>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</si>
  <si>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</si>
  <si>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</si>
  <si>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</si>
  <si>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</si>
  <si>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</si>
  <si>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</si>
  <si>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</si>
  <si>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</si>
  <si>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</si>
  <si>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</si>
  <si>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</si>
  <si>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</si>
  <si>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</si>
  <si>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</si>
  <si>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</si>
  <si>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</si>
  <si>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</si>
  <si>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</si>
  <si>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</si>
  <si>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</si>
  <si>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</si>
  <si>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</si>
  <si>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</si>
  <si>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</si>
  <si>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</si>
  <si>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</si>
  <si>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</si>
  <si>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</si>
  <si>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</si>
  <si>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</si>
  <si>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</si>
  <si>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</si>
  <si>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</si>
  <si>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</si>
  <si>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</si>
  <si>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</si>
  <si>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</si>
  <si>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</si>
  <si>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</si>
  <si>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</si>
  <si>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</si>
  <si>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</si>
  <si>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</si>
  <si>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</si>
  <si>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</si>
  <si>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</si>
  <si>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</si>
  <si>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</si>
  <si>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</si>
  <si>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</si>
  <si>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</si>
  <si>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</si>
  <si>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</si>
  <si>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</si>
  <si>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</si>
  <si>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</si>
  <si>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</si>
  <si>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</si>
  <si>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</si>
  <si>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</si>
  <si>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</si>
  <si>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</si>
  <si>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</si>
  <si>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</si>
  <si>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</si>
  <si>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</si>
  <si>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</si>
  <si>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</si>
  <si>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</si>
  <si>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</si>
  <si>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</si>
  <si>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</si>
  <si>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</si>
  <si>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</si>
  <si>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</si>
  <si>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</si>
  <si>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</si>
  <si>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</si>
  <si>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</si>
  <si>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</si>
  <si>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</si>
  <si>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</si>
  <si>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</si>
  <si>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</si>
  <si>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</si>
  <si>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</si>
  <si>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</si>
  <si>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</si>
  <si>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</si>
  <si>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</si>
  <si>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</si>
  <si>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</si>
  <si>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</si>
  <si>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</si>
  <si>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</si>
  <si>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</si>
  <si>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</si>
  <si>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</si>
  <si>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</si>
  <si>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</si>
  <si>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</si>
  <si>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</si>
  <si>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</si>
  <si>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</si>
  <si>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</si>
  <si>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</si>
  <si>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</si>
  <si>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</si>
  <si>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</si>
  <si>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</si>
  <si>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</si>
  <si>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</si>
  <si>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</si>
  <si>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</si>
  <si>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</si>
  <si>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</si>
  <si>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</si>
  <si>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</si>
  <si>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</si>
  <si>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</si>
  <si>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</si>
  <si>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</si>
  <si>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</si>
  <si>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</si>
  <si>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</si>
  <si>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</si>
  <si>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</si>
  <si>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</si>
  <si>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</si>
  <si>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</si>
  <si>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</si>
  <si>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</si>
  <si>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</si>
  <si>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</si>
  <si>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</si>
  <si>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</si>
  <si>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</si>
  <si>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</si>
  <si>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</si>
  <si>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</si>
  <si>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</si>
  <si>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</si>
  <si>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</si>
  <si>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</si>
  <si>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</si>
  <si>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</si>
  <si>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</si>
  <si>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</si>
  <si>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</si>
  <si>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</si>
  <si>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</si>
  <si>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</si>
  <si>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</si>
  <si>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</si>
  <si>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</si>
  <si>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</si>
  <si>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</si>
  <si>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</si>
  <si>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</si>
  <si>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</si>
  <si>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</si>
  <si>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</si>
  <si>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</si>
  <si>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</si>
  <si>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</si>
  <si>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</si>
  <si>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</si>
  <si>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</si>
  <si>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</si>
  <si>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</si>
  <si>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</si>
  <si>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</si>
  <si>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</si>
  <si>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</si>
  <si>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</si>
  <si>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</si>
  <si>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</si>
  <si>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</si>
  <si>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</si>
  <si>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</si>
  <si>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</si>
  <si>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</si>
  <si>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</si>
  <si>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</si>
  <si>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</si>
  <si>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</si>
  <si>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</si>
  <si>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</si>
  <si>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</si>
  <si>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</si>
  <si>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</si>
  <si>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</si>
  <si>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</si>
  <si>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</si>
  <si>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</si>
  <si>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</si>
  <si>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</si>
  <si>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</si>
  <si>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</si>
  <si>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</si>
  <si>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</si>
  <si>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</si>
  <si>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</si>
  <si>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</si>
  <si>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</si>
  <si>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</si>
  <si>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</si>
  <si>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</si>
  <si>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</si>
  <si>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</si>
  <si>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</si>
  <si>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</si>
  <si>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</si>
  <si>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</si>
  <si>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</si>
  <si>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</si>
  <si>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</si>
  <si>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</si>
  <si>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</si>
  <si>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</si>
  <si>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</si>
  <si>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</si>
  <si>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</si>
  <si>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</si>
  <si>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</si>
  <si>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</si>
  <si>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</si>
  <si>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</si>
  <si>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</si>
  <si>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</si>
  <si>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</si>
  <si>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</si>
  <si>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</si>
  <si>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</si>
  <si>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</si>
  <si>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</si>
  <si>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</si>
  <si>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</si>
  <si>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</si>
  <si>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</si>
  <si>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</si>
  <si>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</si>
  <si>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</si>
  <si>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</si>
  <si>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</si>
  <si>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</si>
  <si>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</si>
  <si>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</si>
  <si>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</si>
  <si>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</si>
  <si>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</si>
  <si>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</si>
  <si>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</si>
  <si>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</si>
  <si>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</si>
  <si>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</si>
  <si>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</si>
  <si>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</si>
  <si>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</si>
  <si>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</si>
  <si>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</si>
  <si>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</si>
  <si>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</si>
  <si>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</si>
  <si>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</si>
  <si>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</si>
  <si>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</si>
  <si>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</si>
  <si>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</si>
  <si>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</si>
  <si>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</si>
  <si>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</si>
  <si>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</si>
  <si>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</si>
  <si>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</si>
  <si>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</si>
  <si>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</si>
  <si>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</si>
  <si>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</si>
  <si>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</si>
  <si>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</si>
  <si>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</si>
  <si>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</si>
  <si>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</si>
  <si>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</si>
  <si>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</si>
  <si>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</si>
  <si>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</si>
  <si>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</si>
  <si>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</si>
  <si>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</si>
  <si>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</si>
  <si>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</si>
  <si>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</si>
  <si>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</si>
  <si>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</si>
  <si>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</si>
  <si>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</si>
  <si>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</si>
  <si>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</si>
  <si>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</si>
  <si>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</si>
  <si>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</si>
  <si>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</si>
  <si>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</si>
  <si>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</si>
  <si>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</si>
  <si>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</si>
  <si>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</si>
  <si>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</si>
  <si>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</si>
  <si>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</si>
  <si>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</si>
  <si>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</si>
  <si>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</si>
  <si>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</si>
  <si>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</si>
  <si>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</si>
  <si>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</si>
  <si>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</si>
  <si>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</si>
  <si>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</si>
  <si>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</si>
  <si>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</si>
  <si>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</si>
  <si>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</si>
  <si>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</si>
  <si>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</si>
  <si>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</si>
  <si>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</si>
  <si>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</si>
  <si>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</si>
  <si>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</si>
  <si>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</si>
  <si>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</si>
  <si>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</si>
  <si>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</si>
  <si>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</si>
  <si>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</si>
  <si>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</si>
  <si>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</si>
  <si>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</si>
  <si>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</si>
  <si>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</si>
  <si>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</si>
  <si>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</si>
  <si>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</si>
  <si>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</si>
  <si>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</si>
  <si>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</si>
  <si>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</si>
  <si>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</si>
  <si>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</si>
  <si>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</si>
  <si>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</si>
  <si>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</si>
  <si>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</si>
  <si>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</si>
  <si>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</si>
  <si>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</si>
  <si>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</si>
  <si>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</si>
  <si>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</si>
  <si>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</si>
  <si>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</si>
  <si>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</si>
  <si>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</si>
  <si>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</si>
  <si>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</si>
  <si>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</si>
  <si>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</si>
  <si>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</si>
  <si>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</si>
  <si>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</si>
  <si>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</si>
  <si>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</si>
  <si>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</si>
  <si>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</si>
  <si>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</si>
  <si>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</si>
  <si>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</si>
  <si>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</si>
  <si>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</si>
  <si>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</si>
  <si>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</si>
  <si>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</si>
  <si>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</si>
  <si>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</si>
  <si>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</si>
  <si>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</si>
  <si>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</si>
  <si>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</si>
  <si>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</si>
  <si>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</si>
  <si>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</si>
  <si>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</si>
  <si>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</si>
  <si>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</si>
  <si>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</si>
  <si>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</si>
  <si>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</si>
  <si>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</si>
  <si>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</si>
  <si>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</si>
  <si>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</si>
  <si>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</si>
  <si>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</si>
  <si>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</si>
  <si>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</si>
  <si>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</si>
  <si>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</si>
  <si>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</si>
  <si>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</si>
  <si>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</si>
  <si>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</si>
  <si>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</si>
  <si>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</si>
  <si>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</si>
  <si>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</si>
  <si>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</si>
  <si>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</si>
  <si>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</si>
  <si>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</si>
  <si>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</si>
  <si>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</si>
  <si>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</si>
  <si>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</si>
  <si>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</si>
  <si>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</si>
  <si>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</si>
  <si>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</si>
  <si>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</si>
  <si>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</si>
  <si>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</si>
  <si>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</si>
  <si>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</si>
  <si>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</si>
  <si>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</si>
  <si>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</si>
  <si>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</si>
  <si>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</si>
  <si>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</si>
  <si>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</si>
  <si>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</si>
  <si>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</si>
  <si>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</si>
  <si>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</si>
  <si>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</si>
  <si>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</si>
  <si>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</si>
  <si>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</si>
  <si>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</si>
  <si>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</si>
  <si>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</si>
  <si>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</si>
  <si>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</si>
  <si>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</si>
  <si>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</si>
  <si>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</si>
  <si>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</si>
  <si>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</si>
  <si>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</si>
  <si>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</si>
  <si>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</si>
  <si>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</si>
  <si>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</si>
  <si>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</si>
  <si>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</si>
  <si>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</si>
  <si>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</si>
  <si>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</si>
  <si>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</si>
  <si>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</si>
  <si>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</si>
  <si>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</si>
  <si>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</si>
  <si>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</si>
  <si>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</si>
  <si>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</si>
  <si>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</si>
  <si>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</si>
  <si>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</si>
  <si>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</si>
  <si>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</si>
  <si>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</si>
  <si>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</si>
  <si>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</si>
  <si>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</si>
  <si>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</si>
  <si>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</si>
  <si>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</si>
  <si>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</si>
  <si>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</si>
  <si>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</si>
  <si>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</si>
  <si>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</si>
  <si>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</si>
  <si>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</si>
  <si>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</si>
  <si>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</si>
  <si>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</si>
  <si>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</si>
  <si>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</si>
  <si>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</si>
  <si>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</si>
  <si>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</si>
  <si>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</si>
  <si>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</si>
  <si>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</si>
  <si>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</si>
  <si>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</si>
  <si>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</si>
  <si>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</si>
  <si>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</si>
  <si>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</si>
  <si>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</si>
  <si>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</si>
  <si>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</si>
  <si>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</si>
  <si>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</si>
  <si>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</si>
  <si>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</si>
  <si>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</si>
  <si>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</si>
  <si>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</si>
  <si>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</si>
  <si>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</si>
  <si>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</si>
  <si>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</si>
  <si>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</si>
  <si>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</si>
  <si>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</si>
  <si>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</si>
  <si>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</si>
  <si>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</si>
  <si>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</si>
  <si>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</si>
  <si>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</si>
  <si>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</si>
  <si>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</si>
  <si>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</si>
  <si>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</si>
  <si>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</si>
  <si>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</si>
  <si>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</si>
  <si>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</si>
  <si>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</si>
  <si>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</si>
  <si>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</si>
  <si>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</si>
  <si>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</si>
  <si>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</si>
  <si>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</si>
  <si>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</si>
  <si>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</si>
  <si>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</si>
  <si>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</si>
  <si>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</si>
  <si>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</si>
  <si>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</si>
  <si>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</si>
  <si>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</si>
  <si>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</si>
  <si>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</si>
  <si>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</si>
  <si>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</si>
  <si>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</si>
  <si>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</si>
  <si>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</si>
  <si>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</si>
  <si>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</si>
  <si>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</si>
  <si>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</si>
  <si>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</si>
  <si>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</si>
  <si>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</si>
  <si>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</si>
  <si>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</si>
  <si>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</si>
  <si>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</si>
  <si>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</si>
  <si>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</si>
  <si>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</si>
  <si>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</si>
  <si>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</si>
  <si>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</si>
  <si>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</si>
  <si>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</si>
  <si>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</si>
  <si>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</si>
  <si>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</si>
  <si>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</si>
  <si>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</si>
  <si>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</si>
  <si>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</si>
  <si>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</si>
  <si>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</si>
  <si>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</si>
  <si>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</si>
  <si>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</si>
  <si>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</si>
  <si>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</si>
  <si>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</si>
  <si>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</si>
  <si>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</si>
  <si>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</si>
  <si>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</si>
  <si>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</si>
  <si>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</si>
  <si>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</si>
  <si>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</si>
  <si>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</si>
  <si>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</si>
  <si>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</si>
  <si>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</si>
  <si>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</si>
  <si>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</si>
  <si>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</si>
  <si>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</si>
  <si>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</si>
  <si>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</si>
  <si>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</si>
  <si>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</si>
  <si>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</si>
  <si>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</si>
  <si>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</si>
  <si>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</si>
  <si>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</si>
  <si>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</si>
  <si>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</si>
  <si>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</si>
  <si>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</si>
  <si>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</si>
  <si>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</si>
  <si>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</si>
  <si>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</si>
  <si>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</si>
  <si>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</si>
  <si>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</si>
  <si>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</si>
  <si>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</si>
  <si>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</si>
  <si>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</si>
  <si>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</si>
  <si>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</si>
  <si>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</si>
  <si>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</si>
  <si>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</si>
  <si>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</si>
  <si>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</si>
  <si>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</si>
  <si>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</si>
  <si>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</si>
  <si>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</si>
  <si>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</si>
  <si>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</si>
  <si>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</si>
  <si>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</si>
  <si>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</si>
  <si>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</si>
  <si>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</si>
  <si>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</si>
  <si>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</si>
  <si>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</si>
  <si>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</si>
  <si>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</si>
  <si>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</si>
  <si>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</si>
  <si>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</si>
  <si>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</si>
  <si>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</si>
  <si>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</si>
  <si>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</si>
  <si>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</si>
  <si>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</si>
  <si>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</si>
  <si>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</si>
  <si>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</si>
  <si>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</si>
  <si>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</si>
  <si>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</si>
  <si>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</si>
  <si>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</si>
  <si>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</si>
  <si>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</si>
  <si>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</si>
  <si>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</si>
  <si>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</si>
  <si>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</si>
  <si>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</si>
  <si>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</si>
  <si>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</si>
  <si>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</si>
  <si>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</si>
  <si>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</si>
  <si>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</si>
  <si>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</si>
  <si>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</si>
  <si>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</si>
  <si>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</si>
  <si>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</si>
  <si>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</si>
  <si>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</si>
  <si>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</si>
  <si>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</si>
  <si>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</si>
  <si>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</si>
  <si>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</si>
  <si>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</si>
  <si>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</si>
  <si>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</si>
  <si>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</si>
  <si>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</si>
  <si>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</si>
  <si>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</si>
  <si>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</si>
  <si>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</si>
  <si>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</si>
  <si>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</si>
  <si>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</si>
  <si>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</si>
  <si>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</si>
  <si>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</si>
  <si>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</si>
  <si>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</si>
  <si>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</si>
  <si>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</si>
  <si>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</si>
  <si>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</si>
  <si>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</si>
  <si>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</si>
  <si>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</si>
  <si>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</si>
  <si>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</si>
  <si>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</si>
  <si>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</si>
  <si>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</si>
  <si>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</si>
  <si>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</si>
  <si>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</si>
  <si>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</si>
  <si>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</si>
  <si>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</si>
  <si>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</si>
  <si>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</si>
  <si>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</si>
  <si>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</si>
  <si>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</si>
  <si>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</si>
  <si>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</si>
  <si>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</si>
  <si>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</si>
  <si>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</si>
  <si>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</si>
  <si>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</si>
  <si>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</si>
  <si>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</si>
  <si>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</si>
  <si>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</si>
  <si>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</si>
  <si>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</si>
  <si>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</si>
  <si>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</si>
  <si>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</si>
  <si>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</si>
  <si>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</si>
  <si>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</si>
  <si>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</si>
  <si>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</si>
  <si>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</si>
  <si>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</si>
  <si>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</si>
  <si>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</si>
  <si>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</si>
  <si>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</si>
  <si>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</si>
  <si>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</si>
  <si>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</si>
  <si>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</si>
  <si>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</si>
  <si>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</si>
  <si>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</si>
  <si>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</si>
  <si>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</si>
  <si>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</si>
  <si>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</si>
  <si>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</si>
  <si>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</si>
  <si>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</si>
  <si>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</si>
  <si>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</si>
  <si>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</si>
  <si>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</si>
  <si>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</si>
  <si>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</si>
  <si>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</si>
  <si>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</si>
  <si>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</si>
  <si>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</si>
  <si>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</si>
  <si>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</si>
  <si>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</si>
  <si>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</si>
  <si>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</si>
  <si>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</si>
  <si>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</si>
  <si>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</si>
  <si>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</si>
  <si>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</si>
  <si>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</si>
  <si>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</si>
  <si>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</si>
  <si>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</si>
  <si>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</si>
  <si>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</si>
  <si>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</si>
  <si>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</si>
  <si>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</si>
  <si>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</si>
  <si>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</si>
  <si>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</si>
  <si>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</si>
  <si>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</si>
  <si>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</si>
  <si>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</si>
  <si>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</si>
  <si>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</si>
  <si>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</si>
  <si>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</si>
  <si>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</si>
  <si>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</si>
  <si>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</si>
  <si>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</si>
  <si>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</si>
  <si>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</si>
  <si>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</si>
  <si>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</si>
  <si>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</si>
  <si>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</si>
  <si>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</si>
  <si>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</si>
  <si>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</si>
  <si>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</si>
  <si>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</si>
  <si>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</si>
  <si>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</si>
  <si>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</si>
  <si>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</si>
  <si>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</si>
  <si>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</si>
  <si>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</si>
  <si>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</si>
  <si>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</si>
  <si>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</si>
  <si>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</si>
  <si>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</si>
  <si>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</si>
  <si>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</si>
  <si>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</si>
  <si>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</si>
  <si>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</si>
  <si>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</si>
  <si>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</si>
  <si>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</si>
  <si>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</si>
  <si>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</si>
  <si>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</si>
  <si>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</si>
  <si>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</si>
  <si>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</si>
  <si>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</si>
  <si>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</si>
  <si>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</si>
  <si>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</si>
  <si>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</si>
  <si>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</si>
  <si>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</si>
  <si>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</si>
  <si>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</si>
  <si>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</si>
  <si>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</si>
  <si>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</si>
  <si>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</si>
  <si>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</si>
  <si>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</si>
  <si>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</si>
  <si>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</si>
  <si>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</si>
  <si>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</si>
  <si>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</si>
  <si>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</si>
  <si>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</si>
  <si>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</si>
  <si>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</si>
  <si>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</si>
  <si>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</si>
  <si>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</si>
  <si>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</si>
  <si>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</si>
  <si>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</si>
  <si>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</si>
  <si>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</si>
  <si>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</si>
  <si>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</si>
  <si>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</si>
  <si>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</si>
  <si>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</si>
  <si>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</si>
  <si>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</si>
  <si>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</si>
  <si>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</si>
  <si>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</si>
  <si>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</si>
  <si>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</si>
  <si>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</si>
  <si>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</si>
  <si>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</si>
  <si>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</si>
  <si>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</si>
  <si>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</si>
  <si>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</si>
  <si>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</si>
  <si>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</si>
  <si>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</si>
  <si>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</si>
  <si>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</si>
  <si>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</si>
  <si>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</si>
  <si>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</si>
  <si>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</si>
  <si>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</si>
  <si>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</si>
  <si>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</si>
  <si>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</si>
  <si>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</si>
  <si>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</si>
  <si>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</si>
  <si>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</si>
  <si>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</si>
  <si>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</si>
  <si>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</si>
  <si>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</si>
  <si>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</si>
  <si>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</si>
  <si>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</si>
  <si>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</si>
  <si>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</si>
  <si>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</si>
  <si>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</si>
  <si>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</si>
  <si>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</si>
  <si>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</si>
  <si>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</si>
  <si>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</si>
  <si>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</si>
  <si>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</si>
  <si>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</si>
  <si>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</si>
  <si>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</si>
  <si>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</si>
  <si>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</si>
  <si>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</si>
  <si>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</si>
  <si>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</si>
  <si>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</si>
  <si>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</si>
  <si>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</si>
  <si>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</si>
  <si>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</si>
  <si>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</si>
  <si>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</si>
  <si>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</si>
  <si>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</si>
  <si>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</si>
  <si>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</si>
  <si>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</si>
  <si>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</si>
  <si>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</si>
  <si>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</si>
  <si>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</si>
  <si>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</si>
  <si>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</si>
  <si>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</si>
  <si>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</si>
  <si>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</si>
  <si>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</si>
  <si>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</si>
  <si>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</si>
  <si>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</si>
  <si>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</si>
  <si>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</si>
  <si>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</si>
  <si>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</si>
  <si>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</si>
  <si>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</si>
  <si>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</si>
  <si>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</si>
  <si>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</si>
  <si>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</si>
  <si>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</si>
  <si>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</si>
  <si>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</si>
  <si>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</si>
  <si>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</si>
  <si>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</si>
  <si>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</si>
  <si>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</si>
  <si>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</si>
  <si>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</si>
  <si>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</si>
  <si>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</si>
  <si>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</si>
  <si>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</si>
  <si>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</si>
  <si>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</si>
  <si>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</si>
  <si>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</si>
  <si>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</si>
  <si>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</si>
  <si>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</si>
  <si>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</si>
  <si>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</si>
  <si>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</si>
  <si>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</si>
  <si>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</si>
  <si>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</si>
  <si>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</si>
  <si>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</si>
  <si>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</si>
  <si>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</si>
  <si>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</si>
  <si>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</si>
  <si>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</si>
  <si>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</si>
  <si>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</si>
  <si>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</si>
  <si>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</si>
  <si>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</si>
  <si>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</si>
  <si>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</si>
  <si>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</si>
  <si>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</si>
  <si>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</si>
  <si>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</si>
  <si>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</si>
  <si>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</si>
  <si>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</si>
  <si>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</si>
  <si>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</si>
  <si>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</si>
  <si>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</si>
  <si>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</si>
  <si>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</si>
  <si>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</si>
  <si>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</si>
  <si>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</si>
  <si>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</si>
  <si>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</si>
  <si>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</si>
  <si>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</si>
  <si>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</si>
  <si>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</si>
  <si>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</si>
  <si>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</si>
  <si>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</si>
  <si>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</si>
  <si>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</si>
  <si>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</si>
  <si>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</si>
  <si>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</si>
  <si>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</si>
  <si>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</si>
  <si>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</si>
  <si>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</si>
  <si>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</si>
  <si>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</si>
  <si>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</si>
  <si>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</si>
  <si>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</si>
  <si>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</si>
  <si>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</si>
  <si>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</si>
  <si>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</si>
  <si>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</si>
  <si>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</si>
  <si>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</si>
  <si>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</si>
  <si>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</si>
  <si>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</si>
  <si>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</si>
  <si>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</si>
  <si>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</si>
  <si>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</si>
  <si>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</si>
  <si>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</si>
  <si>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</si>
  <si>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</si>
  <si>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</si>
  <si>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</si>
  <si>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</si>
  <si>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</si>
  <si>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</si>
  <si>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</si>
  <si>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</si>
  <si>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</si>
  <si>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</si>
  <si>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</si>
  <si>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</si>
  <si>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</si>
  <si>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</si>
  <si>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</si>
  <si>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</si>
  <si>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</si>
  <si>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</si>
  <si>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</si>
  <si>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</si>
  <si>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</si>
  <si>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</si>
  <si>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</si>
  <si>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</si>
  <si>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</si>
  <si>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</si>
  <si>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</si>
  <si>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</si>
  <si>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</si>
  <si>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</si>
  <si>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</si>
  <si>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</si>
  <si>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</si>
  <si>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</si>
  <si>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</si>
  <si>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</si>
  <si>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</si>
  <si>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</si>
  <si>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</si>
  <si>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</si>
  <si>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</si>
  <si>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</si>
  <si>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</si>
  <si>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</si>
  <si>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</si>
  <si>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</si>
  <si>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</si>
  <si>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</si>
  <si>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</si>
  <si>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</si>
  <si>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</si>
  <si>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</si>
  <si>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</si>
  <si>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</si>
  <si>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</si>
  <si>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</si>
  <si>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</si>
  <si>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</si>
  <si>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</si>
  <si>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</si>
  <si>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</si>
  <si>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</si>
  <si>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</si>
  <si>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</si>
  <si>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</si>
  <si>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</si>
  <si>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</si>
  <si>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</si>
  <si>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</si>
  <si>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</si>
  <si>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</si>
  <si>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</si>
  <si>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</si>
  <si>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</si>
  <si>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</si>
  <si>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</si>
  <si>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</si>
  <si>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</si>
  <si>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</si>
  <si>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</si>
  <si>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</si>
  <si>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</si>
  <si>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</si>
  <si>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</si>
  <si>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</si>
  <si>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</si>
  <si>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</si>
  <si>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</si>
  <si>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</si>
  <si>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</si>
  <si>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</si>
  <si>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</si>
  <si>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</si>
  <si>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</si>
  <si>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</si>
  <si>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</si>
  <si>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</si>
  <si>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</si>
  <si>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</si>
  <si>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</si>
  <si>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</si>
  <si>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</si>
  <si>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</si>
  <si>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</si>
  <si>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</si>
  <si>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</si>
  <si>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</si>
  <si>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</si>
  <si>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</si>
  <si>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</si>
  <si>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</si>
  <si>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</si>
  <si>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</si>
  <si>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</si>
  <si>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</si>
  <si>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</si>
  <si>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</si>
  <si>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</si>
  <si>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</si>
  <si>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</si>
  <si>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</si>
  <si>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</si>
  <si>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</si>
  <si>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</si>
  <si>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</si>
  <si>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</si>
  <si>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</si>
  <si>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</si>
  <si>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</si>
  <si>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</si>
  <si>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</si>
  <si>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</si>
  <si>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</si>
  <si>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</si>
  <si>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</si>
  <si>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</si>
  <si>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</si>
  <si>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</si>
  <si>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</si>
  <si>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</si>
  <si>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</si>
  <si>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</si>
  <si>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</si>
  <si>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</si>
  <si>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</si>
  <si>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</si>
  <si>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</si>
  <si>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</si>
  <si>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</si>
  <si>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</si>
  <si>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</si>
  <si>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</si>
  <si>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</si>
  <si>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</si>
  <si>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</si>
  <si>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</si>
  <si>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</si>
  <si>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</si>
  <si>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</si>
  <si>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</si>
  <si>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</si>
  <si>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</si>
  <si>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</si>
  <si>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</si>
  <si>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</si>
  <si>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</si>
  <si>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</si>
  <si>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</si>
  <si>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</si>
  <si>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</si>
  <si>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</si>
  <si>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</si>
  <si>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</si>
  <si>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</si>
  <si>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</si>
  <si>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</si>
  <si>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</si>
  <si>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</si>
  <si>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</si>
  <si>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</si>
  <si>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</si>
  <si>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</si>
  <si>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</si>
  <si>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</si>
  <si>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</si>
  <si>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</si>
  <si>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</si>
  <si>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</si>
  <si>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</si>
  <si>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</si>
  <si>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</si>
  <si>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</si>
  <si>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</si>
  <si>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</si>
  <si>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</si>
  <si>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</si>
  <si>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</si>
  <si>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</si>
  <si>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</si>
  <si>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</si>
  <si>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</si>
  <si>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</si>
  <si>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</si>
  <si>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</si>
  <si>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</si>
  <si>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</si>
  <si>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</si>
  <si>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</si>
  <si>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</si>
  <si>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</si>
  <si>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</si>
  <si>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</si>
  <si>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</si>
  <si>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</si>
  <si>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</si>
  <si>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</si>
  <si>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</si>
  <si>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</si>
  <si>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</si>
  <si>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</si>
  <si>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</si>
  <si>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</si>
  <si>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</si>
  <si>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</si>
  <si>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</si>
  <si>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</si>
  <si>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</si>
  <si>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</si>
  <si>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</si>
  <si>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</si>
  <si>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</si>
  <si>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</si>
  <si>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</si>
  <si>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</si>
  <si>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</si>
  <si>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</si>
  <si>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</si>
  <si>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</si>
  <si>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</si>
  <si>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</si>
  <si>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</si>
  <si>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</si>
  <si>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</si>
  <si>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</si>
  <si>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</si>
  <si>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</si>
  <si>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</si>
  <si>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</si>
  <si>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</si>
  <si>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</si>
  <si>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</si>
  <si>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</si>
  <si>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</si>
  <si>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</si>
  <si>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</si>
  <si>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</si>
  <si>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</si>
  <si>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</si>
  <si>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</si>
  <si>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</si>
  <si>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</si>
  <si>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</si>
  <si>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</si>
  <si>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</si>
  <si>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</si>
  <si>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</si>
  <si>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</si>
  <si>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</si>
  <si>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</si>
  <si>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</si>
  <si>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</si>
  <si>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</si>
  <si>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</si>
  <si>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</si>
  <si>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</si>
  <si>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</si>
  <si>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</si>
  <si>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</si>
  <si>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</si>
  <si>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</si>
  <si>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</si>
  <si>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</si>
  <si>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</si>
  <si>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</si>
  <si>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</si>
  <si>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</si>
  <si>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</si>
  <si>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</si>
  <si>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</si>
  <si>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</si>
  <si>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</si>
  <si>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</si>
  <si>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</si>
  <si>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</si>
  <si>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</si>
  <si>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</si>
  <si>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</si>
  <si>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</si>
  <si>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</si>
  <si>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</si>
  <si>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</si>
  <si>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</si>
  <si>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</si>
  <si>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</si>
  <si>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</si>
  <si>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</si>
  <si>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</si>
  <si>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</si>
  <si>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</si>
  <si>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</si>
  <si>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</si>
  <si>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</si>
  <si>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</si>
  <si>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</si>
  <si>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</si>
  <si>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</si>
  <si>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</si>
  <si>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</si>
  <si>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</si>
  <si>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</si>
  <si>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</si>
  <si>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</si>
  <si>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</si>
  <si>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</si>
  <si>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</si>
  <si>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</si>
  <si>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</si>
  <si>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</si>
  <si>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</si>
  <si>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</si>
  <si>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</si>
  <si>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</si>
  <si>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</si>
  <si>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</si>
  <si>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</si>
  <si>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</si>
  <si>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</si>
  <si>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</si>
  <si>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</si>
  <si>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</si>
  <si>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</si>
  <si>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</si>
  <si>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</si>
  <si>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</si>
  <si>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</si>
  <si>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</si>
  <si>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</si>
  <si>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</si>
  <si>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</si>
  <si>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</si>
  <si>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</si>
  <si>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</si>
  <si>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</si>
  <si>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</si>
  <si>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</si>
  <si>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</si>
  <si>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</si>
  <si>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</si>
  <si>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</si>
  <si>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</si>
  <si>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</si>
  <si>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</si>
  <si>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</si>
  <si>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</si>
  <si>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</si>
  <si>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</si>
  <si>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</si>
  <si>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</si>
  <si>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</si>
  <si>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</si>
  <si>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</si>
  <si>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</si>
  <si>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</si>
  <si>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</si>
  <si>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</si>
  <si>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</si>
  <si>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</si>
  <si>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</si>
  <si>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</si>
  <si>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</si>
  <si>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</si>
  <si>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</si>
  <si>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</si>
  <si>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</si>
  <si>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</si>
  <si>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</si>
  <si>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</si>
  <si>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</si>
  <si>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</si>
  <si>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</si>
  <si>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</si>
  <si>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</si>
  <si>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</si>
  <si>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</si>
  <si>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</si>
  <si>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</si>
  <si>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</si>
  <si>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</si>
  <si>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</si>
  <si>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</si>
  <si>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</si>
  <si>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</si>
  <si>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</si>
  <si>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</si>
  <si>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</si>
  <si>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</si>
  <si>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</si>
  <si>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</si>
  <si>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</si>
  <si>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</si>
  <si>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</si>
  <si>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</si>
  <si>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</si>
  <si>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</si>
  <si>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</si>
  <si>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</si>
  <si>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</si>
  <si>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</si>
  <si>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</si>
  <si>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</si>
  <si>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</si>
  <si>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</si>
  <si>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</si>
  <si>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</si>
  <si>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</si>
  <si>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</si>
  <si>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</si>
  <si>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</si>
  <si>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</si>
  <si>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</si>
  <si>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</si>
  <si>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</si>
  <si>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</si>
  <si>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</si>
  <si>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</si>
  <si>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</si>
  <si>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</si>
  <si>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</si>
  <si>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</si>
  <si>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</si>
  <si>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</si>
  <si>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</si>
  <si>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</si>
  <si>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</si>
  <si>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</si>
  <si>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</si>
  <si>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</si>
  <si>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</si>
  <si>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</si>
  <si>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</si>
  <si>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</si>
  <si>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</si>
  <si>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</si>
  <si>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</si>
  <si>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</si>
  <si>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</si>
  <si>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</si>
  <si>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</si>
  <si>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</si>
  <si>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</si>
  <si>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</si>
  <si>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</si>
  <si>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</si>
  <si>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</si>
  <si>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</si>
  <si>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</si>
  <si>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</si>
  <si>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</si>
  <si>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</si>
  <si>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</si>
  <si>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</si>
  <si>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</si>
  <si>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</si>
  <si>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</si>
  <si>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</si>
  <si>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</si>
  <si>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</si>
  <si>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</si>
  <si>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</si>
  <si>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</si>
  <si>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</si>
  <si>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</si>
  <si>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</si>
  <si>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</si>
  <si>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</si>
  <si>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</si>
  <si>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</si>
  <si>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</si>
  <si>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</si>
  <si>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</si>
  <si>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</si>
  <si>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</si>
  <si>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</si>
  <si>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</si>
  <si>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</si>
  <si>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</si>
  <si>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</si>
  <si>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</si>
  <si>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</si>
  <si>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</si>
  <si>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</si>
  <si>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</si>
  <si>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</si>
  <si>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</si>
  <si>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</si>
  <si>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</si>
  <si>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</si>
  <si>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</si>
  <si>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</si>
  <si>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</si>
  <si>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</si>
  <si>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</si>
  <si>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</si>
  <si>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</si>
  <si>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</si>
  <si>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</si>
  <si>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</si>
  <si>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</si>
  <si>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</si>
  <si>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</si>
  <si>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</si>
  <si>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</si>
  <si>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</si>
  <si>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</si>
  <si>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</si>
  <si>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</si>
  <si>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</si>
  <si>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</si>
  <si>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</si>
  <si>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</si>
  <si>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</si>
  <si>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</si>
  <si>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</si>
  <si>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</si>
  <si>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</si>
  <si>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</si>
  <si>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</si>
  <si>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</si>
  <si>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</si>
  <si>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</si>
  <si>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</si>
  <si>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</si>
  <si>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</si>
  <si>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</si>
  <si>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</si>
  <si>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</si>
  <si>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</si>
  <si>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</si>
  <si>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</si>
  <si>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</si>
  <si>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</si>
  <si>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</si>
  <si>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</si>
  <si>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</si>
  <si>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</si>
  <si>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</si>
  <si>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</si>
  <si>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</si>
  <si>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</si>
  <si>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</si>
  <si>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</si>
  <si>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</si>
  <si>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</si>
  <si>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</si>
  <si>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</si>
  <si>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</si>
  <si>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</si>
  <si>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</si>
  <si>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</si>
  <si>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</si>
  <si>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</si>
  <si>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</si>
  <si>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</si>
  <si>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</si>
  <si>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</si>
  <si>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</si>
  <si>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</si>
  <si>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</si>
  <si>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</si>
  <si>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</si>
  <si>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</si>
  <si>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</si>
  <si>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</si>
  <si>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</si>
  <si>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</si>
  <si>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</si>
  <si>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</si>
  <si>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</si>
  <si>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</si>
  <si>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</si>
  <si>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</si>
  <si>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</si>
  <si>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</si>
  <si>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</si>
  <si>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</si>
  <si>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</si>
  <si>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</si>
  <si>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</si>
  <si>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</si>
  <si>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</si>
  <si>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</si>
  <si>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</si>
  <si>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</si>
  <si>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</si>
  <si>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</si>
  <si>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</si>
  <si>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</si>
  <si>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</si>
  <si>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</si>
  <si>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</si>
  <si>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</si>
  <si>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</si>
  <si>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</si>
  <si>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</si>
  <si>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</si>
  <si>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</si>
  <si>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</si>
  <si>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</si>
  <si>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</si>
  <si>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</si>
  <si>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</si>
  <si>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</si>
  <si>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</si>
  <si>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</si>
  <si>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</si>
  <si>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</si>
  <si>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</si>
  <si>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</si>
  <si>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</si>
  <si>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</si>
  <si>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</si>
  <si>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</si>
  <si>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</si>
  <si>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</si>
  <si>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</si>
  <si>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</si>
  <si>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</si>
  <si>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</si>
  <si>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</si>
  <si>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</si>
  <si>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</si>
  <si>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</si>
  <si>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</si>
  <si>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</si>
  <si>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</si>
  <si>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</si>
  <si>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</si>
  <si>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</si>
  <si>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</si>
  <si>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</si>
  <si>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</si>
  <si>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</si>
  <si>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</si>
  <si>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</si>
  <si>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</si>
  <si>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</si>
  <si>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</si>
  <si>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</si>
  <si>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</si>
  <si>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</si>
  <si>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</si>
  <si>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</si>
  <si>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</si>
  <si>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</si>
  <si>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</si>
  <si>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</si>
  <si>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</si>
  <si>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</si>
  <si>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</si>
  <si>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</si>
  <si>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</si>
  <si>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</si>
  <si>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</si>
  <si>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</si>
  <si>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</si>
  <si>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</si>
  <si>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</si>
  <si>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</si>
  <si>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</si>
  <si>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</si>
  <si>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</si>
  <si>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</si>
  <si>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</si>
  <si>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</si>
  <si>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</si>
  <si>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</si>
  <si>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</si>
  <si>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</si>
  <si>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</si>
  <si>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</si>
  <si>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</si>
  <si>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</si>
  <si>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</si>
  <si>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</si>
  <si>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</si>
  <si>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</si>
  <si>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</si>
  <si>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</si>
  <si>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</si>
  <si>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</si>
  <si>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</si>
  <si>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</si>
  <si>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</si>
  <si>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</si>
  <si>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</si>
  <si>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</si>
  <si>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</si>
  <si>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</si>
  <si>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</si>
  <si>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</si>
  <si>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</si>
  <si>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</si>
  <si>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</si>
  <si>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</si>
  <si>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</si>
  <si>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</si>
  <si>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</si>
  <si>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</si>
  <si>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</si>
  <si>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</si>
  <si>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</si>
  <si>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</si>
  <si>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</si>
  <si>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</si>
  <si>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</si>
  <si>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</si>
  <si>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</si>
  <si>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</si>
  <si>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</si>
  <si>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</si>
  <si>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</si>
  <si>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</si>
  <si>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</si>
  <si>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</si>
  <si>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</si>
  <si>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</si>
  <si>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</si>
  <si>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</si>
  <si>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</si>
  <si>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</si>
  <si>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</si>
  <si>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</si>
  <si>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</si>
  <si>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</si>
  <si>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</si>
  <si>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</si>
  <si>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</si>
  <si>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</si>
  <si>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</si>
  <si>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</si>
  <si>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</si>
  <si>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</si>
  <si>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</si>
  <si>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</si>
  <si>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</si>
  <si>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</si>
  <si>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</si>
  <si>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</si>
  <si>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</si>
  <si>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</si>
  <si>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</si>
  <si>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</si>
  <si>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</si>
  <si>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</si>
  <si>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</si>
  <si>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</si>
  <si>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</si>
  <si>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</si>
  <si>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</si>
  <si>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</si>
  <si>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</si>
  <si>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</si>
  <si>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</si>
  <si>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</si>
  <si>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</si>
  <si>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</si>
  <si>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</si>
  <si>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</si>
  <si>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</si>
  <si>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</si>
  <si>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</si>
  <si>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</si>
  <si>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</si>
  <si>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</si>
  <si>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</si>
  <si>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</si>
  <si>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</si>
  <si>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</si>
  <si>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</si>
  <si>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</si>
  <si>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</si>
  <si>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</si>
  <si>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</si>
  <si>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</si>
  <si>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</si>
  <si>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</si>
  <si>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</si>
  <si>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</si>
  <si>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</si>
  <si>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</si>
  <si>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</si>
  <si>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</si>
  <si>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</si>
  <si>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</si>
  <si>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</si>
  <si>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</si>
  <si>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</si>
  <si>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</si>
  <si>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</si>
  <si>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</si>
  <si>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</si>
  <si>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</si>
  <si>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</si>
  <si>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</si>
  <si>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</si>
  <si>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</si>
  <si>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</si>
  <si>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</si>
  <si>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</si>
  <si>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</si>
  <si>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</si>
  <si>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</si>
  <si>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</si>
  <si>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</si>
  <si>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</si>
  <si>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</si>
  <si>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</si>
  <si>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</si>
  <si>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</si>
  <si>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</si>
  <si>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</si>
  <si>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</si>
  <si>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</si>
  <si>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</si>
  <si>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</si>
  <si>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</si>
  <si>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</si>
  <si>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</si>
  <si>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</si>
  <si>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</si>
  <si>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</si>
  <si>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</si>
  <si>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</si>
  <si>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</si>
  <si>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</si>
  <si>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</si>
  <si>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</si>
  <si>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</si>
  <si>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</si>
  <si>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</si>
  <si>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</si>
  <si>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</si>
  <si>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</si>
  <si>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</si>
  <si>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</si>
  <si>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</si>
  <si>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</si>
  <si>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</si>
  <si>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</si>
  <si>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</si>
  <si>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</si>
  <si>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</si>
  <si>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</si>
  <si>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</si>
  <si>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</si>
  <si>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</si>
  <si>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</si>
  <si>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</si>
  <si>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</si>
  <si>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</si>
  <si>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</si>
  <si>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</si>
  <si>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</si>
  <si>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</si>
  <si>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</si>
  <si>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</si>
  <si>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</si>
  <si>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</si>
  <si>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</si>
  <si>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</si>
  <si>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</si>
  <si>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</si>
  <si>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</si>
  <si>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</si>
  <si>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</si>
  <si>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</si>
  <si>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</si>
  <si>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</si>
  <si>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</si>
  <si>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</si>
  <si>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</si>
  <si>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</si>
  <si>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</si>
  <si>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</si>
  <si>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</si>
  <si>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</si>
  <si>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</si>
  <si>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</si>
  <si>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</si>
  <si>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</si>
  <si>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</si>
  <si>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</si>
  <si>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</si>
  <si>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</si>
  <si>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</si>
  <si>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</si>
  <si>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</si>
  <si>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</si>
  <si>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</si>
  <si>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</si>
  <si>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</si>
  <si>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</si>
  <si>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</si>
  <si>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</si>
  <si>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</si>
  <si>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</si>
  <si>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</si>
  <si>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</si>
  <si>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</si>
  <si>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</si>
  <si>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</si>
  <si>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</si>
  <si>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</si>
  <si>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</si>
  <si>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</si>
  <si>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</si>
  <si>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</si>
  <si>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</si>
  <si>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</si>
  <si>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</si>
  <si>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</si>
  <si>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</si>
  <si>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</si>
  <si>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</si>
  <si>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</si>
  <si>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</si>
  <si>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</si>
  <si>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</si>
  <si>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</si>
  <si>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</si>
  <si>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</si>
  <si>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</si>
  <si>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</si>
  <si>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</si>
  <si>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</si>
  <si>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</si>
  <si>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</si>
  <si>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</si>
  <si>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</si>
  <si>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</si>
  <si>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</si>
  <si>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</si>
  <si>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</si>
  <si>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</si>
  <si>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</si>
  <si>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</si>
  <si>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</si>
  <si>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</si>
  <si>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</si>
  <si>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</si>
  <si>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</si>
  <si>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</si>
  <si>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</si>
  <si>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</si>
  <si>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</si>
  <si>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</si>
  <si>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</si>
  <si>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</si>
  <si>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</si>
  <si>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</si>
  <si>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</si>
  <si>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</si>
  <si>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</si>
  <si>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</si>
  <si>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</si>
  <si>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</si>
  <si>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</si>
  <si>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</si>
  <si>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</si>
  <si>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</si>
  <si>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</si>
  <si>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</si>
  <si>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</si>
  <si>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</si>
  <si>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</si>
  <si>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</si>
  <si>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</si>
  <si>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</si>
  <si>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</si>
  <si>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</si>
  <si>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</si>
  <si>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</si>
  <si>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</si>
  <si>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</si>
  <si>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</si>
  <si>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</si>
  <si>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</si>
  <si>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</si>
  <si>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</si>
  <si>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</si>
  <si>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</si>
  <si>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</si>
  <si>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</si>
  <si>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</si>
  <si>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</si>
  <si>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</si>
  <si>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</si>
  <si>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</si>
  <si>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</si>
  <si>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</si>
  <si>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</si>
  <si>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</si>
  <si>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</si>
  <si>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</si>
  <si>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</si>
  <si>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</si>
  <si>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</si>
  <si>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</si>
  <si>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</si>
  <si>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</si>
  <si>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</si>
  <si>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</si>
  <si>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</si>
  <si>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</si>
  <si>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</si>
  <si>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</si>
  <si>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</si>
  <si>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</si>
  <si>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</si>
  <si>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</si>
  <si>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</si>
  <si>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</si>
  <si>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</si>
  <si>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</si>
  <si>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</si>
  <si>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</si>
  <si>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</si>
  <si>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</si>
  <si>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</si>
  <si>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</si>
  <si>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</si>
  <si>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</si>
  <si>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</si>
  <si>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</si>
  <si>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</si>
  <si>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</si>
  <si>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</si>
  <si>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</si>
  <si>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</si>
  <si>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</si>
  <si>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</si>
  <si>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</si>
  <si>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</si>
  <si>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</si>
  <si>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</si>
  <si>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</si>
  <si>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</si>
  <si>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</si>
  <si>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</si>
  <si>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</si>
  <si>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</si>
  <si>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</si>
  <si>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</si>
  <si>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</si>
  <si>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</si>
  <si>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</si>
  <si>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</si>
  <si>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</si>
  <si>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</si>
  <si>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</si>
  <si>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</si>
  <si>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</si>
  <si>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</si>
  <si>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</si>
  <si>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</si>
  <si>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</si>
  <si>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</si>
  <si>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</si>
  <si>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</si>
  <si>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</si>
  <si>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</si>
  <si>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</si>
  <si>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</si>
  <si>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</si>
  <si>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</si>
  <si>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</si>
  <si>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</si>
  <si>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</si>
  <si>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</si>
  <si>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</si>
  <si>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</si>
  <si>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</si>
  <si>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</si>
  <si>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</si>
  <si>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</si>
  <si>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</si>
  <si>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</si>
  <si>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</si>
  <si>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</si>
  <si>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</si>
  <si>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</si>
  <si>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</si>
  <si>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</si>
  <si>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</si>
  <si>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</si>
  <si>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</si>
  <si>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</si>
  <si>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</si>
  <si>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</si>
  <si>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</si>
  <si>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</si>
  <si>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</si>
  <si>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</si>
  <si>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</si>
  <si>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</si>
  <si>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</si>
  <si>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</si>
  <si>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</si>
  <si>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</si>
  <si>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</si>
  <si>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</si>
  <si>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</si>
  <si>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</si>
  <si>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</si>
  <si>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</si>
  <si>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</si>
  <si>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</si>
  <si>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</si>
  <si>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</si>
  <si>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</si>
  <si>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</si>
  <si>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</si>
  <si>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</si>
  <si>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</si>
  <si>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</si>
  <si>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</si>
  <si>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</si>
  <si>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</si>
  <si>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</si>
  <si>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</si>
  <si>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</si>
  <si>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</si>
  <si>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</si>
  <si>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</si>
  <si>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</si>
  <si>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</si>
  <si>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</si>
  <si>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</si>
  <si>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</si>
  <si>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</si>
  <si>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</si>
  <si>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</si>
  <si>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</si>
  <si>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</si>
  <si>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</si>
  <si>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</si>
  <si>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</si>
  <si>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</si>
  <si>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</si>
  <si>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</si>
  <si>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</si>
  <si>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</si>
  <si>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</si>
  <si>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</si>
  <si>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</si>
  <si>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</si>
  <si>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</si>
  <si>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</si>
  <si>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</si>
  <si>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</si>
  <si>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</si>
  <si>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</si>
  <si>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</si>
  <si>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</si>
  <si>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</si>
  <si>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</si>
  <si>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</si>
  <si>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</si>
  <si>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</si>
  <si>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</si>
  <si>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</si>
  <si>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</si>
  <si>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</si>
  <si>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</si>
  <si>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</si>
  <si>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</si>
  <si>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</si>
  <si>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</si>
  <si>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</si>
  <si>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</si>
  <si>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</si>
  <si>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</si>
  <si>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</si>
  <si>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</si>
  <si>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</si>
  <si>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</si>
  <si>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</si>
  <si>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</si>
  <si>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</si>
  <si>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</si>
  <si>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</si>
  <si>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</si>
  <si>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</si>
  <si>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</si>
  <si>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</si>
  <si>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</si>
  <si>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</si>
  <si>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</si>
  <si>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</si>
  <si>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</si>
  <si>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</si>
  <si>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</si>
  <si>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</si>
  <si>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</si>
  <si>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</si>
  <si>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</si>
  <si>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</si>
  <si>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</si>
  <si>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</si>
  <si>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</si>
  <si>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</si>
  <si>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</si>
  <si>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</si>
  <si>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</si>
  <si>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</si>
  <si>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</si>
  <si>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</si>
  <si>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</si>
  <si>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</si>
  <si>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</si>
  <si>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</si>
  <si>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</si>
  <si>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</si>
  <si>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</si>
  <si>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</si>
  <si>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</si>
  <si>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</si>
  <si>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</si>
  <si>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</si>
  <si>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</si>
  <si>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</si>
  <si>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</si>
  <si>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</si>
  <si>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</si>
  <si>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</si>
  <si>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</si>
  <si>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</si>
  <si>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</si>
  <si>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</si>
  <si>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</si>
  <si>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</si>
  <si>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</si>
  <si>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</si>
  <si>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</si>
  <si>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</si>
  <si>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</si>
  <si>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</si>
  <si>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</si>
  <si>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</si>
  <si>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</si>
  <si>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</si>
  <si>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</si>
  <si>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</si>
  <si>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</si>
  <si>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</si>
  <si>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</si>
  <si>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</si>
  <si>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</si>
  <si>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</si>
  <si>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</si>
  <si>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</si>
  <si>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</si>
  <si>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</si>
  <si>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</si>
  <si>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</si>
  <si>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</si>
  <si>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</si>
  <si>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</si>
  <si>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</si>
  <si>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</si>
  <si>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</si>
  <si>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</si>
  <si>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</si>
  <si>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</si>
  <si>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</si>
  <si>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</si>
  <si>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</si>
  <si>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</si>
  <si>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</si>
  <si>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</si>
  <si>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</si>
  <si>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</si>
  <si>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</si>
  <si>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</si>
  <si>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</si>
  <si>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</si>
  <si>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</si>
  <si>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</si>
  <si>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</si>
  <si>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</si>
  <si>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</si>
  <si>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</si>
  <si>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</si>
  <si>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</si>
  <si>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</si>
  <si>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</si>
  <si>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</si>
  <si>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</si>
  <si>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</si>
  <si>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</si>
  <si>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</si>
  <si>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</si>
  <si>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</si>
  <si>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</si>
  <si>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</si>
  <si>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</si>
  <si>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</si>
  <si>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</si>
  <si>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</si>
  <si>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</si>
  <si>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</si>
  <si>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</si>
  <si>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</si>
  <si>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</si>
  <si>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</si>
  <si>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</si>
  <si>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</si>
  <si>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</si>
  <si>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</si>
  <si>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</si>
  <si>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</si>
  <si>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</si>
  <si>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</si>
  <si>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</si>
  <si>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</si>
  <si>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</si>
  <si>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</si>
  <si>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</si>
  <si>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</si>
  <si>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</si>
  <si>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</si>
  <si>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</si>
  <si>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</si>
  <si>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</si>
  <si>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</si>
  <si>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</si>
  <si>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</si>
  <si>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</si>
  <si>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</si>
  <si>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</si>
  <si>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</si>
  <si>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</si>
  <si>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</si>
  <si>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</si>
  <si>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</si>
  <si>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</si>
  <si>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</si>
  <si>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</si>
  <si>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</si>
  <si>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</si>
  <si>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</si>
  <si>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</si>
  <si>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</si>
  <si>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</si>
  <si>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</si>
  <si>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</si>
  <si>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</si>
  <si>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</si>
  <si>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</si>
  <si>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</si>
  <si>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</si>
  <si>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</si>
  <si>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</si>
  <si>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</si>
  <si>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</si>
  <si>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</si>
  <si>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</si>
  <si>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</si>
  <si>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</si>
  <si>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</si>
  <si>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</si>
  <si>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</si>
  <si>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</si>
  <si>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</si>
  <si>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</si>
  <si>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</si>
  <si>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</si>
  <si>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</si>
  <si>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</si>
  <si>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</si>
  <si>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</si>
  <si>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</si>
  <si>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</si>
  <si>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</si>
  <si>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</si>
  <si>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</si>
  <si>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</si>
  <si>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</si>
  <si>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</si>
  <si>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</si>
  <si>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</si>
  <si>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</si>
  <si>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</si>
  <si>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</si>
  <si>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</si>
  <si>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</si>
  <si>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</si>
  <si>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</si>
  <si>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</si>
  <si>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</si>
  <si>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</si>
  <si>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</si>
  <si>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</si>
  <si>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</si>
  <si>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</si>
  <si>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</si>
  <si>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</si>
  <si>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</si>
  <si>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</si>
  <si>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</si>
  <si>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</si>
  <si>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</si>
  <si>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</si>
  <si>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</si>
  <si>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</si>
  <si>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</si>
  <si>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</si>
  <si>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</si>
  <si>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</si>
  <si>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</si>
  <si>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</si>
  <si>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</si>
  <si>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</si>
  <si>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</si>
  <si>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</si>
  <si>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</si>
  <si>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</si>
  <si>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</si>
  <si>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</si>
  <si>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</si>
  <si>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</si>
  <si>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</si>
  <si>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</si>
  <si>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</si>
  <si>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</si>
  <si>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</si>
  <si>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</si>
  <si>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</si>
  <si>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</si>
  <si>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</si>
  <si>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</si>
  <si>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</si>
  <si>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</si>
  <si>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</si>
  <si>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</si>
  <si>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</si>
  <si>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</si>
  <si>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</si>
  <si>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</si>
  <si>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</si>
  <si>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</si>
  <si>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</si>
  <si>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</si>
  <si>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</si>
  <si>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</si>
  <si>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</si>
  <si>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</si>
  <si>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</si>
  <si>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</si>
  <si>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</si>
  <si>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</si>
  <si>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</si>
  <si>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</si>
  <si>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</si>
  <si>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</si>
  <si>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</si>
  <si>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</si>
  <si>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</si>
  <si>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</si>
  <si>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</si>
  <si>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</si>
  <si>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</si>
  <si>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</si>
  <si>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</si>
  <si>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</si>
  <si>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</si>
  <si>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</si>
  <si>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</si>
  <si>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</si>
  <si>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</si>
  <si>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</si>
  <si>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</si>
  <si>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</si>
  <si>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</si>
  <si>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</si>
  <si>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</si>
  <si>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</si>
  <si>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</si>
  <si>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</si>
  <si>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</si>
  <si>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</si>
  <si>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</si>
  <si>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</si>
  <si>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</si>
  <si>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</si>
  <si>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</si>
  <si>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</si>
  <si>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</si>
  <si>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</si>
  <si>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</si>
  <si>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</si>
  <si>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</si>
  <si>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</si>
  <si>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</si>
  <si>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</si>
  <si>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</si>
  <si>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</si>
  <si>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</si>
  <si>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</si>
  <si>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</si>
  <si>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</si>
  <si>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</si>
  <si>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</si>
  <si>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</si>
  <si>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</si>
  <si>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</si>
  <si>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</si>
  <si>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</si>
  <si>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</si>
  <si>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</si>
  <si>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</si>
  <si>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</si>
  <si>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</si>
  <si>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</si>
  <si>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</si>
  <si>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</si>
  <si>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</si>
  <si>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</si>
  <si>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</si>
  <si>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</si>
  <si>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</si>
  <si>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</si>
  <si>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</si>
  <si>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</si>
  <si>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</si>
  <si>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</si>
  <si>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</si>
  <si>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</si>
  <si>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</si>
  <si>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</si>
  <si>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</si>
  <si>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</si>
  <si>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</si>
  <si>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</si>
  <si>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</si>
  <si>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</si>
  <si>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</si>
  <si>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</si>
  <si>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</si>
  <si>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</si>
  <si>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</si>
  <si>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</si>
  <si>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</si>
  <si>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</si>
  <si>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</si>
  <si>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</si>
  <si>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</si>
  <si>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</si>
  <si>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</si>
  <si>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</si>
  <si>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</si>
  <si>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</si>
  <si>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</si>
  <si>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</si>
  <si>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</si>
  <si>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</si>
  <si>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</si>
  <si>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</si>
  <si>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</si>
  <si>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</si>
  <si>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</si>
  <si>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</si>
  <si>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</si>
  <si>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</si>
  <si>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</si>
  <si>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</si>
  <si>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</si>
  <si>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</si>
  <si>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</si>
  <si>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</si>
  <si>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</si>
  <si>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</si>
  <si>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</si>
  <si>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</si>
  <si>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</si>
  <si>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</si>
  <si>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</si>
  <si>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</si>
  <si>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</si>
  <si>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</si>
  <si>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</si>
  <si>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</si>
  <si>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</si>
  <si>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</si>
  <si>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</si>
  <si>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</si>
  <si>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</si>
  <si>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</si>
  <si>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</si>
  <si>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</si>
  <si>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</si>
  <si>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</si>
  <si>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</si>
  <si>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</si>
  <si>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</si>
  <si>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</si>
  <si>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</si>
  <si>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</si>
  <si>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</si>
  <si>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</si>
  <si>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</si>
  <si>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</si>
  <si>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</si>
  <si>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</si>
  <si>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</si>
  <si>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</si>
  <si>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</si>
  <si>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</si>
  <si>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</si>
  <si>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</si>
  <si>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</si>
  <si>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</si>
  <si>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</si>
  <si>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</si>
  <si>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</si>
  <si>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</si>
  <si>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</si>
  <si>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</si>
  <si>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</si>
  <si>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</si>
  <si>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</si>
  <si>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</si>
  <si>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</si>
  <si>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</si>
  <si>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</si>
  <si>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</si>
  <si>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</si>
  <si>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</si>
  <si>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</si>
  <si>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</si>
  <si>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</si>
  <si>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</si>
  <si>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</si>
  <si>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</si>
  <si>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</si>
  <si>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</si>
  <si>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</si>
  <si>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</si>
  <si>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</si>
  <si>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</si>
  <si>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</si>
  <si>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</si>
  <si>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</si>
  <si>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</si>
  <si>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</si>
  <si>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</si>
  <si>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</si>
  <si>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</si>
  <si>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</si>
  <si>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</si>
  <si>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</si>
  <si>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</si>
  <si>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</si>
  <si>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</si>
  <si>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</si>
  <si>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</si>
  <si>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</si>
  <si>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</si>
  <si>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</si>
  <si>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</si>
  <si>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</si>
  <si>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</si>
  <si>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</si>
  <si>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</si>
  <si>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</si>
  <si>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</si>
  <si>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</si>
  <si>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</si>
  <si>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</si>
  <si>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</si>
  <si>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</si>
  <si>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</si>
  <si>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</si>
  <si>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</si>
  <si>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</si>
  <si>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</si>
  <si>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</si>
  <si>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</si>
  <si>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</si>
  <si>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</si>
  <si>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</si>
  <si>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</si>
  <si>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</si>
  <si>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</si>
  <si>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</si>
  <si>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</si>
  <si>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</si>
  <si>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</si>
  <si>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</si>
  <si>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</si>
  <si>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</si>
  <si>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</si>
  <si>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</si>
  <si>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</si>
  <si>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</si>
  <si>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</si>
  <si>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</si>
  <si>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</si>
  <si>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</si>
  <si>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</si>
  <si>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</si>
  <si>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</si>
  <si>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</si>
  <si>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</si>
  <si>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</si>
  <si>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</si>
  <si>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</si>
  <si>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</si>
  <si>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</si>
  <si>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</si>
  <si>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</si>
  <si>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</si>
  <si>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</si>
  <si>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</si>
  <si>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</si>
  <si>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</si>
  <si>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</si>
  <si>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</si>
  <si>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</si>
  <si>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</si>
  <si>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</si>
  <si>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</si>
  <si>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</si>
  <si>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</si>
  <si>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</si>
  <si>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</si>
  <si>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</si>
  <si>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</si>
  <si>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</si>
  <si>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</si>
  <si>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</si>
  <si>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</si>
  <si>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</si>
  <si>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</si>
  <si>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</si>
  <si>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</si>
  <si>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</si>
  <si>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</si>
  <si>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</si>
  <si>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</si>
  <si>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</si>
  <si>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</si>
  <si>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</si>
  <si>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</si>
  <si>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</si>
  <si>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</si>
  <si>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</si>
  <si>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</si>
  <si>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</si>
  <si>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</si>
  <si>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</si>
  <si>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</si>
  <si>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</si>
  <si>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</si>
  <si>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</si>
  <si>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</si>
  <si>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</si>
  <si>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</si>
  <si>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</si>
  <si>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</si>
  <si>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</si>
  <si>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</si>
  <si>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</si>
  <si>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</si>
  <si>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</si>
  <si>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</si>
  <si>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</si>
  <si>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</si>
  <si>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</si>
  <si>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</si>
  <si>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</si>
  <si>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</si>
  <si>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</si>
  <si>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</si>
  <si>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</si>
  <si>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</si>
  <si>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</si>
  <si>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</si>
  <si>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</si>
  <si>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</si>
  <si>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</si>
  <si>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</si>
  <si>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</si>
  <si>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</si>
  <si>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</si>
  <si>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</si>
  <si>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</si>
  <si>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</si>
  <si>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</si>
  <si>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</si>
  <si>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</si>
  <si>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</si>
  <si>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</si>
  <si>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</si>
  <si>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</si>
  <si>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</si>
  <si>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</si>
  <si>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</si>
  <si>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</si>
  <si>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</si>
  <si>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</si>
  <si>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</si>
  <si>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</si>
  <si>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</si>
  <si>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</si>
  <si>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</si>
  <si>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</si>
  <si>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</si>
  <si>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</si>
  <si>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</si>
  <si>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</si>
  <si>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</si>
  <si>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</si>
  <si>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</si>
  <si>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</si>
  <si>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</si>
  <si>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</si>
  <si>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</si>
  <si>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</si>
  <si>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</si>
  <si>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</si>
  <si>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</si>
  <si>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</si>
  <si>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</si>
  <si>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</si>
  <si>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</si>
  <si>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</si>
  <si>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</si>
  <si>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</si>
  <si>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</si>
  <si>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</si>
  <si>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</si>
  <si>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</si>
  <si>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</si>
  <si>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</si>
  <si>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</si>
  <si>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</si>
  <si>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</si>
  <si>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</si>
  <si>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</si>
  <si>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</si>
  <si>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</si>
  <si>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</si>
  <si>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</si>
  <si>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</si>
  <si>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</si>
  <si>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</si>
  <si>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</si>
  <si>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</si>
  <si>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</si>
  <si>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</si>
  <si>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</si>
  <si>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</si>
  <si>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</si>
  <si>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</si>
  <si>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</si>
  <si>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</si>
  <si>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</si>
  <si>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</si>
  <si>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</si>
  <si>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</si>
  <si>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</si>
  <si>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</si>
  <si>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建筑面积（㎡）</t>
    <phoneticPr fontId="134" type="noConversion"/>
  </si>
  <si>
    <t>租金单价（元/㎡/天）</t>
    <phoneticPr fontId="134" type="noConversion"/>
  </si>
  <si>
    <t>售价（万元/㎡)</t>
    <phoneticPr fontId="134" type="noConversion"/>
  </si>
  <si>
    <t>租</t>
    <phoneticPr fontId="134" type="noConversion"/>
  </si>
  <si>
    <t>大成大厦底商</t>
    <phoneticPr fontId="134" type="noConversion"/>
  </si>
  <si>
    <t>售</t>
    <phoneticPr fontId="134" type="noConversion"/>
  </si>
  <si>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</si>
  <si>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</si>
  <si>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</si>
  <si>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</si>
  <si>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</si>
  <si>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</si>
  <si>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</si>
  <si>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</si>
  <si>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</si>
  <si>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</si>
  <si>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</si>
  <si>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</si>
  <si>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</si>
  <si>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</si>
  <si>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</si>
  <si>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</si>
  <si>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</si>
  <si>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</si>
  <si>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</si>
  <si>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</si>
  <si>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</si>
  <si>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</si>
  <si>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</si>
  <si>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</si>
  <si>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</si>
  <si>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</si>
  <si>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</si>
  <si>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</si>
  <si>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</si>
  <si>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</si>
  <si>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</si>
  <si>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</si>
  <si>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</si>
  <si>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</si>
  <si>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</si>
  <si>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</si>
  <si>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</si>
  <si>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</si>
  <si>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</si>
  <si>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</si>
  <si>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</si>
  <si>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</si>
  <si>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</si>
  <si>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</si>
  <si>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</si>
  <si>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</si>
  <si>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</si>
  <si>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</si>
  <si>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</si>
  <si>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</si>
  <si>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</si>
  <si>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</si>
  <si>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</si>
  <si>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</si>
  <si>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</si>
  <si>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</si>
  <si>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</si>
  <si>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</si>
  <si>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</si>
  <si>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</si>
  <si>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</si>
  <si>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</si>
  <si>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</si>
  <si>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</si>
  <si>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</si>
  <si>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</si>
  <si>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</si>
  <si>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</si>
  <si>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</si>
  <si>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</si>
  <si>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</si>
  <si>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</si>
  <si>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</si>
  <si>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</si>
  <si>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</si>
  <si>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</si>
  <si>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</si>
  <si>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</si>
  <si>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</si>
  <si>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</si>
  <si>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</si>
  <si>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</si>
  <si>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</si>
  <si>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</si>
  <si>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</si>
  <si>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</si>
  <si>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</si>
  <si>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</si>
  <si>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</si>
  <si>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</si>
  <si>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</si>
  <si>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</si>
  <si>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</si>
  <si>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</si>
  <si>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</si>
  <si>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</si>
  <si>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</si>
  <si>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</si>
  <si>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</si>
  <si>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</si>
  <si>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</si>
  <si>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</si>
  <si>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</si>
  <si>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</si>
  <si>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</si>
  <si>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</si>
  <si>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</si>
  <si>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</si>
  <si>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</si>
  <si>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</si>
  <si>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</si>
  <si>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</si>
  <si>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</si>
  <si>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</si>
  <si>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</si>
  <si>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 xml:space="preserve">自然环境：万泉河等自然景观；
人文环境：中国人民大学等人文场所；
综合评价自然及人文环境状况较好。
</t>
    <phoneticPr fontId="40" type="noConversion"/>
  </si>
  <si>
    <t>估价对象周边估价对象紧邻城市支路—丹棱街，临近地铁10号线苏州街站、地铁16号线万泉河桥站，周围有26路、302路、374路、424路、450路等十余条公交线路，公共交通交便捷；周边停车充足，综合评价交通便捷度好</t>
    <phoneticPr fontId="40" type="noConversion"/>
  </si>
  <si>
    <t>城市支路</t>
    <phoneticPr fontId="24" type="noConversion"/>
  </si>
  <si>
    <t>估价对象附近有银丰大厦、神州数码大厦、绿创大厦、银科大厦等办公用楼，办公集聚程度好</t>
    <phoneticPr fontId="24" type="noConversion"/>
  </si>
  <si>
    <t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t>
    <phoneticPr fontId="40"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</si>
  <si>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</si>
  <si>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</si>
  <si>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</si>
  <si>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</si>
  <si>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</si>
  <si>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</si>
  <si>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</si>
  <si>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</si>
  <si>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</si>
  <si>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</si>
  <si>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</si>
  <si>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t>左岸公社</t>
    <phoneticPr fontId="134" type="noConversion"/>
  </si>
  <si>
    <t>海淀区北四环西路68号</t>
    <phoneticPr fontId="134" type="noConversion"/>
  </si>
  <si>
    <t>1-2</t>
    <phoneticPr fontId="134"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</si>
  <si>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</si>
  <si>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</si>
  <si>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</si>
  <si>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</si>
  <si>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</si>
  <si>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</si>
  <si>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</si>
  <si>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中湾国际</t>
    <phoneticPr fontId="134" type="noConversion"/>
  </si>
  <si>
    <t>估价对象附近有领展购物广场（中关村店）、新中关购物中心等商场，周边商业氛围较成熟，人流量较大，商业繁华度较好</t>
    <phoneticPr fontId="24" type="noConversion"/>
  </si>
  <si>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</si>
  <si>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</si>
  <si>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</si>
  <si>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</si>
  <si>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</si>
  <si>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西屋国际</t>
    <phoneticPr fontId="134" type="noConversion"/>
  </si>
  <si>
    <t>海淀区彩和坊小街1号</t>
    <phoneticPr fontId="134" type="noConversion"/>
  </si>
  <si>
    <t>海淀区苏州街12号</t>
    <phoneticPr fontId="134" type="noConversion"/>
  </si>
  <si>
    <t>100-300</t>
    <phoneticPr fontId="30" type="noConversion"/>
  </si>
  <si>
    <t>300-500</t>
    <phoneticPr fontId="30" type="noConversion"/>
  </si>
  <si>
    <r>
      <t>500</t>
    </r>
    <r>
      <rPr>
        <sz val="11"/>
        <color indexed="10"/>
        <rFont val="宋体"/>
        <family val="3"/>
        <charset val="134"/>
      </rPr>
      <t>以上</t>
    </r>
    <phoneticPr fontId="30" type="noConversion"/>
  </si>
  <si>
    <t>中关村大街19号</t>
    <phoneticPr fontId="134" type="noConversion"/>
  </si>
  <si>
    <t>新中关购物中心</t>
    <phoneticPr fontId="134"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</si>
  <si>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</si>
  <si>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</si>
  <si>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</si>
  <si>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</si>
  <si>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t>中关村广场购物中心</t>
    <phoneticPr fontId="134" type="noConversion"/>
  </si>
  <si>
    <t>中关村大街15号</t>
    <phoneticPr fontId="134" type="noConversion"/>
  </si>
  <si>
    <r>
      <t>300</t>
    </r>
    <r>
      <rPr>
        <sz val="11"/>
        <color indexed="10"/>
        <rFont val="宋体"/>
        <family val="3"/>
        <charset val="134"/>
      </rPr>
      <t>以下</t>
    </r>
    <phoneticPr fontId="30" type="noConversion"/>
  </si>
  <si>
    <t>可餐饮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</si>
</sst>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9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196" fontId="134" fillId="0" borderId="1" xfId="10" applyNumberFormat="1" applyFont="1" applyBorder="1" applyAlignment="1">
      <alignment horizontal="center" vertical="center" wrapText="1"/>
    </xf>
    <xf numFmtId="0" fontId="128" fillId="0" borderId="5" xfId="0" applyNumberFormat="1"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lignment horizontal="center" vertical="center" wrapText="1"/>
    </xf>
    <xf numFmtId="49" fontId="95" fillId="0" borderId="1" xfId="0" applyNumberFormat="1" applyFont="1" applyFill="1" applyBorder="1" applyAlignment="1">
      <alignment horizontal="center" vertical="center" wrapText="1"/>
    </xf>
    <xf numFmtId="0" fontId="0" fillId="0" borderId="0" xfId="0" applyNumberFormat="1" applyFill="1">
      <alignment vertical="center"/>
    </xf>
    <xf numFmtId="0" fontId="95" fillId="0" borderId="0" xfId="0" applyNumberFormat="1" applyFont="1" applyFill="1">
      <alignment vertical="center"/>
    </xf>
    <xf numFmtId="0" fontId="286" fillId="0" borderId="0" xfId="19" applyNumberFormat="1" applyFill="1">
      <alignment vertical="center"/>
    </xf>
    <xf numFmtId="196" fontId="276" fillId="0" borderId="0" xfId="10" applyNumberFormat="1" applyFont="1" applyAlignment="1">
      <alignment vertical="center"/>
    </xf>
    <xf numFmtId="10" fontId="113" fillId="0" borderId="23" xfId="0" applyNumberFormat="1" applyFont="1" applyFill="1" applyBorder="1" applyAlignment="1" applyProtection="1">
      <alignmen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279" fillId="24" borderId="0"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196"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0" fontId="95" fillId="0" borderId="0" xfId="0" applyNumberFormat="1" applyFont="1" applyBorder="1" applyAlignment="1">
      <alignment horizontal="center" vertical="center" wrapText="1"/>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pplyProtection="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3</xdr:col>
      <xdr:colOff>114301</xdr:colOff>
      <xdr:row>53</xdr:row>
      <xdr:rowOff>142665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781926"/>
          <a:ext cx="4800600" cy="2885864"/>
        </a:xfrm>
        <a:prstGeom prst="rect">
          <a:avLst/>
        </a:prstGeom>
      </xdr:spPr>
    </xdr:pic>
    <xdr:clientData/>
  </xdr:twoCellAnchor>
  <xdr:twoCellAnchor editAs="oneCell">
    <xdr:from>
      <xdr:col>3</xdr:col>
      <xdr:colOff>0</xdr:colOff>
      <xdr:row>37</xdr:row>
      <xdr:rowOff>1</xdr:rowOff>
    </xdr:from>
    <xdr:to>
      <xdr:col>10</xdr:col>
      <xdr:colOff>343256</xdr:colOff>
      <xdr:row>54</xdr:row>
      <xdr:rowOff>104775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6300" y="7781926"/>
          <a:ext cx="5601056" cy="3019424"/>
        </a:xfrm>
        <a:prstGeom prst="rect">
          <a:avLst/>
        </a:prstGeom>
      </xdr:spPr>
    </xdr:pic>
    <xdr:clientData/>
  </xdr:twoCellAnchor>
  <xdr:twoCellAnchor editAs="oneCell">
    <xdr:from>
      <xdr:col>10</xdr:col>
      <xdr:colOff>361949</xdr:colOff>
      <xdr:row>36</xdr:row>
      <xdr:rowOff>161925</xdr:rowOff>
    </xdr:from>
    <xdr:to>
      <xdr:col>19</xdr:col>
      <xdr:colOff>32550</xdr:colOff>
      <xdr:row>55</xdr:row>
      <xdr:rowOff>47624</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49" y="7772400"/>
          <a:ext cx="5842801" cy="3143249"/>
        </a:xfrm>
        <a:prstGeom prst="rect">
          <a:avLst/>
        </a:prstGeom>
      </xdr:spPr>
    </xdr:pic>
    <xdr:clientData/>
  </xdr:twoCellAnchor>
  <xdr:twoCellAnchor editAs="oneCell">
    <xdr:from>
      <xdr:col>0</xdr:col>
      <xdr:colOff>552450</xdr:colOff>
      <xdr:row>16</xdr:row>
      <xdr:rowOff>1</xdr:rowOff>
    </xdr:from>
    <xdr:to>
      <xdr:col>2</xdr:col>
      <xdr:colOff>2019300</xdr:colOff>
      <xdr:row>36</xdr:row>
      <xdr:rowOff>75583</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0" y="4181476"/>
          <a:ext cx="3781425" cy="3504582"/>
        </a:xfrm>
        <a:prstGeom prst="rect">
          <a:avLst/>
        </a:prstGeom>
      </xdr:spPr>
    </xdr:pic>
    <xdr:clientData/>
  </xdr:twoCellAnchor>
  <xdr:twoCellAnchor editAs="oneCell">
    <xdr:from>
      <xdr:col>3</xdr:col>
      <xdr:colOff>657225</xdr:colOff>
      <xdr:row>55</xdr:row>
      <xdr:rowOff>161925</xdr:rowOff>
    </xdr:from>
    <xdr:to>
      <xdr:col>10</xdr:col>
      <xdr:colOff>602122</xdr:colOff>
      <xdr:row>73</xdr:row>
      <xdr:rowOff>47625</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5343525" y="11029950"/>
          <a:ext cx="5202697" cy="2971800"/>
        </a:xfrm>
        <a:prstGeom prst="rect">
          <a:avLst/>
        </a:prstGeom>
      </xdr:spPr>
    </xdr:pic>
    <xdr:clientData/>
  </xdr:twoCellAnchor>
  <xdr:twoCellAnchor editAs="oneCell">
    <xdr:from>
      <xdr:col>10</xdr:col>
      <xdr:colOff>666749</xdr:colOff>
      <xdr:row>55</xdr:row>
      <xdr:rowOff>90378</xdr:rowOff>
    </xdr:from>
    <xdr:to>
      <xdr:col>19</xdr:col>
      <xdr:colOff>503374</xdr:colOff>
      <xdr:row>74</xdr:row>
      <xdr:rowOff>113508</xdr:rowOff>
    </xdr:to>
    <xdr:pic>
      <xdr:nvPicPr>
        <xdr:cNvPr id="9" name="图片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6"/>
        <a:stretch>
          <a:fillRect/>
        </a:stretch>
      </xdr:blipFill>
      <xdr:spPr>
        <a:xfrm>
          <a:off x="10610849" y="10958403"/>
          <a:ext cx="6008825" cy="3280680"/>
        </a:xfrm>
        <a:prstGeom prst="rect">
          <a:avLst/>
        </a:prstGeom>
      </xdr:spPr>
    </xdr:pic>
    <xdr:clientData/>
  </xdr:twoCellAnchor>
  <xdr:twoCellAnchor editAs="oneCell">
    <xdr:from>
      <xdr:col>3</xdr:col>
      <xdr:colOff>28575</xdr:colOff>
      <xdr:row>15</xdr:row>
      <xdr:rowOff>123824</xdr:rowOff>
    </xdr:from>
    <xdr:to>
      <xdr:col>8</xdr:col>
      <xdr:colOff>590550</xdr:colOff>
      <xdr:row>36</xdr:row>
      <xdr:rowOff>86863</xdr:rowOff>
    </xdr:to>
    <xdr:pic>
      <xdr:nvPicPr>
        <xdr:cNvPr id="10" name="图片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7"/>
        <a:stretch>
          <a:fillRect/>
        </a:stretch>
      </xdr:blipFill>
      <xdr:spPr>
        <a:xfrm>
          <a:off x="4714875" y="4133849"/>
          <a:ext cx="4448175" cy="3563489"/>
        </a:xfrm>
        <a:prstGeom prst="rect">
          <a:avLst/>
        </a:prstGeom>
      </xdr:spPr>
    </xdr:pic>
    <xdr:clientData/>
  </xdr:twoCellAnchor>
  <xdr:twoCellAnchor editAs="oneCell">
    <xdr:from>
      <xdr:col>0</xdr:col>
      <xdr:colOff>114300</xdr:colOff>
      <xdr:row>56</xdr:row>
      <xdr:rowOff>38101</xdr:rowOff>
    </xdr:from>
    <xdr:to>
      <xdr:col>3</xdr:col>
      <xdr:colOff>563504</xdr:colOff>
      <xdr:row>73</xdr:row>
      <xdr:rowOff>152401</xdr:rowOff>
    </xdr:to>
    <xdr:pic>
      <xdr:nvPicPr>
        <xdr:cNvPr id="8" name="图片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8"/>
        <a:stretch>
          <a:fillRect/>
        </a:stretch>
      </xdr:blipFill>
      <xdr:spPr>
        <a:xfrm>
          <a:off x="114300" y="11077576"/>
          <a:ext cx="5135504" cy="302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st/Desktop/&#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估价对象为北京市宣武门西大街甲127号0101、0102号房屋房地产，为所有。根据《国有土地使用证》[]，估价对象（分摊）出让国有建设用地使用权面积为0平方米，建筑面积为343.31平方米。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343.31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2023年8月4日（评估专业人员实地查勘之日）</v>
      </c>
    </row>
    <row r="13" spans="1:2" s="1102" customFormat="1">
      <c r="A13" s="1100" t="s">
        <v>529</v>
      </c>
      <c r="B13" s="1101" t="str">
        <f>'预评函-1'!A18</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343.31</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2570</v>
      </c>
      <c r="I8" s="1443" t="s">
        <v>3340</v>
      </c>
    </row>
    <row r="9" spans="1:23">
      <c r="A9" s="1441" t="s">
        <v>1029</v>
      </c>
      <c r="B9" s="1441" t="s">
        <v>1030</v>
      </c>
      <c r="C9" s="1442" t="s">
        <v>320</v>
      </c>
      <c r="F9" s="1443" t="s">
        <v>1031</v>
      </c>
      <c r="H9" s="1443"/>
      <c r="I9" s="1446" t="s">
        <v>3341</v>
      </c>
    </row>
    <row r="10" spans="1:23">
      <c r="A10" s="1441" t="s">
        <v>1032</v>
      </c>
      <c r="B10" s="1441" t="s">
        <v>1033</v>
      </c>
      <c r="C10" s="1442" t="s">
        <v>321</v>
      </c>
      <c r="F10" s="1443" t="s">
        <v>2571</v>
      </c>
      <c r="I10" s="1446" t="s">
        <v>3342</v>
      </c>
    </row>
    <row r="11" spans="1:23">
      <c r="A11" s="1441" t="s">
        <v>1034</v>
      </c>
      <c r="B11" s="1441" t="s">
        <v>1035</v>
      </c>
      <c r="C11" s="1442" t="s">
        <v>322</v>
      </c>
      <c r="F11" s="1443" t="s">
        <v>13</v>
      </c>
      <c r="I11" s="1446" t="s">
        <v>3343</v>
      </c>
    </row>
    <row r="12" spans="1:23">
      <c r="A12" s="1441" t="s">
        <v>1036</v>
      </c>
      <c r="B12" s="1441" t="s">
        <v>1037</v>
      </c>
      <c r="C12" s="1442" t="s">
        <v>323</v>
      </c>
      <c r="I12" s="1446" t="s">
        <v>3344</v>
      </c>
    </row>
    <row r="13" spans="1:23">
      <c r="A13" s="1441" t="s">
        <v>1038</v>
      </c>
      <c r="B13" s="1441" t="s">
        <v>1039</v>
      </c>
      <c r="C13" s="1442" t="s">
        <v>324</v>
      </c>
      <c r="I13" s="1446" t="s">
        <v>3345</v>
      </c>
    </row>
    <row r="14" spans="1:23">
      <c r="A14" s="1441" t="s">
        <v>1040</v>
      </c>
      <c r="B14" s="1441" t="s">
        <v>1041</v>
      </c>
      <c r="C14" s="1443" t="s">
        <v>13</v>
      </c>
      <c r="I14" s="1446" t="s">
        <v>3346</v>
      </c>
    </row>
    <row r="15" spans="1:23">
      <c r="A15" s="1441" t="s">
        <v>1042</v>
      </c>
      <c r="B15" s="1441" t="s">
        <v>1043</v>
      </c>
      <c r="C15" s="1442"/>
      <c r="I15" s="1446" t="s">
        <v>3347</v>
      </c>
    </row>
    <row r="16" spans="1:23">
      <c r="A16" s="1441" t="s">
        <v>1044</v>
      </c>
      <c r="B16" s="1441" t="s">
        <v>312</v>
      </c>
      <c r="C16" s="1442"/>
    </row>
    <row r="17" spans="1:3">
      <c r="A17" s="1441" t="s">
        <v>1045</v>
      </c>
      <c r="B17" s="1441" t="s">
        <v>2283</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86"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6"/>
      <c r="B54" s="1449" t="s">
        <v>385</v>
      </c>
      <c r="C54" s="1446" t="s">
        <v>583</v>
      </c>
    </row>
    <row r="55" spans="1:4">
      <c r="A55" s="3886"/>
      <c r="B55" s="1449" t="s">
        <v>386</v>
      </c>
      <c r="C55" s="1446" t="s">
        <v>584</v>
      </c>
    </row>
    <row r="56" spans="1:4">
      <c r="A56" s="3886"/>
      <c r="B56" s="1449" t="s">
        <v>387</v>
      </c>
      <c r="C56" s="1446" t="s">
        <v>588</v>
      </c>
    </row>
    <row r="57" spans="1:4">
      <c r="A57" s="3886"/>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2493</v>
      </c>
      <c r="B1" s="2647"/>
      <c r="C1" s="2647"/>
      <c r="D1" s="2647"/>
      <c r="E1" s="2647"/>
      <c r="F1" s="2648"/>
      <c r="I1" s="3059" t="s">
        <v>2586</v>
      </c>
      <c r="J1" s="2852"/>
      <c r="K1" s="2852"/>
      <c r="L1" s="2852"/>
      <c r="M1" s="2852"/>
      <c r="N1" s="3060"/>
      <c r="O1" s="3060"/>
      <c r="P1" s="3060"/>
      <c r="Q1" s="3060"/>
      <c r="R1" s="3060"/>
    </row>
    <row r="2" spans="1:18">
      <c r="A2" s="2650"/>
      <c r="B2" s="2651"/>
      <c r="C2" s="2651"/>
      <c r="D2" s="2651"/>
      <c r="E2" s="2651"/>
      <c r="F2" s="2652"/>
      <c r="I2" s="3887" t="s">
        <v>2573</v>
      </c>
      <c r="J2" s="3887"/>
      <c r="K2" s="3887"/>
      <c r="L2" s="3887"/>
      <c r="M2" s="3887"/>
      <c r="N2" s="3887"/>
      <c r="O2" s="3887"/>
      <c r="P2" s="3887"/>
      <c r="Q2" s="3887"/>
      <c r="R2" s="3887"/>
    </row>
    <row r="3" spans="1:18">
      <c r="A3" s="2653" t="s">
        <v>2494</v>
      </c>
      <c r="B3" s="2654">
        <f>项目基本情况!D3</f>
        <v>45142</v>
      </c>
      <c r="C3" s="2656"/>
      <c r="D3" s="2656"/>
      <c r="E3" s="2656"/>
      <c r="F3" s="2652"/>
      <c r="I3" s="3061"/>
      <c r="J3" s="3061" t="s">
        <v>2577</v>
      </c>
      <c r="K3" s="3061" t="s">
        <v>2578</v>
      </c>
      <c r="L3" s="3061" t="s">
        <v>2579</v>
      </c>
      <c r="M3" s="3061" t="s">
        <v>2580</v>
      </c>
      <c r="N3" s="3062" t="s">
        <v>2581</v>
      </c>
      <c r="O3" s="3062" t="s">
        <v>2582</v>
      </c>
      <c r="P3" s="3062" t="s">
        <v>2583</v>
      </c>
      <c r="Q3" s="3062" t="s">
        <v>2584</v>
      </c>
      <c r="R3" s="3062" t="s">
        <v>2585</v>
      </c>
    </row>
    <row r="4" spans="1:18">
      <c r="A4" s="2653" t="s">
        <v>2495</v>
      </c>
      <c r="B4" s="2656" t="s">
        <v>2496</v>
      </c>
      <c r="C4" s="2656" t="s">
        <v>2497</v>
      </c>
      <c r="D4" s="2656" t="s">
        <v>2498</v>
      </c>
      <c r="E4" s="2656" t="s">
        <v>2499</v>
      </c>
      <c r="F4" s="2652"/>
      <c r="I4" s="3061" t="s">
        <v>2574</v>
      </c>
      <c r="J4" s="3061">
        <v>80</v>
      </c>
      <c r="K4" s="3061">
        <v>70</v>
      </c>
      <c r="L4" s="3061">
        <v>20</v>
      </c>
      <c r="M4" s="3061">
        <v>30</v>
      </c>
      <c r="N4" s="2656">
        <v>45</v>
      </c>
      <c r="O4" s="2656">
        <v>60</v>
      </c>
      <c r="P4" s="2656">
        <v>50</v>
      </c>
      <c r="Q4" s="2656">
        <v>20</v>
      </c>
      <c r="R4" s="2656">
        <v>375</v>
      </c>
    </row>
    <row r="5" spans="1:18">
      <c r="A5" s="2657">
        <v>40</v>
      </c>
      <c r="B5" s="2654">
        <v>46375</v>
      </c>
      <c r="C5" s="2656">
        <f>ROUNDDOWN(MIN((B5-B3)/365,A5),2)</f>
        <v>3.37</v>
      </c>
      <c r="D5" s="2658">
        <f>IF(ISERROR(ROUND(POWER(1+E5,A5-C5)*(POWER(1+E5,C5)-1)/(POWER(1+E5,A5)-1),3)),0,ROUND(POWER(1+E5,A5-C5)*(POWER(1+E5,C5)-1)/(POWER(1+E5,A5)-1),4))</f>
        <v>0.15640000000000001</v>
      </c>
      <c r="E5" s="2659">
        <v>0.04</v>
      </c>
      <c r="F5" s="2652"/>
      <c r="I5" s="3061" t="s">
        <v>2575</v>
      </c>
      <c r="J5" s="3061">
        <v>70</v>
      </c>
      <c r="K5" s="3061">
        <v>60</v>
      </c>
      <c r="L5" s="3061">
        <v>15</v>
      </c>
      <c r="M5" s="3061">
        <v>25</v>
      </c>
      <c r="N5" s="2656">
        <v>40</v>
      </c>
      <c r="O5" s="2656">
        <v>50</v>
      </c>
      <c r="P5" s="2656">
        <v>40</v>
      </c>
      <c r="Q5" s="2656">
        <v>15</v>
      </c>
      <c r="R5" s="2656">
        <v>315</v>
      </c>
    </row>
    <row r="6" spans="1:18">
      <c r="A6" s="2657">
        <v>50</v>
      </c>
      <c r="B6" s="2654">
        <v>50028</v>
      </c>
      <c r="C6" s="2656">
        <f>ROUNDDOWN(MIN((B6-B3)/365,A6),2)</f>
        <v>13.38</v>
      </c>
      <c r="D6" s="2658">
        <f>IF(ISERROR(ROUND(POWER(1+E6,A6-C6)*(POWER(1+E6,C6)-1)/(POWER(1+E6,A6)-1),3)),0,ROUND(POWER(1+E6,A6-C6)*(POWER(1+E6,C6)-1)/(POWER(1+E6,A6)-1),4))</f>
        <v>0.47520000000000001</v>
      </c>
      <c r="E6" s="2659">
        <v>0.04</v>
      </c>
      <c r="F6" s="2652"/>
      <c r="I6" s="3061" t="s">
        <v>2576</v>
      </c>
      <c r="J6" s="3061">
        <v>60</v>
      </c>
      <c r="K6" s="3061">
        <v>50</v>
      </c>
      <c r="L6" s="3061">
        <v>10</v>
      </c>
      <c r="M6" s="3061">
        <v>20</v>
      </c>
      <c r="N6" s="2656">
        <v>35</v>
      </c>
      <c r="O6" s="2656">
        <v>40</v>
      </c>
      <c r="P6" s="2656">
        <v>30</v>
      </c>
      <c r="Q6" s="2656">
        <v>10</v>
      </c>
      <c r="R6" s="2656">
        <v>255</v>
      </c>
    </row>
    <row r="7" spans="1:18">
      <c r="A7" s="2657">
        <v>70</v>
      </c>
      <c r="B7" s="2654">
        <v>57333</v>
      </c>
      <c r="C7" s="2656">
        <f>ROUNDDOWN(MIN((B7-B3)/365,A7),2)</f>
        <v>33.4</v>
      </c>
      <c r="D7" s="2658">
        <f>IF(ISERROR(ROUND(POWER(1+E7,A7-C7)*(POWER(1+E7,C7)-1)/(POWER(1+E7,A7)-1),3)),0,ROUND(POWER(1+E7,A7-C7)*(POWER(1+E7,C7)-1)/(POWER(1+E7,A7)-1),4))</f>
        <v>0.78029999999999999</v>
      </c>
      <c r="E7" s="2659">
        <v>0.04</v>
      </c>
      <c r="F7" s="2652"/>
    </row>
    <row r="8" spans="1:18">
      <c r="A8" s="2650"/>
      <c r="B8" s="2651"/>
      <c r="C8" s="2651"/>
      <c r="D8" s="2651"/>
      <c r="E8" s="2651"/>
      <c r="F8" s="2652"/>
    </row>
    <row r="9" spans="1:18">
      <c r="A9" s="2653" t="s">
        <v>2500</v>
      </c>
      <c r="B9" s="2656"/>
      <c r="C9" s="2656"/>
      <c r="D9" s="2656"/>
      <c r="E9" s="2656"/>
      <c r="F9" s="2660"/>
    </row>
    <row r="10" spans="1:18">
      <c r="A10" s="2653" t="s">
        <v>2501</v>
      </c>
      <c r="B10" s="2656"/>
      <c r="C10" s="2656"/>
      <c r="D10" s="2656" t="s">
        <v>2499</v>
      </c>
      <c r="E10" s="2656"/>
      <c r="F10" s="2660" t="s">
        <v>2498</v>
      </c>
    </row>
    <row r="11" spans="1:18">
      <c r="A11" s="2653" t="s">
        <v>2502</v>
      </c>
      <c r="B11" s="2661">
        <v>70</v>
      </c>
      <c r="C11" s="2656" t="s">
        <v>2503</v>
      </c>
      <c r="D11" s="2662">
        <v>4.4999999999999998E-2</v>
      </c>
      <c r="E11" s="2656" t="s">
        <v>2504</v>
      </c>
      <c r="F11" s="2663">
        <f>ROUND(1-(1/(POWER(1+D11,B11))),4)</f>
        <v>0.95409999999999995</v>
      </c>
    </row>
    <row r="12" spans="1:18">
      <c r="A12" s="2653" t="s">
        <v>2505</v>
      </c>
      <c r="B12" s="2661">
        <v>40</v>
      </c>
      <c r="C12" s="2656" t="s">
        <v>2506</v>
      </c>
      <c r="D12" s="2662">
        <v>4.4999999999999998E-2</v>
      </c>
      <c r="E12" s="2656" t="s">
        <v>2507</v>
      </c>
      <c r="F12" s="2663">
        <f>ROUND(1-(1/(POWER(1+D12,B12))),4)</f>
        <v>0.82809999999999995</v>
      </c>
    </row>
    <row r="13" spans="1:18">
      <c r="A13" s="2653" t="s">
        <v>2508</v>
      </c>
      <c r="B13" s="2656"/>
      <c r="C13" s="2656"/>
      <c r="D13" s="2651"/>
      <c r="E13" s="2651"/>
      <c r="F13" s="2652"/>
    </row>
    <row r="14" spans="1:18">
      <c r="A14" s="2653" t="s">
        <v>2509</v>
      </c>
      <c r="B14" s="2661">
        <v>5000</v>
      </c>
      <c r="C14" s="2655"/>
      <c r="D14" s="2651"/>
      <c r="E14" s="2651"/>
      <c r="F14" s="2652"/>
    </row>
    <row r="15" spans="1:18">
      <c r="A15" s="2653" t="s">
        <v>2510</v>
      </c>
      <c r="B15" s="2656">
        <f>ROUND(B14*F12/F11,2)</f>
        <v>4339.6899999999996</v>
      </c>
      <c r="C15" s="2656">
        <f>ROUND(F12/F11,4)</f>
        <v>0.8679</v>
      </c>
      <c r="D15" s="2651"/>
      <c r="E15" s="2651"/>
      <c r="F15" s="2652"/>
    </row>
    <row r="16" spans="1:18">
      <c r="A16" s="2653" t="s">
        <v>2511</v>
      </c>
      <c r="B16" s="2656"/>
      <c r="C16" s="2656"/>
      <c r="D16" s="2651"/>
      <c r="E16" s="2651"/>
      <c r="F16" s="2652"/>
    </row>
    <row r="17" spans="1:13">
      <c r="A17" s="2653" t="s">
        <v>2510</v>
      </c>
      <c r="B17" s="2662">
        <v>4810</v>
      </c>
      <c r="C17" s="2655"/>
      <c r="D17" s="2651"/>
      <c r="E17" s="2651"/>
      <c r="F17" s="2652"/>
    </row>
    <row r="18" spans="1:13" ht="14.25" thickBot="1">
      <c r="A18" s="2664" t="s">
        <v>2509</v>
      </c>
      <c r="B18" s="2665">
        <f>ROUND(B17*F11/F12,2)</f>
        <v>5541.87</v>
      </c>
      <c r="C18" s="2665">
        <f>ROUND(F11/F12,4)</f>
        <v>1.1521999999999999</v>
      </c>
      <c r="D18" s="2666"/>
      <c r="E18" s="2666"/>
      <c r="F18" s="2667"/>
    </row>
    <row r="19" spans="1:13" ht="14.25" thickBot="1"/>
    <row r="20" spans="1:13" s="2695" customFormat="1" ht="14.25" thickTop="1">
      <c r="A20" s="2692" t="s">
        <v>2512</v>
      </c>
      <c r="B20" s="2693"/>
      <c r="C20" s="2693"/>
      <c r="D20" s="2693"/>
      <c r="E20" s="2693"/>
      <c r="F20" s="2693"/>
      <c r="G20" s="2694"/>
      <c r="I20" s="2696" t="s">
        <v>2557</v>
      </c>
      <c r="J20" s="2696" t="s">
        <v>2562</v>
      </c>
      <c r="K20" s="2696"/>
      <c r="L20" s="2696"/>
      <c r="M20" s="2696"/>
    </row>
    <row r="21" spans="1:13">
      <c r="A21" s="2668"/>
      <c r="B21" s="2669" t="s">
        <v>2513</v>
      </c>
      <c r="C21" s="2669" t="s">
        <v>2514</v>
      </c>
      <c r="D21" s="2669" t="s">
        <v>2515</v>
      </c>
      <c r="E21" s="2669" t="s">
        <v>2516</v>
      </c>
      <c r="F21" s="2669" t="s">
        <v>2517</v>
      </c>
      <c r="G21" s="2670" t="s">
        <v>2518</v>
      </c>
      <c r="I21" s="2691">
        <v>5</v>
      </c>
      <c r="J21" s="2691">
        <v>54.2</v>
      </c>
    </row>
    <row r="22" spans="1:13">
      <c r="A22" s="2668" t="s">
        <v>2519</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2520</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2560</v>
      </c>
      <c r="M23" s="2691" t="s">
        <v>2561</v>
      </c>
    </row>
    <row r="24" spans="1:13">
      <c r="A24" s="2668" t="s">
        <v>2521</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2559</v>
      </c>
      <c r="M24" s="2691">
        <v>10</v>
      </c>
    </row>
    <row r="25" spans="1:13">
      <c r="A25" s="2668" t="s">
        <v>2522</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2563</v>
      </c>
      <c r="M25" s="2691">
        <v>8</v>
      </c>
    </row>
    <row r="26" spans="1:13">
      <c r="A26" s="2673"/>
      <c r="B26" s="2674"/>
      <c r="C26" s="2674"/>
      <c r="D26" s="2674"/>
      <c r="E26" s="2674"/>
      <c r="F26" s="2674"/>
      <c r="G26" s="2675"/>
      <c r="I26" s="2691">
        <v>30</v>
      </c>
      <c r="J26" s="2691">
        <v>90.5</v>
      </c>
      <c r="K26" s="2691">
        <f t="shared" si="2"/>
        <v>4.2000000000000028</v>
      </c>
      <c r="L26" s="2691" t="s">
        <v>2564</v>
      </c>
      <c r="M26" s="2691">
        <v>5</v>
      </c>
    </row>
    <row r="27" spans="1:13">
      <c r="A27" s="2673" t="s">
        <v>2523</v>
      </c>
      <c r="B27" s="2674"/>
      <c r="C27" s="2674"/>
      <c r="D27" s="2674"/>
      <c r="E27" s="2674"/>
      <c r="F27" s="2674"/>
      <c r="G27" s="2675"/>
      <c r="I27" s="2691">
        <v>35</v>
      </c>
      <c r="J27" s="2691">
        <v>93.8</v>
      </c>
      <c r="K27" s="2691">
        <f t="shared" si="2"/>
        <v>3.2999999999999972</v>
      </c>
      <c r="L27" s="2691" t="s">
        <v>2565</v>
      </c>
      <c r="M27" s="2691">
        <v>3</v>
      </c>
    </row>
    <row r="28" spans="1:13">
      <c r="A28" s="2673" t="s">
        <v>2524</v>
      </c>
      <c r="B28" s="2674"/>
      <c r="C28" s="2674"/>
      <c r="D28" s="2674"/>
      <c r="E28" s="2674"/>
      <c r="F28" s="2674"/>
      <c r="G28" s="2675"/>
      <c r="I28" s="2691">
        <v>40</v>
      </c>
      <c r="J28" s="2691">
        <v>96.4</v>
      </c>
      <c r="K28" s="2691">
        <f t="shared" si="2"/>
        <v>2.6000000000000085</v>
      </c>
      <c r="L28" s="2691" t="s">
        <v>2566</v>
      </c>
      <c r="M28" s="2691">
        <v>2</v>
      </c>
    </row>
    <row r="29" spans="1:13">
      <c r="A29" s="2673" t="s">
        <v>2525</v>
      </c>
      <c r="B29" s="2674"/>
      <c r="C29" s="2674"/>
      <c r="D29" s="2674"/>
      <c r="E29" s="2674"/>
      <c r="F29" s="2674"/>
      <c r="G29" s="2675"/>
      <c r="I29" s="2691">
        <v>45</v>
      </c>
      <c r="J29" s="2691">
        <v>98.4</v>
      </c>
      <c r="K29" s="2691">
        <f t="shared" si="2"/>
        <v>2</v>
      </c>
    </row>
    <row r="30" spans="1:13">
      <c r="A30" s="2673" t="s">
        <v>2526</v>
      </c>
      <c r="B30" s="2674"/>
      <c r="C30" s="2674"/>
      <c r="D30" s="2674"/>
      <c r="E30" s="2674"/>
      <c r="F30" s="2674"/>
      <c r="G30" s="2675"/>
      <c r="I30" s="2691">
        <v>50</v>
      </c>
      <c r="J30" s="2691">
        <v>100</v>
      </c>
      <c r="K30" s="2691">
        <f t="shared" si="2"/>
        <v>1.5999999999999943</v>
      </c>
    </row>
    <row r="31" spans="1:13">
      <c r="A31" s="2673" t="s">
        <v>2527</v>
      </c>
      <c r="B31" s="2674"/>
      <c r="C31" s="2674"/>
      <c r="D31" s="2674"/>
      <c r="E31" s="2674"/>
      <c r="F31" s="2674"/>
      <c r="G31" s="2675"/>
      <c r="I31" s="2691" t="s">
        <v>2558</v>
      </c>
    </row>
    <row r="32" spans="1:13">
      <c r="A32" s="2673" t="s">
        <v>2528</v>
      </c>
      <c r="B32" s="2674"/>
      <c r="C32" s="2674"/>
      <c r="D32" s="2674"/>
      <c r="E32" s="2674"/>
      <c r="F32" s="2674"/>
      <c r="G32" s="2675"/>
    </row>
    <row r="33" spans="1:13">
      <c r="A33" s="2673" t="s">
        <v>2529</v>
      </c>
      <c r="B33" s="2674"/>
      <c r="C33" s="2674"/>
      <c r="D33" s="2674"/>
      <c r="E33" s="2674"/>
      <c r="F33" s="2674"/>
      <c r="G33" s="2675"/>
      <c r="I33" s="2691" t="s">
        <v>2557</v>
      </c>
      <c r="J33" s="2691" t="s">
        <v>2567</v>
      </c>
    </row>
    <row r="34" spans="1:13">
      <c r="A34" s="2673" t="s">
        <v>2530</v>
      </c>
      <c r="B34" s="2674"/>
      <c r="C34" s="2674"/>
      <c r="D34" s="2674"/>
      <c r="E34" s="2674"/>
      <c r="F34" s="2674"/>
      <c r="G34" s="2675"/>
      <c r="I34" s="2691">
        <v>5</v>
      </c>
      <c r="J34" s="2691">
        <v>55.1</v>
      </c>
    </row>
    <row r="35" spans="1:13">
      <c r="A35" s="2673" t="s">
        <v>2531</v>
      </c>
      <c r="B35" s="2674"/>
      <c r="C35" s="2674"/>
      <c r="D35" s="2674"/>
      <c r="E35" s="2674"/>
      <c r="F35" s="2674"/>
      <c r="G35" s="2675"/>
      <c r="I35" s="2691">
        <v>10</v>
      </c>
      <c r="J35" s="2691">
        <v>67</v>
      </c>
      <c r="K35" s="2691">
        <f>J35-J34</f>
        <v>11.899999999999999</v>
      </c>
    </row>
    <row r="36" spans="1:13">
      <c r="A36" s="2673" t="s">
        <v>2532</v>
      </c>
      <c r="B36" s="2674"/>
      <c r="C36" s="2674"/>
      <c r="D36" s="2674"/>
      <c r="E36" s="2674"/>
      <c r="F36" s="2674"/>
      <c r="G36" s="2675"/>
      <c r="I36" s="2691">
        <v>15</v>
      </c>
      <c r="J36" s="2691">
        <v>76.3</v>
      </c>
      <c r="K36" s="2691">
        <f t="shared" ref="K36:K41" si="3">J36-J35</f>
        <v>9.2999999999999972</v>
      </c>
      <c r="L36" s="2691" t="s">
        <v>2560</v>
      </c>
      <c r="M36" s="2691" t="s">
        <v>2561</v>
      </c>
    </row>
    <row r="37" spans="1:13">
      <c r="A37" s="2673" t="s">
        <v>2533</v>
      </c>
      <c r="B37" s="2674"/>
      <c r="C37" s="2674"/>
      <c r="D37" s="2674"/>
      <c r="E37" s="2674"/>
      <c r="F37" s="2674"/>
      <c r="G37" s="2675"/>
      <c r="I37" s="2691">
        <v>20</v>
      </c>
      <c r="J37" s="2691">
        <v>83.6</v>
      </c>
      <c r="K37" s="2691">
        <f t="shared" si="3"/>
        <v>7.2999999999999972</v>
      </c>
      <c r="L37" s="2691" t="s">
        <v>2559</v>
      </c>
      <c r="M37" s="2691">
        <v>10</v>
      </c>
    </row>
    <row r="38" spans="1:13">
      <c r="A38" s="2673" t="s">
        <v>2534</v>
      </c>
      <c r="B38" s="2674"/>
      <c r="C38" s="2674"/>
      <c r="D38" s="2674"/>
      <c r="E38" s="2674"/>
      <c r="F38" s="2674"/>
      <c r="G38" s="2675"/>
      <c r="I38" s="2691">
        <v>25</v>
      </c>
      <c r="J38" s="2691">
        <v>89.3</v>
      </c>
      <c r="K38" s="2691">
        <f t="shared" si="3"/>
        <v>5.7000000000000028</v>
      </c>
      <c r="L38" s="2691" t="s">
        <v>2563</v>
      </c>
      <c r="M38" s="2691">
        <v>8</v>
      </c>
    </row>
    <row r="39" spans="1:13">
      <c r="A39" s="2673"/>
      <c r="B39" s="2674"/>
      <c r="C39" s="2674"/>
      <c r="D39" s="2674"/>
      <c r="E39" s="2674"/>
      <c r="F39" s="2674"/>
      <c r="G39" s="2675"/>
      <c r="I39" s="2691">
        <v>30</v>
      </c>
      <c r="J39" s="2691">
        <v>93.8</v>
      </c>
      <c r="K39" s="2691">
        <f t="shared" si="3"/>
        <v>4.5</v>
      </c>
      <c r="L39" s="2691" t="s">
        <v>2564</v>
      </c>
      <c r="M39" s="2691">
        <v>6</v>
      </c>
    </row>
    <row r="40" spans="1:13">
      <c r="A40" s="2676" t="s">
        <v>2535</v>
      </c>
      <c r="B40" s="2677"/>
      <c r="C40" s="2677"/>
      <c r="D40" s="2677"/>
      <c r="E40" s="2677"/>
      <c r="F40" s="2677"/>
      <c r="G40" s="2678"/>
      <c r="I40" s="2691">
        <v>35</v>
      </c>
      <c r="J40" s="2691">
        <v>97.2</v>
      </c>
      <c r="K40" s="2691">
        <f t="shared" si="3"/>
        <v>3.4000000000000057</v>
      </c>
      <c r="L40" s="2691" t="s">
        <v>2565</v>
      </c>
      <c r="M40" s="2691">
        <v>3</v>
      </c>
    </row>
    <row r="41" spans="1:13">
      <c r="A41" s="2679" t="s">
        <v>2536</v>
      </c>
      <c r="B41" s="2680" t="s">
        <v>2537</v>
      </c>
      <c r="C41" s="2681" t="s">
        <v>2538</v>
      </c>
      <c r="D41" s="2681" t="s">
        <v>2539</v>
      </c>
      <c r="E41" s="2682"/>
      <c r="F41" s="2683"/>
      <c r="G41" s="2684"/>
      <c r="I41" s="2691">
        <v>40</v>
      </c>
      <c r="J41" s="2691">
        <v>100</v>
      </c>
      <c r="K41" s="2691">
        <f t="shared" si="3"/>
        <v>2.7999999999999972</v>
      </c>
    </row>
    <row r="42" spans="1:13">
      <c r="A42" s="2679" t="s">
        <v>2540</v>
      </c>
      <c r="B42" s="2680" t="s">
        <v>2541</v>
      </c>
      <c r="C42" s="2681" t="s">
        <v>2542</v>
      </c>
      <c r="D42" s="2685" t="s">
        <v>2543</v>
      </c>
      <c r="E42" s="2677" t="s">
        <v>2544</v>
      </c>
      <c r="F42" s="2677"/>
      <c r="G42" s="2678"/>
    </row>
    <row r="43" spans="1:13">
      <c r="A43" s="2679" t="s">
        <v>2545</v>
      </c>
      <c r="B43" s="2680" t="s">
        <v>2546</v>
      </c>
      <c r="C43" s="2681" t="s">
        <v>2547</v>
      </c>
      <c r="D43" s="2681" t="s">
        <v>2548</v>
      </c>
      <c r="E43" s="2682" t="s">
        <v>2549</v>
      </c>
      <c r="F43" s="2683"/>
      <c r="G43" s="2684"/>
      <c r="I43" s="2691" t="s">
        <v>2557</v>
      </c>
      <c r="J43" s="2691" t="s">
        <v>2568</v>
      </c>
    </row>
    <row r="44" spans="1:13">
      <c r="A44" s="2679" t="s">
        <v>2550</v>
      </c>
      <c r="B44" s="2680" t="s">
        <v>2551</v>
      </c>
      <c r="C44" s="2681" t="s">
        <v>2552</v>
      </c>
      <c r="D44" s="2685">
        <v>0.5</v>
      </c>
      <c r="E44" s="2682" t="s">
        <v>2553</v>
      </c>
      <c r="F44" s="2683"/>
      <c r="G44" s="2684"/>
      <c r="I44" s="2691">
        <v>30</v>
      </c>
      <c r="J44" s="2691">
        <v>81.7</v>
      </c>
    </row>
    <row r="45" spans="1:13" ht="14.25" thickBot="1">
      <c r="A45" s="2686" t="s">
        <v>2554</v>
      </c>
      <c r="B45" s="2687" t="s">
        <v>2541</v>
      </c>
      <c r="C45" s="2688" t="s">
        <v>2541</v>
      </c>
      <c r="D45" s="2688" t="s">
        <v>2555</v>
      </c>
      <c r="E45" s="2689" t="s">
        <v>2556</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3466" customWidth="1"/>
    <col min="2" max="2" width="10" style="3466" customWidth="1"/>
    <col min="3" max="3" width="11.5" style="3466" customWidth="1"/>
    <col min="4" max="4" width="10" style="3466" customWidth="1"/>
    <col min="5" max="5" width="12.625" style="3466" customWidth="1"/>
    <col min="6" max="6" width="10" style="3466" customWidth="1"/>
    <col min="7" max="7" width="10.75" style="3466" customWidth="1"/>
    <col min="8" max="8" width="10" style="3466" customWidth="1"/>
    <col min="9" max="9" width="11.125" style="3601" customWidth="1"/>
    <col min="10" max="10" width="10" style="3467" customWidth="1"/>
    <col min="11" max="11" width="10" style="3602" customWidth="1"/>
    <col min="12" max="13" width="10" style="3603" customWidth="1"/>
    <col min="14" max="14" width="10" style="3467" customWidth="1"/>
    <col min="15" max="15" width="10" style="3603" customWidth="1"/>
    <col min="16" max="17" width="10" style="3467"/>
    <col min="18" max="18" width="10" style="3467" customWidth="1"/>
    <col min="19" max="30" width="10" style="3467"/>
    <col min="31" max="16384" width="10" style="3466"/>
  </cols>
  <sheetData>
    <row r="1" spans="1:30" ht="13.5" thickBot="1">
      <c r="A1" s="3460" t="s">
        <v>2168</v>
      </c>
      <c r="B1" s="3888" t="str">
        <f>IF(B10="北京市","北京市",C10)&amp;F10&amp;IF(结果表!G1="在建","出让国有建设用地使用权及在建建筑物",IF(结果表!G1="土地","出让国有建设用地使用权",))&amp;B9&amp;"预评估"</f>
        <v>北京市宣武门西大街甲127号0101、0102号房屋预评估</v>
      </c>
      <c r="C1" s="3889"/>
      <c r="D1" s="3889"/>
      <c r="E1" s="3889"/>
      <c r="F1" s="3889"/>
      <c r="G1" s="3889"/>
      <c r="H1" s="3889"/>
      <c r="I1" s="3890"/>
      <c r="J1" s="3461"/>
      <c r="K1" s="3462"/>
      <c r="L1" s="3463"/>
      <c r="M1" s="3463"/>
      <c r="N1" s="3464"/>
      <c r="O1" s="3463"/>
      <c r="P1" s="3464"/>
      <c r="Q1" s="3464"/>
      <c r="R1" s="3464"/>
      <c r="S1" s="3465" t="str">
        <f>IF(B10="北京市","北京市",C10)&amp;F10&amp;IF(结果表!G1="在建","出让国有建设用地使用权及在建建筑物房地产抵押价值",IF(结果表!G1="土地","出让国有建设用地使用权抵押价值",B9))</f>
        <v>北京市宣武门西大街甲127号0101、0102号房屋</v>
      </c>
      <c r="T1" s="3466"/>
      <c r="U1" s="3466"/>
      <c r="V1" s="3466"/>
      <c r="W1" s="3466"/>
      <c r="X1" s="3466"/>
      <c r="Y1" s="3466"/>
      <c r="Z1" s="3466"/>
      <c r="AA1" s="3466"/>
      <c r="AB1" s="3466"/>
    </row>
    <row r="2" spans="1:30">
      <c r="A2" s="3468" t="s">
        <v>2169</v>
      </c>
      <c r="B2" s="3469"/>
      <c r="C2" s="3470"/>
      <c r="D2" s="3471"/>
      <c r="E2" s="3472"/>
      <c r="F2" s="3472"/>
      <c r="G2" s="3473"/>
      <c r="H2" s="3473"/>
      <c r="I2" s="3473"/>
      <c r="J2" s="3461"/>
      <c r="K2" s="3462"/>
      <c r="L2" s="3463"/>
      <c r="M2" s="3463"/>
      <c r="N2" s="3464"/>
      <c r="O2" s="3463"/>
      <c r="P2" s="3464"/>
      <c r="Q2" s="3464"/>
      <c r="R2" s="3464"/>
      <c r="S2" s="3465" t="str">
        <f>IF(B10="北京市","北京市",C10)&amp;F10&amp;IF(结果表!G1="在建","出让国有建设用地使用权及在建建筑物房地产",IF(结果表!G1="土地","出让国有建设用地使用权","房地产"))</f>
        <v>北京市宣武门西大街甲127号0101、0102号房屋房地产</v>
      </c>
      <c r="T2" s="3466"/>
      <c r="U2" s="3466"/>
      <c r="V2" s="3466"/>
      <c r="W2" s="3466"/>
      <c r="X2" s="3466"/>
      <c r="Y2" s="3466"/>
      <c r="Z2" s="3466"/>
      <c r="AA2" s="3466"/>
      <c r="AB2" s="3466"/>
    </row>
    <row r="3" spans="1:30">
      <c r="A3" s="3474" t="s">
        <v>2170</v>
      </c>
      <c r="B3" s="2167">
        <v>45142</v>
      </c>
      <c r="C3" s="3475" t="s">
        <v>2171</v>
      </c>
      <c r="D3" s="2167">
        <f>B3</f>
        <v>45142</v>
      </c>
      <c r="E3" s="3473"/>
      <c r="F3" s="3473"/>
      <c r="G3" s="3473"/>
      <c r="H3" s="3473"/>
      <c r="I3" s="3473"/>
      <c r="J3" s="3461"/>
      <c r="K3" s="3462"/>
      <c r="L3" s="3463"/>
      <c r="M3" s="3463"/>
      <c r="N3" s="3464"/>
      <c r="O3" s="3463"/>
      <c r="P3" s="3464"/>
      <c r="Q3" s="3464"/>
      <c r="R3" s="3464"/>
      <c r="S3" s="3465"/>
      <c r="T3" s="3466"/>
      <c r="U3" s="3466"/>
      <c r="V3" s="3466"/>
      <c r="W3" s="3466"/>
      <c r="X3" s="3466"/>
      <c r="Y3" s="3466"/>
      <c r="Z3" s="3466"/>
      <c r="AA3" s="3466"/>
      <c r="AB3" s="3466"/>
    </row>
    <row r="4" spans="1:30" ht="13.5" thickBot="1">
      <c r="A4" s="3476" t="s">
        <v>2172</v>
      </c>
      <c r="B4" s="3477" t="s">
        <v>3497</v>
      </c>
      <c r="C4" s="3478">
        <f ca="1">SUMIF(注册房地产估价师,B4,估价师及机构信息!B3:B24)</f>
        <v>1119970111</v>
      </c>
      <c r="D4" s="3477" t="s">
        <v>3498</v>
      </c>
      <c r="E4" s="3478">
        <f ca="1">SUMIF(注册房地产估价师,D4,估价师及机构信息!B3:B24)</f>
        <v>1120060040</v>
      </c>
      <c r="F4" s="3477"/>
      <c r="G4" s="3478">
        <f>SUMIF(注册房地产估价师,F4,估价师及机构信息!B3:B24)</f>
        <v>0</v>
      </c>
      <c r="H4" s="3477"/>
      <c r="I4" s="3478">
        <f>SUMIF(注册房地产估价师,H4,估价师及机构信息!B3:B24)</f>
        <v>0</v>
      </c>
      <c r="J4" s="3479"/>
      <c r="K4" s="3480" t="str">
        <f ca="1">CONCATENATE(B4,"（注册号：",C4,")、",D4,"（注册号：",E4,")")</f>
        <v>叶凌（注册号：1119970111)、陈颖（注册号：1120060040)</v>
      </c>
      <c r="L4" s="3463"/>
      <c r="M4" s="3463"/>
      <c r="N4" s="3464"/>
      <c r="O4" s="3463"/>
      <c r="P4" s="3464"/>
      <c r="Q4" s="3464"/>
      <c r="R4" s="3464"/>
      <c r="S4" s="3465"/>
      <c r="T4" s="3466"/>
      <c r="U4" s="3466"/>
      <c r="V4" s="3466"/>
      <c r="W4" s="3466"/>
      <c r="X4" s="3466"/>
      <c r="Y4" s="3466"/>
      <c r="Z4" s="3466"/>
      <c r="AA4" s="3466"/>
      <c r="AB4" s="3466"/>
    </row>
    <row r="5" spans="1:30" ht="48.75" thickTop="1">
      <c r="A5" s="3481" t="s">
        <v>2173</v>
      </c>
      <c r="B5" s="3482" t="s">
        <v>3582</v>
      </c>
      <c r="C5" s="3483"/>
      <c r="D5" s="3484"/>
      <c r="E5" s="3485"/>
      <c r="F5" s="3485"/>
      <c r="G5" s="3485"/>
      <c r="H5" s="3485"/>
      <c r="I5" s="3485"/>
      <c r="J5" s="3479"/>
      <c r="K5" s="3480" t="str">
        <f>IF(F4="——","",IF(H4="——",F4&amp;"（注册号："&amp;G4&amp;")",CONCATENATE(F4,"（注册号：",G4,")、",H4,"（注册号：",I4,")")))</f>
        <v>（注册号：0)、（注册号：0)</v>
      </c>
      <c r="L5" s="3463"/>
      <c r="M5" s="3463"/>
      <c r="N5" s="3464"/>
      <c r="O5" s="3463"/>
      <c r="P5" s="3464"/>
      <c r="Q5" s="3464"/>
      <c r="R5" s="3464"/>
      <c r="S5" s="3466"/>
      <c r="T5" s="3466"/>
      <c r="U5" s="3466"/>
      <c r="V5" s="3466"/>
      <c r="W5" s="3466"/>
      <c r="X5" s="3466"/>
      <c r="Y5" s="3466"/>
      <c r="Z5" s="3466"/>
      <c r="AA5" s="3466"/>
      <c r="AB5" s="3466"/>
    </row>
    <row r="6" spans="1:30">
      <c r="A6" s="3486" t="s">
        <v>2174</v>
      </c>
      <c r="B6" s="3487"/>
      <c r="C6" s="3488"/>
      <c r="D6" s="3489"/>
      <c r="E6" s="3472"/>
      <c r="F6" s="3485"/>
      <c r="G6" s="3485"/>
      <c r="H6" s="3485"/>
      <c r="I6" s="3485"/>
      <c r="J6" s="3479"/>
      <c r="K6" s="3490" t="str">
        <f>IF(COUNTIF(B6,"*上海银行*"),"上海银行","")</f>
        <v/>
      </c>
      <c r="L6" s="3491"/>
      <c r="M6" s="3491"/>
      <c r="N6" s="3479"/>
      <c r="O6" s="3491"/>
      <c r="P6" s="3479"/>
      <c r="Q6" s="3479"/>
      <c r="R6" s="3479"/>
    </row>
    <row r="7" spans="1:30">
      <c r="A7" s="3486" t="s">
        <v>2175</v>
      </c>
      <c r="B7" s="3492"/>
      <c r="C7" s="3488"/>
      <c r="D7" s="3489"/>
      <c r="E7" s="3472"/>
      <c r="F7" s="3485"/>
      <c r="G7" s="3485"/>
      <c r="H7" s="3485"/>
      <c r="I7" s="3485"/>
      <c r="J7" s="3479"/>
      <c r="K7" s="3490"/>
      <c r="L7" s="3491"/>
      <c r="M7" s="3491"/>
      <c r="N7" s="3479"/>
      <c r="O7" s="3491"/>
      <c r="P7" s="3479"/>
      <c r="Q7" s="3479"/>
      <c r="R7" s="3479"/>
    </row>
    <row r="8" spans="1:30">
      <c r="A8" s="3493" t="s">
        <v>2176</v>
      </c>
      <c r="B8" s="3494" t="s">
        <v>3495</v>
      </c>
      <c r="C8" s="3495"/>
      <c r="D8" s="3891" t="s">
        <v>2177</v>
      </c>
      <c r="E8" s="3496"/>
      <c r="F8" s="3497"/>
      <c r="G8" s="3473"/>
      <c r="H8" s="3473"/>
      <c r="I8" s="3473"/>
      <c r="J8" s="3479"/>
      <c r="K8" s="3498"/>
      <c r="L8" s="3491"/>
      <c r="M8" s="3491"/>
      <c r="N8" s="3479"/>
      <c r="O8" s="3491"/>
      <c r="P8" s="3479"/>
      <c r="Q8" s="3479"/>
      <c r="R8" s="3479"/>
    </row>
    <row r="9" spans="1:30" ht="13.5" thickBot="1">
      <c r="A9" s="3499" t="s">
        <v>2178</v>
      </c>
      <c r="B9" s="3500"/>
      <c r="C9" s="3501"/>
      <c r="D9" s="3892"/>
      <c r="E9" s="3500"/>
      <c r="F9" s="3502"/>
      <c r="G9" s="3503"/>
      <c r="H9" s="3503"/>
      <c r="I9" s="3503"/>
      <c r="J9" s="3479"/>
      <c r="K9" s="3490"/>
      <c r="L9" s="3491"/>
      <c r="M9" s="3491"/>
      <c r="N9" s="3479"/>
      <c r="O9" s="3491"/>
      <c r="P9" s="3479"/>
      <c r="Q9" s="3479"/>
      <c r="R9" s="3479"/>
    </row>
    <row r="10" spans="1:30" ht="13.5" thickTop="1">
      <c r="A10" s="3504" t="s">
        <v>2179</v>
      </c>
      <c r="B10" s="3505" t="s">
        <v>3496</v>
      </c>
      <c r="C10" s="3506"/>
      <c r="D10" s="3484"/>
      <c r="E10" s="3507" t="s">
        <v>2180</v>
      </c>
      <c r="F10" s="3508" t="s">
        <v>3583</v>
      </c>
      <c r="G10" s="3509"/>
      <c r="H10" s="3510"/>
      <c r="I10" s="3511"/>
      <c r="J10" s="3479"/>
      <c r="K10" s="3490"/>
      <c r="L10" s="3491"/>
      <c r="M10" s="3491"/>
      <c r="N10" s="3479"/>
      <c r="O10" s="3491"/>
      <c r="P10" s="3479"/>
      <c r="Q10" s="3479"/>
      <c r="R10" s="3479"/>
    </row>
    <row r="11" spans="1:30">
      <c r="A11" s="3512" t="s">
        <v>2181</v>
      </c>
      <c r="B11" s="3513"/>
      <c r="C11" s="3514"/>
      <c r="D11" s="3515"/>
      <c r="E11" s="3464"/>
      <c r="F11" s="3464"/>
      <c r="G11" s="3464"/>
      <c r="H11" s="3464"/>
      <c r="I11" s="3464"/>
      <c r="J11" s="3516"/>
      <c r="K11" s="3517"/>
      <c r="L11" s="3491"/>
      <c r="M11" s="3491"/>
      <c r="N11" s="3479"/>
      <c r="O11" s="3491"/>
      <c r="P11" s="3479"/>
      <c r="Q11" s="3479"/>
      <c r="R11" s="3479"/>
    </row>
    <row r="12" spans="1:30">
      <c r="A12" s="3518" t="s">
        <v>2182</v>
      </c>
      <c r="B12" s="3519" t="s">
        <v>2183</v>
      </c>
      <c r="C12" s="3520" t="s">
        <v>2184</v>
      </c>
      <c r="D12" s="3520" t="s">
        <v>2185</v>
      </c>
      <c r="E12" s="3520" t="s">
        <v>2186</v>
      </c>
      <c r="F12" s="3520" t="s">
        <v>2187</v>
      </c>
      <c r="G12" s="3520" t="s">
        <v>2188</v>
      </c>
      <c r="H12" s="3520" t="s">
        <v>2189</v>
      </c>
      <c r="I12" s="3521" t="s">
        <v>2569</v>
      </c>
      <c r="J12" s="3522"/>
      <c r="K12" s="3491"/>
      <c r="L12" s="3491"/>
      <c r="M12" s="3479"/>
      <c r="N12" s="3491"/>
      <c r="O12" s="3479"/>
      <c r="P12" s="3479"/>
      <c r="Q12" s="3479"/>
      <c r="AD12" s="3466"/>
    </row>
    <row r="13" spans="1:30">
      <c r="A13" s="3523" t="s">
        <v>3329</v>
      </c>
      <c r="B13" s="3524" t="s">
        <v>2190</v>
      </c>
      <c r="C13" s="3525"/>
      <c r="D13" s="3610">
        <v>51785</v>
      </c>
      <c r="E13" s="3610"/>
      <c r="F13" s="3525"/>
      <c r="G13" s="3525"/>
      <c r="H13" s="3525"/>
      <c r="I13" s="3525"/>
      <c r="J13" s="3522"/>
      <c r="K13" s="3491"/>
      <c r="L13" s="3491"/>
      <c r="M13" s="3479"/>
      <c r="N13" s="3491"/>
      <c r="O13" s="3479"/>
      <c r="P13" s="3479"/>
      <c r="Q13" s="3479"/>
      <c r="AD13" s="3466"/>
    </row>
    <row r="14" spans="1:30">
      <c r="A14" s="3526"/>
      <c r="B14" s="3524" t="s">
        <v>2191</v>
      </c>
      <c r="C14" s="3527"/>
      <c r="D14" s="3527">
        <v>40</v>
      </c>
      <c r="E14" s="3527"/>
      <c r="F14" s="3527"/>
      <c r="G14" s="3527"/>
      <c r="H14" s="3527"/>
      <c r="I14" s="3527"/>
      <c r="J14" s="3522"/>
      <c r="K14" s="3491"/>
      <c r="L14" s="3491"/>
      <c r="M14" s="3479"/>
      <c r="N14" s="3491"/>
      <c r="O14" s="3479"/>
      <c r="P14" s="3479"/>
      <c r="Q14" s="3479"/>
      <c r="AD14" s="3466"/>
    </row>
    <row r="15" spans="1:30">
      <c r="A15" s="3528"/>
      <c r="B15" s="3529" t="s">
        <v>2192</v>
      </c>
      <c r="C15" s="3520" t="str">
        <f>IF(A13="出让",IF(C13="","",ROUNDDOWN(MIN((C13-$D$3)/365,C14),2)),C14)</f>
        <v/>
      </c>
      <c r="D15" s="3520">
        <f>IF(A13="出让",IF(D13="","",ROUNDDOWN(MIN((D13-$D$3)/365,D14),2)),D14)</f>
        <v>18.2</v>
      </c>
      <c r="E15" s="3611" t="str">
        <f>IF(A13="出让",IF(E13="","",ROUNDDOWN(MIN((E13-$D$3)/365,E14),2)),E14)</f>
        <v/>
      </c>
      <c r="F15" s="3520" t="str">
        <f>IF(A13="出让",IF(F13="","",ROUNDDOWN(MIN((F13-$D$3)/365,F14),2)),F14)</f>
        <v/>
      </c>
      <c r="G15" s="3520" t="str">
        <f>IF(A13="出让",IF(G13="","",ROUNDDOWN(MIN((G13-$D$3)/365,G14),2)),G14)</f>
        <v/>
      </c>
      <c r="H15" s="3520" t="str">
        <f>IF(A13="出让",IF(H13="","",ROUNDDOWN(MIN((H13-$D$3)/365,H14),2)),H14)</f>
        <v/>
      </c>
      <c r="I15" s="3520" t="str">
        <f>IF(A13="出让",IF(I13="","",ROUNDDOWN(MIN((I13-$D$3)/365,I14),2)),I14)</f>
        <v/>
      </c>
      <c r="J15" s="3522"/>
      <c r="K15" s="3491"/>
      <c r="L15" s="3491"/>
      <c r="M15" s="3479"/>
      <c r="N15" s="3491"/>
      <c r="O15" s="3479"/>
      <c r="P15" s="3479"/>
      <c r="Q15" s="3479"/>
      <c r="AD15" s="3466"/>
    </row>
    <row r="16" spans="1:30">
      <c r="A16" s="3507" t="s">
        <v>2193</v>
      </c>
      <c r="B16" s="3898"/>
      <c r="C16" s="3899"/>
      <c r="D16" s="3900"/>
      <c r="E16" s="3530" t="s">
        <v>2194</v>
      </c>
      <c r="F16" s="3901">
        <v>18</v>
      </c>
      <c r="G16" s="3902"/>
      <c r="H16" s="3902"/>
      <c r="I16" s="3903"/>
      <c r="J16" s="3479"/>
      <c r="K16" s="3490"/>
      <c r="L16" s="3491"/>
      <c r="M16" s="3491"/>
      <c r="N16" s="3479"/>
      <c r="O16" s="3491"/>
      <c r="P16" s="3479"/>
      <c r="Q16" s="3479"/>
      <c r="R16" s="3479"/>
    </row>
    <row r="17" spans="1:28">
      <c r="A17" s="3531" t="s">
        <v>2195</v>
      </c>
      <c r="B17" s="3474" t="s">
        <v>2196</v>
      </c>
      <c r="C17" s="3520">
        <f>'数据-汇总表'!E3</f>
        <v>343.31</v>
      </c>
      <c r="D17" s="3532" t="s">
        <v>2197</v>
      </c>
      <c r="E17" s="3904" t="s">
        <v>3548</v>
      </c>
      <c r="F17" s="3905"/>
      <c r="G17" s="3905"/>
      <c r="H17" s="3905"/>
      <c r="I17" s="3906"/>
      <c r="J17" s="3479"/>
      <c r="K17" s="3498"/>
      <c r="L17" s="3491"/>
      <c r="M17" s="3491"/>
      <c r="N17" s="3479"/>
      <c r="O17" s="3491"/>
      <c r="P17" s="3479"/>
      <c r="Q17" s="3479"/>
      <c r="R17" s="3479"/>
      <c r="S17" s="3479"/>
      <c r="T17" s="3479"/>
      <c r="U17" s="3479"/>
      <c r="V17" s="3479"/>
    </row>
    <row r="18" spans="1:28" ht="24.75" thickBot="1">
      <c r="A18" s="3533" t="s">
        <v>2198</v>
      </c>
      <c r="B18" s="3476" t="s">
        <v>2199</v>
      </c>
      <c r="C18" s="3534">
        <f>'数据-汇总表'!D3</f>
        <v>0</v>
      </c>
      <c r="D18" s="3535" t="s">
        <v>2200</v>
      </c>
      <c r="E18" s="3907" t="s">
        <v>2201</v>
      </c>
      <c r="F18" s="3908"/>
      <c r="G18" s="3908"/>
      <c r="H18" s="3908"/>
      <c r="I18" s="3909"/>
      <c r="J18" s="3479"/>
      <c r="K18" s="3498"/>
      <c r="L18" s="3491"/>
      <c r="M18" s="3491"/>
      <c r="N18" s="3479"/>
      <c r="O18" s="3491"/>
      <c r="P18" s="3479"/>
      <c r="Q18" s="3479"/>
      <c r="R18" s="3479"/>
      <c r="S18" s="3479"/>
      <c r="T18" s="3479"/>
      <c r="U18" s="3479"/>
      <c r="V18" s="3479"/>
    </row>
    <row r="19" spans="1:28" ht="37.5" thickTop="1" thickBot="1">
      <c r="A19" s="3507" t="s">
        <v>1055</v>
      </c>
      <c r="B19" s="3536" t="s">
        <v>2202</v>
      </c>
      <c r="C19" s="3537"/>
      <c r="D19" s="3538" t="s">
        <v>2203</v>
      </c>
      <c r="E19" s="3539"/>
      <c r="F19" s="3540" t="str">
        <f>IF(AND(C19="是",E19="否"),"是否提供他项权证或相关说明","")</f>
        <v/>
      </c>
      <c r="G19" s="3541"/>
      <c r="H19" s="3485"/>
      <c r="I19" s="3485"/>
      <c r="J19" s="3479"/>
      <c r="K19" s="3490"/>
      <c r="L19" s="3491"/>
      <c r="M19" s="3491"/>
      <c r="N19" s="3479"/>
      <c r="O19" s="3491"/>
      <c r="P19" s="3479"/>
      <c r="Q19" s="3479"/>
      <c r="R19" s="3479"/>
      <c r="S19" s="3479"/>
      <c r="T19" s="3479"/>
      <c r="U19" s="3479"/>
      <c r="V19" s="3479"/>
    </row>
    <row r="20" spans="1:28">
      <c r="A20" s="3542" t="s">
        <v>2204</v>
      </c>
      <c r="B20" s="3894" t="s">
        <v>2205</v>
      </c>
      <c r="C20" s="3895"/>
      <c r="D20" s="3896" t="s">
        <v>2206</v>
      </c>
      <c r="E20" s="3897"/>
      <c r="F20" s="3543" t="s">
        <v>1056</v>
      </c>
      <c r="G20" s="3485"/>
      <c r="H20" s="3485"/>
      <c r="I20" s="3485"/>
      <c r="J20" s="3479"/>
      <c r="K20" s="3893" t="s">
        <v>2207</v>
      </c>
      <c r="L20" s="35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64"/>
      <c r="O20" s="3463"/>
      <c r="P20" s="3464"/>
      <c r="Q20" s="3464"/>
      <c r="R20" s="3464"/>
      <c r="S20" s="3464"/>
      <c r="T20" s="3464"/>
      <c r="U20" s="3464"/>
      <c r="V20" s="3464"/>
      <c r="W20" s="3466"/>
      <c r="X20" s="3466"/>
      <c r="Y20" s="3466"/>
      <c r="Z20" s="3466"/>
      <c r="AA20" s="3466"/>
      <c r="AB20" s="3466"/>
    </row>
    <row r="21" spans="1:28" ht="24.75" thickBot="1">
      <c r="A21" s="3542"/>
      <c r="B21" s="3545" t="s">
        <v>2208</v>
      </c>
      <c r="C21" s="3546" t="s">
        <v>1057</v>
      </c>
      <c r="D21" s="3547" t="s">
        <v>2209</v>
      </c>
      <c r="E21" s="3548" t="s">
        <v>1057</v>
      </c>
      <c r="F21" s="3549"/>
      <c r="G21" s="3485"/>
      <c r="H21" s="3485"/>
      <c r="I21" s="3485"/>
      <c r="J21" s="3479"/>
      <c r="K21" s="3893"/>
      <c r="L21" s="35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64"/>
      <c r="O21" s="3463"/>
      <c r="P21" s="3464"/>
      <c r="Q21" s="3464"/>
      <c r="R21" s="3464"/>
      <c r="S21" s="3464"/>
      <c r="T21" s="3464"/>
      <c r="U21" s="3464"/>
      <c r="V21" s="3464"/>
      <c r="W21" s="3466"/>
      <c r="X21" s="3466"/>
      <c r="Y21" s="3466"/>
      <c r="Z21" s="3466"/>
      <c r="AA21" s="3466"/>
      <c r="AB21" s="3466"/>
    </row>
    <row r="22" spans="1:28" ht="24.75" thickBot="1">
      <c r="A22" s="3542"/>
      <c r="B22" s="3550" t="s">
        <v>2210</v>
      </c>
      <c r="C22" s="3546" t="s">
        <v>1058</v>
      </c>
      <c r="D22" s="3473"/>
      <c r="E22" s="3473"/>
      <c r="F22" s="3473"/>
      <c r="G22" s="3485"/>
      <c r="H22" s="3485"/>
      <c r="I22" s="3485"/>
      <c r="J22" s="3479"/>
      <c r="K22" s="3893"/>
      <c r="L22" s="35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64"/>
      <c r="O22" s="3463"/>
      <c r="P22" s="3464"/>
      <c r="Q22" s="3464"/>
      <c r="R22" s="3464"/>
      <c r="S22" s="3464"/>
      <c r="T22" s="3464"/>
      <c r="U22" s="3464"/>
      <c r="V22" s="3464"/>
      <c r="W22" s="3466"/>
      <c r="X22" s="3466"/>
      <c r="Y22" s="3466"/>
      <c r="Z22" s="3466"/>
      <c r="AA22" s="3466"/>
      <c r="AB22" s="3466"/>
    </row>
    <row r="23" spans="1:28">
      <c r="A23" s="3551" t="s">
        <v>2211</v>
      </c>
      <c r="B23" s="3552" t="s">
        <v>2212</v>
      </c>
      <c r="C23" s="3553"/>
      <c r="D23" s="3554" t="s">
        <v>2212</v>
      </c>
      <c r="E23" s="3555"/>
      <c r="F23" s="3473"/>
      <c r="G23" s="3485"/>
      <c r="H23" s="3485"/>
      <c r="I23" s="3485"/>
      <c r="J23" s="3479"/>
      <c r="K23" s="3490"/>
      <c r="L23" s="3556"/>
      <c r="M23" s="3491"/>
      <c r="N23" s="3479"/>
      <c r="O23" s="3491"/>
      <c r="P23" s="3479"/>
      <c r="Q23" s="3479"/>
      <c r="R23" s="3479"/>
      <c r="S23" s="3479"/>
      <c r="T23" s="3479"/>
      <c r="U23" s="3479"/>
      <c r="V23" s="3479"/>
    </row>
    <row r="24" spans="1:28">
      <c r="A24" s="3551"/>
      <c r="B24" s="3552" t="s">
        <v>1059</v>
      </c>
      <c r="C24" s="3557"/>
      <c r="D24" s="3551" t="s">
        <v>1059</v>
      </c>
      <c r="E24" s="3558"/>
      <c r="F24" s="3473"/>
      <c r="G24" s="3485"/>
      <c r="H24" s="3485"/>
      <c r="I24" s="3485"/>
      <c r="J24" s="3479"/>
      <c r="K24" s="3490"/>
      <c r="L24" s="3556"/>
      <c r="M24" s="3491"/>
      <c r="N24" s="3479"/>
      <c r="O24" s="3491"/>
      <c r="P24" s="3479"/>
      <c r="Q24" s="3479"/>
      <c r="R24" s="3479"/>
      <c r="S24" s="3479"/>
      <c r="T24" s="3479"/>
      <c r="U24" s="3479"/>
      <c r="V24" s="3479"/>
    </row>
    <row r="25" spans="1:28">
      <c r="A25" s="3551"/>
      <c r="B25" s="3552" t="s">
        <v>1060</v>
      </c>
      <c r="C25" s="3557"/>
      <c r="D25" s="3551" t="s">
        <v>1060</v>
      </c>
      <c r="E25" s="3558"/>
      <c r="F25" s="3473"/>
      <c r="G25" s="3485"/>
      <c r="H25" s="3485"/>
      <c r="I25" s="3485"/>
      <c r="J25" s="3479"/>
      <c r="K25" s="3490"/>
      <c r="L25" s="3491"/>
      <c r="M25" s="3491"/>
      <c r="N25" s="3479"/>
      <c r="O25" s="3491"/>
      <c r="P25" s="3479"/>
      <c r="Q25" s="3479"/>
      <c r="R25" s="3479"/>
      <c r="S25" s="3479"/>
      <c r="T25" s="3479"/>
      <c r="U25" s="3479"/>
      <c r="V25" s="3479"/>
    </row>
    <row r="26" spans="1:28" ht="13.5" thickBot="1">
      <c r="A26" s="3559"/>
      <c r="B26" s="3560" t="s">
        <v>1061</v>
      </c>
      <c r="C26" s="3561"/>
      <c r="D26" s="3559" t="s">
        <v>1061</v>
      </c>
      <c r="E26" s="3562"/>
      <c r="F26" s="3503"/>
      <c r="G26" s="3503"/>
      <c r="H26" s="3503"/>
      <c r="I26" s="3503"/>
      <c r="J26" s="3479"/>
      <c r="K26" s="3490"/>
      <c r="L26" s="3491"/>
      <c r="M26" s="3491"/>
      <c r="N26" s="3479"/>
      <c r="O26" s="3491"/>
      <c r="P26" s="3479"/>
      <c r="Q26" s="3479"/>
      <c r="R26" s="3479"/>
      <c r="S26" s="3479"/>
      <c r="T26" s="3479"/>
      <c r="U26" s="3479"/>
      <c r="V26" s="3479"/>
    </row>
    <row r="27" spans="1:28" ht="13.5" thickTop="1">
      <c r="A27" s="3911" t="s">
        <v>2213</v>
      </c>
      <c r="B27" s="3528" t="s">
        <v>2214</v>
      </c>
      <c r="C27" s="3563"/>
      <c r="D27" s="3564"/>
      <c r="E27" s="3485"/>
      <c r="F27" s="3485"/>
      <c r="G27" s="3485"/>
      <c r="H27" s="3485"/>
      <c r="I27" s="3485"/>
      <c r="J27" s="3479"/>
      <c r="K27" s="3490"/>
      <c r="L27" s="3491"/>
      <c r="M27" s="3491"/>
      <c r="N27" s="3479"/>
      <c r="O27" s="3491"/>
      <c r="P27" s="3479"/>
      <c r="Q27" s="3479"/>
      <c r="R27" s="3479"/>
      <c r="S27" s="3479"/>
      <c r="T27" s="3479"/>
      <c r="U27" s="3479"/>
      <c r="V27" s="3479"/>
    </row>
    <row r="28" spans="1:28">
      <c r="A28" s="3911"/>
      <c r="B28" s="3474" t="s">
        <v>2215</v>
      </c>
      <c r="C28" s="3565"/>
      <c r="D28" s="3566"/>
      <c r="E28" s="3485"/>
      <c r="F28" s="3485"/>
      <c r="G28" s="3485"/>
      <c r="H28" s="3485"/>
      <c r="I28" s="3485"/>
      <c r="J28" s="3479"/>
      <c r="K28" s="3490"/>
      <c r="L28" s="3491"/>
      <c r="M28" s="3491"/>
      <c r="N28" s="3479"/>
      <c r="O28" s="3491"/>
      <c r="P28" s="3479"/>
      <c r="Q28" s="3479"/>
      <c r="R28" s="3479"/>
      <c r="S28" s="3479"/>
      <c r="T28" s="3479"/>
      <c r="U28" s="3479"/>
      <c r="V28" s="3479"/>
    </row>
    <row r="29" spans="1:28">
      <c r="A29" s="3911"/>
      <c r="B29" s="3474" t="s">
        <v>2216</v>
      </c>
      <c r="C29" s="3567"/>
      <c r="D29" s="3568"/>
      <c r="E29" s="3485"/>
      <c r="F29" s="3485"/>
      <c r="G29" s="3485"/>
      <c r="H29" s="3485"/>
      <c r="I29" s="3485"/>
      <c r="J29" s="3479"/>
      <c r="K29" s="3490"/>
      <c r="L29" s="3491"/>
      <c r="M29" s="3491"/>
      <c r="N29" s="3479"/>
      <c r="O29" s="3491"/>
      <c r="P29" s="3479"/>
      <c r="Q29" s="3479"/>
      <c r="R29" s="3479"/>
      <c r="S29" s="3479"/>
      <c r="T29" s="3479"/>
      <c r="U29" s="3479"/>
      <c r="V29" s="3479"/>
    </row>
    <row r="30" spans="1:28">
      <c r="A30" s="3912"/>
      <c r="B30" s="3474" t="s">
        <v>2217</v>
      </c>
      <c r="C30" s="3913"/>
      <c r="D30" s="3914"/>
      <c r="E30" s="3485"/>
      <c r="F30" s="3485"/>
      <c r="G30" s="3485"/>
      <c r="H30" s="3485"/>
      <c r="I30" s="3485"/>
      <c r="J30" s="3479"/>
      <c r="K30" s="3490"/>
      <c r="L30" s="3491"/>
      <c r="M30" s="3491"/>
      <c r="N30" s="3479"/>
      <c r="O30" s="3491"/>
      <c r="P30" s="3479"/>
      <c r="Q30" s="3479"/>
      <c r="R30" s="3479"/>
      <c r="S30" s="3479"/>
      <c r="T30" s="3479"/>
      <c r="U30" s="3479"/>
      <c r="V30" s="3479"/>
    </row>
    <row r="31" spans="1:28">
      <c r="A31" s="3915" t="s">
        <v>2218</v>
      </c>
      <c r="B31" s="3569"/>
      <c r="C31" s="3570" t="str">
        <f>IF(B31="现房","成新及维护状况正常否",IF(B31="在建","工程状态是否正常",IF(B31="土地","是否闲置","-")))</f>
        <v>-</v>
      </c>
      <c r="D31" s="3571"/>
      <c r="E31" s="3572"/>
      <c r="F31" s="3485"/>
      <c r="G31" s="3485"/>
      <c r="H31" s="3485"/>
      <c r="I31" s="3485"/>
      <c r="J31" s="3479"/>
      <c r="K31" s="3490"/>
      <c r="L31" s="3491"/>
      <c r="M31" s="3491"/>
      <c r="N31" s="3479"/>
      <c r="O31" s="3491"/>
      <c r="P31" s="3479"/>
      <c r="Q31" s="3479"/>
      <c r="R31" s="3479"/>
      <c r="S31" s="3479"/>
      <c r="T31" s="3479"/>
      <c r="U31" s="3479"/>
      <c r="V31" s="3479"/>
    </row>
    <row r="32" spans="1:28">
      <c r="A32" s="3916"/>
      <c r="B32" s="3569"/>
      <c r="C32" s="3570" t="str">
        <f>IF(B32="现房","成新及维护状况是否正常",IF(B32="在建","工程状态是否正常",IF(B32="土地","是否闲置","-")))</f>
        <v>-</v>
      </c>
      <c r="D32" s="3571"/>
      <c r="E32" s="3572"/>
      <c r="F32" s="3485"/>
      <c r="G32" s="3485"/>
      <c r="H32" s="3485"/>
      <c r="I32" s="3485"/>
      <c r="J32" s="3479"/>
      <c r="K32" s="3490"/>
      <c r="L32" s="3491"/>
      <c r="M32" s="3491"/>
      <c r="N32" s="3479"/>
      <c r="O32" s="3491"/>
      <c r="P32" s="3479"/>
      <c r="Q32" s="3479"/>
      <c r="R32" s="3479"/>
      <c r="S32" s="3479"/>
      <c r="T32" s="3479"/>
      <c r="U32" s="3479"/>
      <c r="V32" s="3479"/>
    </row>
    <row r="33" spans="1:30">
      <c r="A33" s="3916"/>
      <c r="B33" s="3573"/>
      <c r="C33" s="3574" t="str">
        <f>IF(B33="现房","成新及维护状况是否正常",IF(B33="在建","工程状态是否正常",IF(B33="土地","是否闲置","-")))</f>
        <v>-</v>
      </c>
      <c r="D33" s="3575"/>
      <c r="E33" s="3576"/>
      <c r="F33" s="3485"/>
      <c r="G33" s="3485"/>
      <c r="H33" s="3485"/>
      <c r="I33" s="3485"/>
      <c r="J33" s="3479"/>
      <c r="K33" s="3490"/>
      <c r="L33" s="3491"/>
      <c r="M33" s="3491"/>
      <c r="N33" s="3479"/>
      <c r="O33" s="3491"/>
      <c r="P33" s="3479"/>
      <c r="Q33" s="3479"/>
      <c r="R33" s="3479"/>
      <c r="S33" s="3479"/>
      <c r="T33" s="3479"/>
      <c r="U33" s="3479"/>
      <c r="V33" s="3479"/>
    </row>
    <row r="34" spans="1:30">
      <c r="A34" s="3474" t="s">
        <v>2219</v>
      </c>
      <c r="B34" s="3577"/>
      <c r="C34" s="3577"/>
      <c r="D34" s="3577"/>
      <c r="E34" s="3577"/>
      <c r="F34" s="3577"/>
      <c r="G34" s="3577"/>
      <c r="H34" s="3577"/>
      <c r="I34" s="3485"/>
      <c r="J34" s="3479"/>
      <c r="K34" s="3520">
        <f>COUNTIF(B34:H34,"——")</f>
        <v>0</v>
      </c>
      <c r="L34" s="3519" t="s">
        <v>2220</v>
      </c>
      <c r="M34" s="3519" t="s">
        <v>2221</v>
      </c>
      <c r="N34" s="3519" t="s">
        <v>2222</v>
      </c>
      <c r="O34" s="3519" t="s">
        <v>2223</v>
      </c>
      <c r="P34" s="3519" t="s">
        <v>2224</v>
      </c>
      <c r="Q34" s="3519" t="s">
        <v>2225</v>
      </c>
      <c r="R34" s="3519" t="s">
        <v>2226</v>
      </c>
      <c r="S34" s="3910" t="s">
        <v>2227</v>
      </c>
      <c r="T34" s="3519" t="str">
        <f>NUMBERSTRING(7-K34,1)&amp;"通"</f>
        <v>七通</v>
      </c>
      <c r="U34" s="3479"/>
      <c r="V34" s="3479"/>
    </row>
    <row r="35" spans="1:30">
      <c r="A35" s="3578"/>
      <c r="B35" s="3910" t="s">
        <v>2228</v>
      </c>
      <c r="C35" s="3910"/>
      <c r="D35" s="3910"/>
      <c r="E35" s="3910"/>
      <c r="F35" s="3520">
        <f>C10</f>
        <v>0</v>
      </c>
      <c r="G35" s="3485"/>
      <c r="H35" s="3485"/>
      <c r="I35" s="3485"/>
      <c r="J35" s="3479"/>
      <c r="K35" s="3519"/>
      <c r="L35" s="3519">
        <f>B34</f>
        <v>0</v>
      </c>
      <c r="M35" s="3579" t="str">
        <f>B34&amp;"、"&amp;C34</f>
        <v>、</v>
      </c>
      <c r="N35" s="3579" t="str">
        <f>B34&amp;"、"&amp;C34&amp;"、"&amp;D34</f>
        <v>、、</v>
      </c>
      <c r="O35" s="3579" t="str">
        <f>B34&amp;"、"&amp;C34&amp;"、"&amp;D34&amp;"、"&amp;E34</f>
        <v>、、、</v>
      </c>
      <c r="P35" s="3579" t="str">
        <f>B34&amp;"、"&amp;C34&amp;"、"&amp;D34&amp;"、"&amp;E34&amp;"、"&amp;F34</f>
        <v>、、、、</v>
      </c>
      <c r="Q35" s="3579" t="str">
        <f>B34&amp;"、"&amp;C34&amp;"、"&amp;D34&amp;"、"&amp;E34&amp;"、"&amp;F34&amp;"、"&amp;G34</f>
        <v>、、、、、</v>
      </c>
      <c r="R35" s="3579" t="str">
        <f>B34&amp;"、"&amp;C34&amp;"、"&amp;D34&amp;"、"&amp;E34&amp;"、"&amp;F34&amp;"、"&amp;G34&amp;"、"&amp;H34</f>
        <v>、、、、、、</v>
      </c>
      <c r="S35" s="3910"/>
      <c r="T35" s="3579" t="str">
        <f>IF(T34="一通",L35,IF(T34="二通",M35,IF(T34="三通",N35,IF(T34="四通",O35,IF(T34="五通",P35,IF(T34="六通",Q35,R35))))))</f>
        <v>、、、、、、</v>
      </c>
      <c r="U35" s="3479"/>
      <c r="V35" s="3479"/>
    </row>
    <row r="36" spans="1:30">
      <c r="A36" s="3462"/>
      <c r="B36" s="3520" t="s">
        <v>2185</v>
      </c>
      <c r="C36" s="3520" t="s">
        <v>2186</v>
      </c>
      <c r="D36" s="3520" t="s">
        <v>2184</v>
      </c>
      <c r="E36" s="3520" t="s">
        <v>2189</v>
      </c>
      <c r="F36" s="3521" t="s">
        <v>2572</v>
      </c>
      <c r="G36" s="3485"/>
      <c r="H36" s="3485"/>
      <c r="I36" s="3485"/>
      <c r="J36" s="3479"/>
      <c r="K36" s="3490"/>
      <c r="L36" s="3491"/>
      <c r="M36" s="3491"/>
      <c r="N36" s="3479"/>
      <c r="O36" s="3491"/>
      <c r="P36" s="3479"/>
      <c r="Q36" s="3479"/>
      <c r="R36" s="3479"/>
      <c r="S36" s="3479"/>
      <c r="T36" s="3479"/>
      <c r="U36" s="3479"/>
      <c r="V36" s="3479"/>
    </row>
    <row r="37" spans="1:30">
      <c r="A37" s="3580" t="s">
        <v>2229</v>
      </c>
      <c r="B37" s="3581"/>
      <c r="C37" s="3581"/>
      <c r="D37" s="3581"/>
      <c r="E37" s="3581"/>
      <c r="F37" s="3581"/>
      <c r="G37" s="3485"/>
      <c r="H37" s="3485"/>
      <c r="I37" s="3485"/>
      <c r="J37" s="3479"/>
      <c r="K37" s="3490"/>
      <c r="L37" s="3491"/>
      <c r="M37" s="3491"/>
      <c r="N37" s="3479"/>
      <c r="O37" s="3491"/>
      <c r="P37" s="3479"/>
      <c r="Q37" s="3479"/>
      <c r="R37" s="3479"/>
      <c r="S37" s="3479"/>
      <c r="T37" s="3479"/>
      <c r="U37" s="3479"/>
      <c r="V37" s="3479"/>
    </row>
    <row r="38" spans="1:30" ht="13.5" thickBot="1">
      <c r="A38" s="3582" t="s">
        <v>2230</v>
      </c>
      <c r="B38" s="3583"/>
      <c r="C38" s="3583"/>
      <c r="D38" s="3583"/>
      <c r="E38" s="3583"/>
      <c r="F38" s="3583"/>
      <c r="G38" s="3503"/>
      <c r="H38" s="3503"/>
      <c r="I38" s="3503"/>
      <c r="J38" s="3479"/>
      <c r="K38" s="3490"/>
      <c r="L38" s="3491"/>
      <c r="M38" s="3491"/>
      <c r="N38" s="3479"/>
      <c r="O38" s="3491"/>
      <c r="P38" s="3479"/>
      <c r="Q38" s="3479"/>
      <c r="R38" s="3479"/>
      <c r="S38" s="3479"/>
      <c r="T38" s="3479"/>
      <c r="U38" s="3479"/>
      <c r="V38" s="3479"/>
    </row>
    <row r="39" spans="1:30" s="3590" customFormat="1" ht="14.25" thickTop="1" thickBot="1">
      <c r="A39" s="3584" t="s">
        <v>2231</v>
      </c>
      <c r="B39" s="3585"/>
      <c r="C39" s="3585"/>
      <c r="D39" s="3585"/>
      <c r="E39" s="3585"/>
      <c r="F39" s="3585"/>
      <c r="G39" s="3585"/>
      <c r="H39" s="3585"/>
      <c r="I39" s="3585"/>
      <c r="J39" s="3586"/>
      <c r="K39" s="3587"/>
      <c r="L39" s="3586"/>
      <c r="M39" s="3586"/>
      <c r="N39" s="3586"/>
      <c r="O39" s="3588"/>
      <c r="P39" s="3586"/>
      <c r="Q39" s="3586"/>
      <c r="R39" s="3586"/>
      <c r="S39" s="3586"/>
      <c r="T39" s="3586"/>
      <c r="U39" s="3586"/>
      <c r="V39" s="3586"/>
      <c r="W39" s="3589"/>
      <c r="X39" s="3589"/>
      <c r="Y39" s="3589"/>
      <c r="Z39" s="3589"/>
      <c r="AA39" s="3589"/>
      <c r="AB39" s="3589"/>
      <c r="AC39" s="3589"/>
      <c r="AD39" s="3589"/>
    </row>
    <row r="40" spans="1:30">
      <c r="A40" s="3464"/>
      <c r="B40" s="3464"/>
      <c r="C40" s="3464"/>
      <c r="D40" s="3464"/>
      <c r="E40" s="3464"/>
      <c r="F40" s="3464"/>
      <c r="G40" s="3464"/>
      <c r="H40" s="3464"/>
      <c r="I40" s="3591"/>
      <c r="J40" s="3479"/>
      <c r="K40" s="3490"/>
      <c r="L40" s="3491"/>
      <c r="M40" s="3491"/>
      <c r="N40" s="3479"/>
      <c r="O40" s="3491"/>
      <c r="P40" s="3479"/>
      <c r="Q40" s="3479"/>
      <c r="R40" s="3479"/>
      <c r="S40" s="3479"/>
      <c r="T40" s="3479"/>
      <c r="U40" s="3479"/>
      <c r="V40" s="3479"/>
    </row>
    <row r="41" spans="1:30">
      <c r="A41" s="3592" t="s">
        <v>2232</v>
      </c>
      <c r="B41" s="3593"/>
      <c r="C41" s="3571"/>
      <c r="D41" s="3464"/>
      <c r="E41" s="3464"/>
      <c r="F41" s="3464"/>
      <c r="G41" s="3464"/>
      <c r="H41" s="3464"/>
      <c r="I41" s="3463"/>
      <c r="J41" s="3479"/>
      <c r="K41" s="3490"/>
      <c r="L41" s="3491"/>
      <c r="M41" s="3491"/>
      <c r="N41" s="3479"/>
      <c r="O41" s="3491"/>
      <c r="P41" s="3479"/>
      <c r="Q41" s="3479"/>
      <c r="R41" s="3479"/>
      <c r="S41" s="3479"/>
      <c r="T41" s="3479"/>
      <c r="U41" s="3479"/>
      <c r="V41" s="3479"/>
    </row>
    <row r="42" spans="1:30" ht="25.5">
      <c r="A42" s="3519" t="s">
        <v>2233</v>
      </c>
      <c r="B42" s="3520" t="s">
        <v>2234</v>
      </c>
      <c r="C42" s="3520" t="s">
        <v>2235</v>
      </c>
      <c r="D42" s="3520" t="s">
        <v>2236</v>
      </c>
      <c r="E42" s="3520" t="s">
        <v>2237</v>
      </c>
      <c r="F42" s="3520" t="s">
        <v>2238</v>
      </c>
      <c r="G42" s="3520" t="s">
        <v>2239</v>
      </c>
      <c r="H42" s="3520" t="s">
        <v>2240</v>
      </c>
      <c r="I42" s="3520" t="s">
        <v>2241</v>
      </c>
      <c r="J42" s="3594" t="s">
        <v>2242</v>
      </c>
      <c r="K42" s="3595" t="s">
        <v>2243</v>
      </c>
      <c r="L42" s="3595" t="s">
        <v>2244</v>
      </c>
      <c r="M42" s="3595" t="s">
        <v>2245</v>
      </c>
      <c r="N42" s="3595" t="s">
        <v>2246</v>
      </c>
      <c r="O42" s="3595" t="s">
        <v>2247</v>
      </c>
      <c r="P42" s="3595" t="s">
        <v>2248</v>
      </c>
      <c r="Q42" s="3596" t="s">
        <v>2249</v>
      </c>
      <c r="R42" s="3596" t="s">
        <v>2250</v>
      </c>
      <c r="S42" s="3479"/>
      <c r="T42" s="3479"/>
      <c r="U42" s="3479"/>
      <c r="V42" s="3479"/>
    </row>
    <row r="43" spans="1:30" s="3467" customFormat="1">
      <c r="A43" s="3597"/>
      <c r="B43" s="3598"/>
      <c r="C43" s="3598"/>
      <c r="D43" s="3598"/>
      <c r="E43" s="3598"/>
      <c r="F43" s="3598"/>
      <c r="G43" s="3598"/>
      <c r="H43" s="3598"/>
      <c r="I43" s="3598"/>
      <c r="J43" s="3599"/>
      <c r="K43" s="3598"/>
      <c r="L43" s="3598"/>
      <c r="M43" s="3598"/>
      <c r="N43" s="3598"/>
      <c r="O43" s="3598"/>
      <c r="P43" s="3598"/>
      <c r="Q43" s="3598"/>
      <c r="R43" s="3598"/>
      <c r="S43" s="3479"/>
      <c r="T43" s="3479"/>
      <c r="U43" s="3479"/>
      <c r="V43" s="3479"/>
    </row>
    <row r="44" spans="1:30" s="3467" customFormat="1">
      <c r="A44" s="3597"/>
      <c r="B44" s="3597"/>
      <c r="C44" s="3598"/>
      <c r="D44" s="3598"/>
      <c r="E44" s="3598"/>
      <c r="F44" s="3598"/>
      <c r="G44" s="3598"/>
      <c r="H44" s="3598"/>
      <c r="I44" s="3598"/>
      <c r="J44" s="3599"/>
      <c r="K44" s="3598"/>
      <c r="L44" s="3598"/>
      <c r="M44" s="3598"/>
      <c r="N44" s="3598"/>
      <c r="O44" s="3598"/>
      <c r="P44" s="3598"/>
      <c r="Q44" s="3598"/>
      <c r="R44" s="3598"/>
      <c r="S44" s="3479"/>
      <c r="T44" s="3479"/>
      <c r="U44" s="3479"/>
      <c r="V44" s="3479"/>
    </row>
    <row r="45" spans="1:30" s="3467" customFormat="1">
      <c r="A45" s="3597"/>
      <c r="B45" s="3597"/>
      <c r="C45" s="3598"/>
      <c r="D45" s="3598"/>
      <c r="E45" s="3598"/>
      <c r="F45" s="3598"/>
      <c r="G45" s="3598"/>
      <c r="H45" s="3598"/>
      <c r="I45" s="3598"/>
      <c r="J45" s="3599"/>
      <c r="K45" s="3598"/>
      <c r="L45" s="3598"/>
      <c r="M45" s="3598"/>
      <c r="N45" s="3598"/>
      <c r="O45" s="3598"/>
      <c r="P45" s="3598"/>
      <c r="Q45" s="3598"/>
      <c r="R45" s="3598"/>
      <c r="S45" s="3479"/>
      <c r="T45" s="3479"/>
      <c r="U45" s="3479"/>
      <c r="V45" s="3479"/>
    </row>
    <row r="46" spans="1:30" s="3467" customFormat="1">
      <c r="A46" s="3597"/>
      <c r="B46" s="3597"/>
      <c r="C46" s="3598"/>
      <c r="D46" s="3598"/>
      <c r="E46" s="3598"/>
      <c r="F46" s="3598"/>
      <c r="G46" s="3598"/>
      <c r="H46" s="3598"/>
      <c r="I46" s="3598"/>
      <c r="J46" s="3599"/>
      <c r="K46" s="3598"/>
      <c r="L46" s="3598"/>
      <c r="M46" s="3598"/>
      <c r="N46" s="3598"/>
      <c r="O46" s="3598"/>
      <c r="P46" s="3598"/>
      <c r="Q46" s="3598"/>
      <c r="R46" s="3598"/>
      <c r="S46" s="3479"/>
      <c r="T46" s="3479"/>
      <c r="U46" s="3479"/>
      <c r="V46" s="3479"/>
    </row>
    <row r="47" spans="1:30" s="3467" customFormat="1">
      <c r="A47" s="3597"/>
      <c r="B47" s="3597"/>
      <c r="C47" s="3598"/>
      <c r="D47" s="3598"/>
      <c r="E47" s="3598"/>
      <c r="F47" s="3598"/>
      <c r="G47" s="3598"/>
      <c r="H47" s="3598"/>
      <c r="I47" s="3598"/>
      <c r="J47" s="3599"/>
      <c r="K47" s="3598"/>
      <c r="L47" s="3598"/>
      <c r="M47" s="3598"/>
      <c r="N47" s="3598"/>
      <c r="O47" s="3598"/>
      <c r="P47" s="3598"/>
      <c r="Q47" s="3598"/>
      <c r="R47" s="3598"/>
      <c r="S47" s="3479"/>
      <c r="T47" s="3479"/>
      <c r="U47" s="3479"/>
      <c r="V47" s="3479"/>
    </row>
    <row r="48" spans="1:30" s="3467" customFormat="1">
      <c r="A48" s="3597"/>
      <c r="B48" s="3597"/>
      <c r="C48" s="3598"/>
      <c r="D48" s="3598"/>
      <c r="E48" s="3598"/>
      <c r="F48" s="3598"/>
      <c r="G48" s="3598"/>
      <c r="H48" s="3598"/>
      <c r="I48" s="3598"/>
      <c r="J48" s="3599"/>
      <c r="K48" s="3598"/>
      <c r="L48" s="3598"/>
      <c r="M48" s="3598"/>
      <c r="N48" s="3598"/>
      <c r="O48" s="3598"/>
      <c r="P48" s="3598"/>
      <c r="Q48" s="3598"/>
      <c r="R48" s="3598"/>
      <c r="S48" s="3479"/>
      <c r="T48" s="3479"/>
      <c r="U48" s="3479"/>
      <c r="V48" s="3479"/>
    </row>
    <row r="49" spans="1:22" s="3467" customFormat="1">
      <c r="A49" s="3597"/>
      <c r="B49" s="3597"/>
      <c r="C49" s="3598"/>
      <c r="D49" s="3598"/>
      <c r="E49" s="3598"/>
      <c r="F49" s="3598"/>
      <c r="G49" s="3598"/>
      <c r="H49" s="3598"/>
      <c r="I49" s="3598"/>
      <c r="J49" s="3599"/>
      <c r="K49" s="3598"/>
      <c r="L49" s="3598"/>
      <c r="M49" s="3598"/>
      <c r="N49" s="3598"/>
      <c r="O49" s="3598"/>
      <c r="P49" s="3598"/>
      <c r="Q49" s="3598"/>
      <c r="R49" s="3598"/>
      <c r="S49" s="3479"/>
      <c r="T49" s="3479"/>
      <c r="U49" s="3479"/>
      <c r="V49" s="3479"/>
    </row>
    <row r="50" spans="1:22" s="3467" customFormat="1">
      <c r="A50" s="3597"/>
      <c r="B50" s="3597"/>
      <c r="C50" s="3598"/>
      <c r="D50" s="3598"/>
      <c r="E50" s="3598"/>
      <c r="F50" s="3598"/>
      <c r="G50" s="3598"/>
      <c r="H50" s="3598"/>
      <c r="I50" s="3598"/>
      <c r="J50" s="3599"/>
      <c r="K50" s="3598"/>
      <c r="L50" s="3598"/>
      <c r="M50" s="3598"/>
      <c r="N50" s="3598"/>
      <c r="O50" s="3598"/>
      <c r="P50" s="3598"/>
      <c r="Q50" s="3598"/>
      <c r="R50" s="3598"/>
      <c r="S50" s="3479"/>
      <c r="T50" s="3479"/>
      <c r="U50" s="3479"/>
      <c r="V50" s="3479"/>
    </row>
    <row r="51" spans="1:22" s="3467" customFormat="1">
      <c r="A51" s="3597"/>
      <c r="B51" s="3597"/>
      <c r="C51" s="3598"/>
      <c r="D51" s="3598"/>
      <c r="E51" s="3598"/>
      <c r="F51" s="3598"/>
      <c r="G51" s="3598"/>
      <c r="H51" s="3598"/>
      <c r="I51" s="3598"/>
      <c r="J51" s="3599"/>
      <c r="K51" s="3598"/>
      <c r="L51" s="3598"/>
      <c r="M51" s="3598"/>
      <c r="N51" s="3598"/>
      <c r="O51" s="3598"/>
      <c r="P51" s="3598"/>
      <c r="Q51" s="3598"/>
      <c r="R51" s="3598"/>
    </row>
    <row r="52" spans="1:22" s="3467" customFormat="1">
      <c r="A52" s="3597"/>
      <c r="B52" s="3597"/>
      <c r="C52" s="3597"/>
      <c r="D52" s="3597"/>
      <c r="E52" s="3597"/>
      <c r="F52" s="3598"/>
      <c r="G52" s="3597"/>
      <c r="H52" s="3597"/>
      <c r="I52" s="3597"/>
      <c r="J52" s="3600"/>
      <c r="K52" s="3598"/>
      <c r="L52" s="3598"/>
      <c r="M52" s="3598"/>
      <c r="N52" s="3597"/>
      <c r="O52" s="3597"/>
      <c r="P52" s="3597"/>
      <c r="Q52" s="3597"/>
      <c r="R52" s="3597"/>
    </row>
    <row r="53" spans="1:22" s="3467" customFormat="1">
      <c r="A53" s="3597"/>
      <c r="B53" s="3597"/>
      <c r="C53" s="3597"/>
      <c r="D53" s="3597"/>
      <c r="E53" s="3597"/>
      <c r="F53" s="3598"/>
      <c r="G53" s="3597"/>
      <c r="H53" s="3597"/>
      <c r="I53" s="3597"/>
      <c r="J53" s="3600"/>
      <c r="K53" s="3598"/>
      <c r="L53" s="3598"/>
      <c r="M53" s="3598"/>
      <c r="N53" s="3597"/>
      <c r="O53" s="3597"/>
      <c r="P53" s="3597"/>
      <c r="Q53" s="3597"/>
      <c r="R53" s="3597"/>
    </row>
    <row r="54" spans="1:22" s="3467" customFormat="1">
      <c r="A54" s="3597"/>
      <c r="B54" s="3597"/>
      <c r="C54" s="3597"/>
      <c r="D54" s="3597"/>
      <c r="E54" s="3597"/>
      <c r="F54" s="3598"/>
      <c r="G54" s="3597"/>
      <c r="H54" s="3597"/>
      <c r="I54" s="3597"/>
      <c r="J54" s="3600"/>
      <c r="K54" s="3598"/>
      <c r="L54" s="3598"/>
      <c r="M54" s="3598"/>
      <c r="N54" s="3597"/>
      <c r="O54" s="3597"/>
      <c r="P54" s="3597"/>
      <c r="Q54" s="3597"/>
      <c r="R54" s="3597"/>
    </row>
    <row r="55" spans="1:22" s="3467" customFormat="1">
      <c r="A55" s="3597"/>
      <c r="B55" s="3597"/>
      <c r="C55" s="3597"/>
      <c r="D55" s="3597"/>
      <c r="E55" s="3597"/>
      <c r="F55" s="3598"/>
      <c r="G55" s="3597"/>
      <c r="H55" s="3597"/>
      <c r="I55" s="3597"/>
      <c r="J55" s="3600"/>
      <c r="K55" s="3598"/>
      <c r="L55" s="3598"/>
      <c r="M55" s="3598"/>
      <c r="N55" s="3597"/>
      <c r="O55" s="3597"/>
      <c r="P55" s="3597"/>
      <c r="Q55" s="3597"/>
      <c r="R55" s="3597"/>
    </row>
    <row r="56" spans="1:22" s="3467" customFormat="1">
      <c r="A56" s="3597"/>
      <c r="B56" s="3597"/>
      <c r="C56" s="3597"/>
      <c r="D56" s="3597"/>
      <c r="E56" s="3597"/>
      <c r="F56" s="3598"/>
      <c r="G56" s="3597"/>
      <c r="H56" s="3597"/>
      <c r="I56" s="3597"/>
      <c r="J56" s="3600"/>
      <c r="K56" s="3598"/>
      <c r="L56" s="3598"/>
      <c r="M56" s="3598"/>
      <c r="N56" s="3597"/>
      <c r="O56" s="3597"/>
      <c r="P56" s="3597"/>
      <c r="Q56" s="3597"/>
      <c r="R56" s="359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343.31</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343.31</v>
      </c>
      <c r="H5" s="13">
        <f t="shared" ref="H5:AT5" si="0">SUM(H13:H656)</f>
        <v>343.31</v>
      </c>
      <c r="I5" s="13">
        <f t="shared" si="0"/>
        <v>343.31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343.31</v>
      </c>
      <c r="BA5" s="15">
        <f t="shared" si="1"/>
        <v>343.31</v>
      </c>
      <c r="BB5" s="15">
        <f t="shared" si="1"/>
        <v>343.31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3499</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3500</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c r="D13" s="1510" t="s">
        <v>3501</v>
      </c>
      <c r="E13" s="13">
        <f>IF($C$3="是",ROUND($A$3*G13/$B$3,2),ROUND($A$3*(G13-AT13)/$B$3,2))</f>
        <v>0</v>
      </c>
      <c r="F13" s="29"/>
      <c r="G13" s="30">
        <f>H13+AC13+AT13</f>
        <v>343.31</v>
      </c>
      <c r="H13" s="17">
        <f>SUMIF(I$12:AB$12,"总值",I13:AB13)</f>
        <v>343.31</v>
      </c>
      <c r="I13" s="1511">
        <v>343.31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f t="shared" si="6"/>
        <v>0</v>
      </c>
      <c r="AY13" s="1246">
        <f>ROUND($AY$6*AZ13/$AZ$5,2)</f>
        <v>0</v>
      </c>
      <c r="AZ13" s="13">
        <f>BA13+BL13</f>
        <v>343.31</v>
      </c>
      <c r="BA13" s="13">
        <f>SUM(BB13:BK13)</f>
        <v>343.31</v>
      </c>
      <c r="BB13" s="13">
        <f>IF($D13="是",I13-J13,0)</f>
        <v>343.31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26" t="s">
        <v>1131</v>
      </c>
      <c r="B2" s="3926"/>
      <c r="C2" s="3926"/>
      <c r="D2" s="718" t="s">
        <v>1107</v>
      </c>
      <c r="E2" s="1524" t="s">
        <v>1108</v>
      </c>
      <c r="F2" s="2339"/>
      <c r="G2" s="2331"/>
      <c r="H2" s="2332"/>
      <c r="I2" s="2126" t="s">
        <v>1132</v>
      </c>
      <c r="J2" s="2339"/>
      <c r="K2" s="2339"/>
      <c r="L2" s="2339"/>
      <c r="M2" s="2339"/>
      <c r="N2" s="2341"/>
      <c r="O2" s="2339"/>
      <c r="P2" s="2339"/>
    </row>
    <row r="3" spans="1:16" ht="15.75" thickBot="1">
      <c r="A3" s="3927" t="s">
        <v>1105</v>
      </c>
      <c r="B3" s="3927"/>
      <c r="C3" s="3927"/>
      <c r="D3" s="43">
        <f>'数据-基础表'!AY6</f>
        <v>0</v>
      </c>
      <c r="E3" s="43">
        <f>'数据-基础表'!AZ5</f>
        <v>343.31</v>
      </c>
      <c r="F3" s="2339"/>
      <c r="G3" s="1046"/>
      <c r="H3" s="945" t="s">
        <v>1106</v>
      </c>
      <c r="I3" s="777" t="e">
        <f>ROUND('数据-基础表'!B3/'数据-基础表'!A3,2)</f>
        <v>#DIV/0!</v>
      </c>
      <c r="J3" s="2339"/>
      <c r="K3" s="2339"/>
      <c r="L3" s="2339"/>
      <c r="M3" s="2339"/>
      <c r="N3" s="2341"/>
      <c r="O3" s="2339"/>
      <c r="P3" s="2339"/>
    </row>
    <row r="4" spans="1:16" ht="15">
      <c r="A4" s="3928"/>
      <c r="B4" s="3929"/>
      <c r="C4" s="3930"/>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31" t="s">
        <v>1110</v>
      </c>
      <c r="C5" s="3931"/>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31" t="s">
        <v>1111</v>
      </c>
      <c r="C6" s="3931"/>
      <c r="D6" s="45">
        <f>ROUND($D$3*E6/$E$3,2)</f>
        <v>0</v>
      </c>
      <c r="E6" s="46">
        <f>E3-E5</f>
        <v>343.31</v>
      </c>
      <c r="F6" s="2339"/>
      <c r="G6" s="2334" t="s">
        <v>1112</v>
      </c>
      <c r="H6" s="1047" t="s">
        <v>1113</v>
      </c>
      <c r="I6" s="2335" t="e">
        <f>ROUND(F31/D31,2)</f>
        <v>#DIV/0!</v>
      </c>
      <c r="J6" s="2339"/>
      <c r="K6" s="2339"/>
      <c r="L6" s="2339"/>
      <c r="M6" s="2339"/>
      <c r="N6" s="2339"/>
      <c r="O6" s="2339"/>
      <c r="P6" s="2339"/>
    </row>
    <row r="7" spans="1:16" ht="15.75" thickBot="1">
      <c r="A7" s="3923"/>
      <c r="B7" s="3924"/>
      <c r="C7" s="3925"/>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343.31</v>
      </c>
      <c r="F8" s="2339"/>
      <c r="G8" s="2340"/>
      <c r="H8" s="2340"/>
      <c r="I8" s="2339"/>
      <c r="J8" s="2339"/>
      <c r="K8" s="2339"/>
      <c r="L8" s="2339"/>
      <c r="M8" s="2339"/>
      <c r="N8" s="2339"/>
      <c r="O8" s="2339"/>
      <c r="P8" s="2339"/>
    </row>
    <row r="9" spans="1:16">
      <c r="A9" s="1531"/>
      <c r="B9" s="1532"/>
      <c r="C9" s="45" t="s">
        <v>1119</v>
      </c>
      <c r="D9" s="45">
        <f t="shared" si="0"/>
        <v>0</v>
      </c>
      <c r="E9" s="49">
        <v>343.31</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686.62</v>
      </c>
      <c r="F16" s="2339"/>
      <c r="G16" s="2340"/>
      <c r="H16" s="1533" t="s">
        <v>1135</v>
      </c>
      <c r="I16" s="1534"/>
      <c r="J16" s="1040"/>
      <c r="K16" s="3920" t="s">
        <v>1135</v>
      </c>
      <c r="L16" s="3921"/>
      <c r="M16" s="3921"/>
      <c r="N16" s="3921"/>
      <c r="O16" s="3921"/>
      <c r="P16" s="3922"/>
    </row>
    <row r="17" spans="1:19" ht="15">
      <c r="A17" s="1535" t="s">
        <v>1136</v>
      </c>
      <c r="B17" s="1536" t="s">
        <v>1137</v>
      </c>
      <c r="C17" s="1537" t="s">
        <v>1138</v>
      </c>
      <c r="D17" s="1538" t="s">
        <v>1126</v>
      </c>
      <c r="E17" s="1539" t="s">
        <v>1127</v>
      </c>
      <c r="F17" s="1540"/>
      <c r="G17" s="1541"/>
      <c r="H17" s="1542" t="s">
        <v>1139</v>
      </c>
      <c r="I17" s="1543" t="s">
        <v>1124</v>
      </c>
      <c r="J17" s="1040"/>
      <c r="K17" s="3917" t="s">
        <v>1140</v>
      </c>
      <c r="L17" s="3918"/>
      <c r="M17" s="3919"/>
      <c r="N17" s="3917" t="s">
        <v>1141</v>
      </c>
      <c r="O17" s="3918"/>
      <c r="P17" s="3919"/>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343.31</v>
      </c>
      <c r="F19" s="3069">
        <v>343.31</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343.31</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343.31</v>
      </c>
      <c r="F27" s="1041">
        <f>IF(SUM(F19:F26)=E8,SUM(F19:F26),"地上面积有误")</f>
        <v>343.31</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343.31</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343.31</v>
      </c>
      <c r="F31" s="609">
        <f>F27+F30</f>
        <v>343.31</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3466" customWidth="1"/>
    <col min="2" max="2" width="12" style="3465" customWidth="1"/>
    <col min="3" max="3" width="12.75" style="3465" customWidth="1"/>
    <col min="4" max="4" width="9.125" style="3465" customWidth="1"/>
    <col min="5" max="5" width="15" style="3465" bestFit="1" customWidth="1"/>
    <col min="6" max="10" width="8.875" style="3465" customWidth="1"/>
    <col min="11" max="12" width="12.375" style="3815" customWidth="1"/>
    <col min="13" max="13" width="8.625" style="3465" customWidth="1"/>
    <col min="14" max="14" width="11.875" style="3465" customWidth="1"/>
    <col min="15" max="15" width="13.875" style="3465" customWidth="1"/>
    <col min="16" max="17" width="10.875" style="3465" customWidth="1"/>
    <col min="18" max="19" width="12.5" style="3465" customWidth="1"/>
    <col min="20" max="20" width="12.125" style="3465" customWidth="1"/>
    <col min="21" max="21" width="7.5" style="3465" customWidth="1"/>
    <col min="22" max="22" width="6.375" style="3465" customWidth="1"/>
    <col min="23" max="30" width="6.75" style="3465" customWidth="1"/>
    <col min="31" max="31" width="8" style="3465" customWidth="1"/>
    <col min="32" max="34" width="7.25" style="3465" customWidth="1"/>
    <col min="35" max="39" width="8" style="3465" customWidth="1"/>
    <col min="40" max="40" width="13.75" style="3652"/>
    <col min="41" max="41" width="11.625" style="3652" customWidth="1"/>
    <col min="42" max="42" width="9.75" style="3652" customWidth="1"/>
    <col min="43" max="67" width="13.75" style="3652"/>
    <col min="68" max="16384" width="13.75" style="3465"/>
  </cols>
  <sheetData>
    <row r="1" spans="1:67" ht="19.5" thickBot="1">
      <c r="A1" s="3647" t="s">
        <v>1160</v>
      </c>
      <c r="B1" s="3648"/>
      <c r="C1" s="3649"/>
      <c r="D1" s="3649"/>
      <c r="E1" s="3649"/>
      <c r="F1" s="3649"/>
      <c r="G1" s="3649"/>
      <c r="H1" s="3649"/>
      <c r="I1" s="3649"/>
      <c r="J1" s="3649"/>
      <c r="K1" s="3650"/>
      <c r="L1" s="3650"/>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51"/>
      <c r="AO1" s="3651"/>
      <c r="AP1" s="3651"/>
      <c r="AQ1" s="3651"/>
      <c r="AR1" s="3651"/>
    </row>
    <row r="2" spans="1:67" s="3659" customFormat="1" ht="15.75" thickBot="1">
      <c r="A2" s="3653" t="s">
        <v>1161</v>
      </c>
      <c r="B2" s="3654">
        <f>项目基本情况!D3</f>
        <v>45142</v>
      </c>
      <c r="C2" s="3655"/>
      <c r="D2" s="3655"/>
      <c r="E2" s="3655"/>
      <c r="F2" s="3655"/>
      <c r="G2" s="3655"/>
      <c r="H2" s="3655"/>
      <c r="I2" s="3655"/>
      <c r="J2" s="3655"/>
      <c r="K2" s="3656"/>
      <c r="L2" s="3656"/>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7"/>
      <c r="AO2" s="3657"/>
      <c r="AP2" s="3657"/>
      <c r="AQ2" s="3657"/>
      <c r="AR2" s="3657"/>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659" customFormat="1" ht="15" thickBot="1">
      <c r="A3" s="3660"/>
      <c r="B3" s="3661"/>
      <c r="C3" s="3655"/>
      <c r="D3" s="3655"/>
      <c r="E3" s="3655"/>
      <c r="F3" s="3655"/>
      <c r="G3" s="3655"/>
      <c r="H3" s="3655"/>
      <c r="I3" s="3655"/>
      <c r="J3" s="3655"/>
      <c r="K3" s="3656"/>
      <c r="L3" s="3656"/>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7"/>
      <c r="AO3" s="3657"/>
      <c r="AP3" s="3657"/>
      <c r="AQ3" s="3657"/>
      <c r="AR3" s="3657"/>
      <c r="AS3" s="3658"/>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659" customFormat="1" ht="15" thickBot="1">
      <c r="A4" s="3662" t="s">
        <v>1162</v>
      </c>
      <c r="B4" s="3663"/>
      <c r="C4" s="3664"/>
      <c r="D4" s="3664"/>
      <c r="E4" s="3664" t="s">
        <v>1163</v>
      </c>
      <c r="F4" s="3664"/>
      <c r="G4" s="3664"/>
      <c r="H4" s="3664"/>
      <c r="I4" s="3664"/>
      <c r="J4" s="3665"/>
      <c r="K4" s="3666"/>
      <c r="L4" s="3667"/>
      <c r="M4" s="3664"/>
      <c r="N4" s="3664" t="s">
        <v>1164</v>
      </c>
      <c r="O4" s="3664"/>
      <c r="P4" s="3664"/>
      <c r="Q4" s="3664"/>
      <c r="R4" s="3664"/>
      <c r="S4" s="3665"/>
      <c r="T4" s="3668" t="str">
        <f>'数据-汇总表'!I17</f>
        <v>按面积比例</v>
      </c>
      <c r="U4" s="3663" t="s">
        <v>1165</v>
      </c>
      <c r="V4" s="3664"/>
      <c r="W4" s="3664"/>
      <c r="X4" s="3664"/>
      <c r="Y4" s="3665"/>
      <c r="Z4" s="3669" t="s">
        <v>1166</v>
      </c>
      <c r="AA4" s="3669"/>
      <c r="AB4" s="3669"/>
      <c r="AC4" s="3669"/>
      <c r="AD4" s="3669"/>
      <c r="AE4" s="3670" t="s">
        <v>1167</v>
      </c>
      <c r="AF4" s="3669"/>
      <c r="AG4" s="3671"/>
      <c r="AH4" s="3663"/>
      <c r="AI4" s="3664"/>
      <c r="AJ4" s="3664"/>
      <c r="AK4" s="3664"/>
      <c r="AL4" s="3664"/>
      <c r="AM4" s="3665"/>
      <c r="AN4" s="3657"/>
      <c r="AO4" s="3657"/>
      <c r="AP4" s="3657"/>
      <c r="AQ4" s="3657"/>
      <c r="AR4" s="3657"/>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689" customFormat="1" ht="42">
      <c r="A5" s="3672" t="s">
        <v>1168</v>
      </c>
      <c r="B5" s="3673" t="s">
        <v>1169</v>
      </c>
      <c r="C5" s="3674" t="s">
        <v>1170</v>
      </c>
      <c r="D5" s="3675" t="s">
        <v>1171</v>
      </c>
      <c r="E5" s="3318" t="s">
        <v>1172</v>
      </c>
      <c r="F5" s="3318" t="s">
        <v>1173</v>
      </c>
      <c r="G5" s="3318" t="s">
        <v>1174</v>
      </c>
      <c r="H5" s="3318" t="s">
        <v>1175</v>
      </c>
      <c r="I5" s="3318" t="s">
        <v>1176</v>
      </c>
      <c r="J5" s="3676" t="s">
        <v>1177</v>
      </c>
      <c r="K5" s="3677" t="s">
        <v>1178</v>
      </c>
      <c r="L5" s="3678" t="s">
        <v>1179</v>
      </c>
      <c r="M5" s="3678" t="s">
        <v>1180</v>
      </c>
      <c r="N5" s="3679"/>
      <c r="O5" s="3678" t="s">
        <v>1181</v>
      </c>
      <c r="P5" s="3680" t="s">
        <v>1182</v>
      </c>
      <c r="Q5" s="3432" t="s">
        <v>1183</v>
      </c>
      <c r="R5" s="3677" t="s">
        <v>1184</v>
      </c>
      <c r="S5" s="3681" t="s">
        <v>1185</v>
      </c>
      <c r="T5" s="3682" t="s">
        <v>1186</v>
      </c>
      <c r="U5" s="3683" t="s">
        <v>1187</v>
      </c>
      <c r="V5" s="3318" t="s">
        <v>1188</v>
      </c>
      <c r="W5" s="3318" t="s">
        <v>1189</v>
      </c>
      <c r="X5" s="3188"/>
      <c r="Y5" s="3190" t="s">
        <v>1190</v>
      </c>
      <c r="Z5" s="3317" t="s">
        <v>1187</v>
      </c>
      <c r="AA5" s="3318" t="s">
        <v>1188</v>
      </c>
      <c r="AB5" s="3318" t="s">
        <v>1189</v>
      </c>
      <c r="AC5" s="3188"/>
      <c r="AD5" s="3188" t="s">
        <v>1190</v>
      </c>
      <c r="AE5" s="3683" t="s">
        <v>1191</v>
      </c>
      <c r="AF5" s="3318" t="s">
        <v>1192</v>
      </c>
      <c r="AG5" s="3190" t="s">
        <v>1193</v>
      </c>
      <c r="AH5" s="3683" t="s">
        <v>1194</v>
      </c>
      <c r="AI5" s="3317" t="s">
        <v>1195</v>
      </c>
      <c r="AJ5" s="3317" t="s">
        <v>1196</v>
      </c>
      <c r="AK5" s="3318" t="s">
        <v>1197</v>
      </c>
      <c r="AL5" s="3318" t="s">
        <v>1198</v>
      </c>
      <c r="AM5" s="3190" t="s">
        <v>1199</v>
      </c>
      <c r="AN5" s="3684" t="s">
        <v>1200</v>
      </c>
      <c r="AO5" s="3685" t="s">
        <v>1201</v>
      </c>
      <c r="AP5" s="3686" t="s">
        <v>1202</v>
      </c>
      <c r="AQ5" s="3687" t="s">
        <v>1203</v>
      </c>
      <c r="AR5" s="3687" t="s">
        <v>1204</v>
      </c>
      <c r="AS5" s="3688"/>
      <c r="AT5" s="3688"/>
      <c r="AU5" s="3688"/>
      <c r="AV5" s="3688"/>
      <c r="AW5" s="3688"/>
      <c r="AX5" s="3688"/>
      <c r="AY5" s="3688"/>
      <c r="AZ5" s="3688"/>
      <c r="BA5" s="3688"/>
      <c r="BB5" s="3688"/>
      <c r="BC5" s="3688"/>
      <c r="BD5" s="3688"/>
      <c r="BE5" s="3688"/>
      <c r="BF5" s="3688"/>
      <c r="BG5" s="3688"/>
      <c r="BH5" s="3688"/>
      <c r="BI5" s="3688"/>
      <c r="BJ5" s="3688"/>
      <c r="BK5" s="3688"/>
      <c r="BL5" s="3688"/>
      <c r="BM5" s="3688"/>
      <c r="BN5" s="3688"/>
      <c r="BO5" s="3688"/>
    </row>
    <row r="6" spans="1:67" s="3659" customFormat="1" ht="14.25">
      <c r="A6" s="3690">
        <f>'数据-汇总表'!C19</f>
        <v>0</v>
      </c>
      <c r="B6" s="3691" t="str">
        <f>IF(A6=0,"","经营性")</f>
        <v/>
      </c>
      <c r="C6" s="3692"/>
      <c r="D6" s="3693">
        <f>SUMIF(项目基本情况!C$12:I$12,C6,项目基本情况!C$14:I$14)</f>
        <v>0</v>
      </c>
      <c r="E6" s="3694" t="str">
        <f>IF(B6="","",SUMIF(项目基本情况!C$12:I$12,C6,项目基本情况!C$13:I$13))</f>
        <v/>
      </c>
      <c r="F6" s="3695">
        <f>SUMIF(项目基本情况!C$12:I$12,C6,项目基本情况!C$15:I$15)</f>
        <v>0</v>
      </c>
      <c r="G6" s="3695">
        <f>IF(ISERROR(ROUND(POWER(1+H6,D6-F6)*(POWER(1+H6,F6)-1)/(POWER(1+H6,D6)-1),3)),0,ROUND(POWER(1+H6,D6-F6)*(POWER(1+H6,F6)-1)/(POWER(1+H6,D6)-1),3))</f>
        <v>0</v>
      </c>
      <c r="H6" s="3696"/>
      <c r="I6" s="3696"/>
      <c r="J6" s="3697"/>
      <c r="K6" s="3693">
        <f>SUMIF('数据-汇总表'!C$19:C$33,A6,'数据-汇总表'!E$19:E$33)</f>
        <v>0</v>
      </c>
      <c r="L6" s="3698"/>
      <c r="M6" s="3699">
        <f t="shared" ref="M6:M14" si="0">ROUND(K6*L6/10000,0)</f>
        <v>0</v>
      </c>
      <c r="N6" s="3698"/>
      <c r="O6" s="3699">
        <f>IF($N$5="成新度","——",ROUND(M6*N6,0))</f>
        <v>0</v>
      </c>
      <c r="P6" s="3620">
        <f>IF($N$5="成新度","——",M6-O6)</f>
        <v>0</v>
      </c>
      <c r="Q6" s="3700"/>
      <c r="R6" s="3701">
        <f ca="1">SUMIF('数据-汇总表'!C$19:C$33,A6,'数据-汇总表'!R$19:R$27)</f>
        <v>0</v>
      </c>
      <c r="S6" s="3183">
        <f>IF('数据-汇总表'!$I$17="按面积比例",SUMIF('数据-汇总表'!C$19:C$33,A6,'数据-汇总表'!K$19:K$33),SUMIF('数据-汇总表'!C$19:C$33,A6,'数据-汇总表'!N$19:N$33))</f>
        <v>0</v>
      </c>
      <c r="T6" s="3702">
        <f>ROUND($L$14*S6/10000,0)</f>
        <v>0</v>
      </c>
      <c r="U6" s="3703"/>
      <c r="V6" s="3704"/>
      <c r="W6" s="3704"/>
      <c r="X6" s="3620"/>
      <c r="Y6" s="3705"/>
      <c r="Z6" s="3706"/>
      <c r="AA6" s="3697"/>
      <c r="AB6" s="3697"/>
      <c r="AC6" s="3620"/>
      <c r="AD6" s="3707"/>
      <c r="AE6" s="3708">
        <f ca="1">IF(AN6="",0,SUMIF(INDIRECT("'"&amp;AN6&amp;"'"&amp;"!E:E"),$AE$5,INDIRECT("'"&amp;AN6&amp;"'"&amp;"!F:F")))</f>
        <v>0</v>
      </c>
      <c r="AF6" s="3709"/>
      <c r="AG6" s="3710">
        <f>IF(AF6="",0,AE6-AF6)</f>
        <v>0</v>
      </c>
      <c r="AH6" s="3703"/>
      <c r="AI6" s="3711"/>
      <c r="AJ6" s="3709"/>
      <c r="AK6" s="3709"/>
      <c r="AL6" s="3709"/>
      <c r="AM6" s="3712"/>
      <c r="AN6" s="3713"/>
      <c r="AO6" s="3183" t="e">
        <f ca="1">SUMIF(INDIRECT("'"&amp;AN6&amp;"'"&amp;"!A:A"),"总价",INDIRECT("'"&amp;AN6&amp;"'"&amp;"!B:B"))</f>
        <v>#REF!</v>
      </c>
      <c r="AP6" s="3714">
        <f>IF(C6="住宅",K6*L6,0)</f>
        <v>0</v>
      </c>
      <c r="AQ6" s="3183">
        <f>ROUND($L$14*$N$14*S6/10000,0)</f>
        <v>0</v>
      </c>
      <c r="AR6" s="3183">
        <f>ROUND($L$14*(1-$N$14)*S6/10000,0)</f>
        <v>0</v>
      </c>
      <c r="AS6" s="3658"/>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659" customFormat="1" ht="14.25">
      <c r="A7" s="3690">
        <f>'数据-汇总表'!C20</f>
        <v>0</v>
      </c>
      <c r="B7" s="3691" t="str">
        <f t="shared" ref="B7:B13" si="1">IF(A7=0,"","经营性")</f>
        <v/>
      </c>
      <c r="C7" s="3692"/>
      <c r="D7" s="3693">
        <f>SUMIF(项目基本情况!C$12:I$12,C7,项目基本情况!C$14:I$14)</f>
        <v>0</v>
      </c>
      <c r="E7" s="3694" t="str">
        <f>IF(B7="","",SUMIF(项目基本情况!C$12:I$12,C7,项目基本情况!C$13:I$13))</f>
        <v/>
      </c>
      <c r="F7" s="3695">
        <f>SUMIF(项目基本情况!C$12:I$12,C7,项目基本情况!C$15:I$15)</f>
        <v>0</v>
      </c>
      <c r="G7" s="3695">
        <f t="shared" ref="G7:G11" si="2">IF(ISERROR(ROUND(POWER(1+H7,D7-F7)*(POWER(1+H7,F7)-1)/(POWER(1+H7,D7)-1),3)),0,ROUND(POWER(1+H7,D7-F7)*(POWER(1+H7,F7)-1)/(POWER(1+H7,D7)-1),3))</f>
        <v>0</v>
      </c>
      <c r="H7" s="3696"/>
      <c r="I7" s="3696"/>
      <c r="J7" s="3697"/>
      <c r="K7" s="3693">
        <f>SUMIF('数据-汇总表'!C$19:C$33,A7,'数据-汇总表'!E$19:E$33)</f>
        <v>0</v>
      </c>
      <c r="L7" s="3698"/>
      <c r="M7" s="3699">
        <f t="shared" si="0"/>
        <v>0</v>
      </c>
      <c r="N7" s="3698"/>
      <c r="O7" s="3699">
        <f t="shared" ref="O7:O14" si="3">IF($N$5="成新度","——",ROUND(M7*N7,0))</f>
        <v>0</v>
      </c>
      <c r="P7" s="3620">
        <f t="shared" ref="P7:P14" si="4">IF($N$5="成新度","——",M7-O7)</f>
        <v>0</v>
      </c>
      <c r="Q7" s="3700"/>
      <c r="R7" s="3701">
        <f ca="1">SUMIF('数据-汇总表'!C$19:C$33,A7,'数据-汇总表'!R$19:R$27)</f>
        <v>0</v>
      </c>
      <c r="S7" s="3183">
        <f>IF('数据-汇总表'!$I$17="按面积比例",SUMIF('数据-汇总表'!C$19:C$33,A7,'数据-汇总表'!K$19:K$33),SUMIF('数据-汇总表'!C$19:C$33,A7,'数据-汇总表'!N$19:N$33))</f>
        <v>0</v>
      </c>
      <c r="T7" s="3702">
        <f t="shared" ref="T7:T13" si="5">ROUND($L$14*S7/10000,0)</f>
        <v>0</v>
      </c>
      <c r="U7" s="3703"/>
      <c r="V7" s="3704"/>
      <c r="W7" s="3704"/>
      <c r="X7" s="3620"/>
      <c r="Y7" s="3705"/>
      <c r="Z7" s="3706"/>
      <c r="AA7" s="3697"/>
      <c r="AB7" s="3697"/>
      <c r="AC7" s="3620"/>
      <c r="AD7" s="3707"/>
      <c r="AE7" s="3708">
        <f t="shared" ref="AE7:AE13" ca="1" si="6">IF(AN7="",0,SUMIF(INDIRECT("'"&amp;AN7&amp;"'"&amp;"!E:E"),$AE$5,INDIRECT("'"&amp;AN7&amp;"'"&amp;"!F:F")))</f>
        <v>0</v>
      </c>
      <c r="AF7" s="3709"/>
      <c r="AG7" s="3710">
        <f t="shared" ref="AG7:AG13" si="7">IF(AF7="",0,AE7-AF7)</f>
        <v>0</v>
      </c>
      <c r="AH7" s="3703"/>
      <c r="AI7" s="3711"/>
      <c r="AJ7" s="3709"/>
      <c r="AK7" s="3709"/>
      <c r="AL7" s="3709"/>
      <c r="AM7" s="3712"/>
      <c r="AN7" s="3713"/>
      <c r="AO7" s="3183" t="e">
        <f t="shared" ref="AO7:AO13" ca="1" si="8">SUMIF(INDIRECT("'"&amp;AN7&amp;"'"&amp;"!A:A"),"总价",INDIRECT("'"&amp;AN7&amp;"'"&amp;"!B:B"))</f>
        <v>#REF!</v>
      </c>
      <c r="AP7" s="3714">
        <f t="shared" ref="AP7:AP13" si="9">IF(C7="住宅",K7*L7,0)</f>
        <v>0</v>
      </c>
      <c r="AQ7" s="3183">
        <f t="shared" ref="AQ7:AQ13" si="10">ROUND($L$14*$N$14*S7/10000,0)</f>
        <v>0</v>
      </c>
      <c r="AR7" s="3183">
        <f t="shared" ref="AR7:AR13" si="11">ROUND($L$14*(1-$N$14)*S7/10000,0)</f>
        <v>0</v>
      </c>
      <c r="AS7" s="3658"/>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659" customFormat="1" ht="14.25">
      <c r="A8" s="3690">
        <f>'数据-汇总表'!C21</f>
        <v>0</v>
      </c>
      <c r="B8" s="3691" t="str">
        <f t="shared" si="1"/>
        <v/>
      </c>
      <c r="C8" s="3692"/>
      <c r="D8" s="3693">
        <f>SUMIF(项目基本情况!C$12:I$12,C8,项目基本情况!C$14:I$14)</f>
        <v>0</v>
      </c>
      <c r="E8" s="3694" t="str">
        <f>IF(B8="","",SUMIF(项目基本情况!C$12:I$12,C8,项目基本情况!C$13:I$13))</f>
        <v/>
      </c>
      <c r="F8" s="3695">
        <f>SUMIF(项目基本情况!C$12:I$12,C8,项目基本情况!C$15:I$15)</f>
        <v>0</v>
      </c>
      <c r="G8" s="3695">
        <f t="shared" si="2"/>
        <v>0</v>
      </c>
      <c r="H8" s="3696"/>
      <c r="I8" s="3696"/>
      <c r="J8" s="3697"/>
      <c r="K8" s="3693">
        <f>SUMIF('数据-汇总表'!C$19:C$33,A8,'数据-汇总表'!E$19:E$33)</f>
        <v>0</v>
      </c>
      <c r="L8" s="3698"/>
      <c r="M8" s="3699">
        <f>ROUND(K8*L8/10000,0)</f>
        <v>0</v>
      </c>
      <c r="N8" s="3698"/>
      <c r="O8" s="3699">
        <f t="shared" si="3"/>
        <v>0</v>
      </c>
      <c r="P8" s="3620">
        <f t="shared" si="4"/>
        <v>0</v>
      </c>
      <c r="Q8" s="3700"/>
      <c r="R8" s="3701">
        <f ca="1">SUMIF('数据-汇总表'!C$19:C$33,A8,'数据-汇总表'!R$19:R$27)</f>
        <v>0</v>
      </c>
      <c r="S8" s="3183">
        <f>IF('数据-汇总表'!$I$17="按面积比例",SUMIF('数据-汇总表'!C$19:C$33,A8,'数据-汇总表'!K$19:K$33),SUMIF('数据-汇总表'!C$19:C$33,A8,'数据-汇总表'!N$19:N$33))</f>
        <v>0</v>
      </c>
      <c r="T8" s="3702">
        <f t="shared" si="5"/>
        <v>0</v>
      </c>
      <c r="U8" s="3715"/>
      <c r="V8" s="3716"/>
      <c r="W8" s="3716"/>
      <c r="X8" s="3620"/>
      <c r="Y8" s="3705"/>
      <c r="Z8" s="3706"/>
      <c r="AA8" s="3697"/>
      <c r="AB8" s="3697"/>
      <c r="AC8" s="3620"/>
      <c r="AD8" s="3707"/>
      <c r="AE8" s="3708">
        <f t="shared" ca="1" si="6"/>
        <v>0</v>
      </c>
      <c r="AF8" s="3709"/>
      <c r="AG8" s="3710">
        <f t="shared" si="7"/>
        <v>0</v>
      </c>
      <c r="AH8" s="3715"/>
      <c r="AI8" s="3711"/>
      <c r="AJ8" s="3709"/>
      <c r="AK8" s="3717"/>
      <c r="AL8" s="3717"/>
      <c r="AM8" s="3718"/>
      <c r="AN8" s="3713"/>
      <c r="AO8" s="3183" t="e">
        <f t="shared" ca="1" si="8"/>
        <v>#REF!</v>
      </c>
      <c r="AP8" s="3714">
        <f t="shared" si="9"/>
        <v>0</v>
      </c>
      <c r="AQ8" s="3183">
        <f t="shared" si="10"/>
        <v>0</v>
      </c>
      <c r="AR8" s="3183">
        <f t="shared" si="11"/>
        <v>0</v>
      </c>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659" customFormat="1" ht="14.25">
      <c r="A9" s="3690">
        <f>'数据-汇总表'!C22</f>
        <v>0</v>
      </c>
      <c r="B9" s="3691" t="str">
        <f t="shared" si="1"/>
        <v/>
      </c>
      <c r="C9" s="3692"/>
      <c r="D9" s="3693">
        <f>SUMIF(项目基本情况!C$12:I$12,C9,项目基本情况!C$14:I$14)</f>
        <v>0</v>
      </c>
      <c r="E9" s="3694" t="str">
        <f>IF(B9="","",SUMIF(项目基本情况!C$12:I$12,C9,项目基本情况!C$13:I$13))</f>
        <v/>
      </c>
      <c r="F9" s="3695">
        <f>SUMIF(项目基本情况!C$12:I$12,C9,项目基本情况!C$15:I$15)</f>
        <v>0</v>
      </c>
      <c r="G9" s="3695">
        <f t="shared" si="2"/>
        <v>0</v>
      </c>
      <c r="H9" s="3697"/>
      <c r="I9" s="3697"/>
      <c r="J9" s="3697"/>
      <c r="K9" s="3693">
        <f>SUMIF('数据-汇总表'!C$19:C$33,A9,'数据-汇总表'!E$19:E$33)</f>
        <v>0</v>
      </c>
      <c r="L9" s="3698"/>
      <c r="M9" s="3699">
        <f t="shared" si="0"/>
        <v>0</v>
      </c>
      <c r="N9" s="3698"/>
      <c r="O9" s="3699">
        <f t="shared" si="3"/>
        <v>0</v>
      </c>
      <c r="P9" s="3620">
        <f t="shared" si="4"/>
        <v>0</v>
      </c>
      <c r="Q9" s="3719"/>
      <c r="R9" s="3701">
        <f ca="1">SUMIF('数据-汇总表'!C$19:C$33,A9,'数据-汇总表'!R$19:R$27)</f>
        <v>0</v>
      </c>
      <c r="S9" s="3183">
        <f>IF('数据-汇总表'!$I$17="按面积比例",SUMIF('数据-汇总表'!C$19:C$33,A9,'数据-汇总表'!K$19:K$33),SUMIF('数据-汇总表'!C$19:C$33,A9,'数据-汇总表'!N$19:N$33))</f>
        <v>0</v>
      </c>
      <c r="T9" s="3702">
        <f t="shared" si="5"/>
        <v>0</v>
      </c>
      <c r="U9" s="3703"/>
      <c r="V9" s="3704"/>
      <c r="W9" s="3704"/>
      <c r="X9" s="3620"/>
      <c r="Y9" s="3705"/>
      <c r="Z9" s="3706"/>
      <c r="AA9" s="3697"/>
      <c r="AB9" s="3697"/>
      <c r="AC9" s="3620"/>
      <c r="AD9" s="3707"/>
      <c r="AE9" s="3708">
        <f t="shared" ca="1" si="6"/>
        <v>0</v>
      </c>
      <c r="AF9" s="3709"/>
      <c r="AG9" s="3710">
        <f t="shared" si="7"/>
        <v>0</v>
      </c>
      <c r="AH9" s="3703"/>
      <c r="AI9" s="3711"/>
      <c r="AJ9" s="3709"/>
      <c r="AK9" s="3709"/>
      <c r="AL9" s="3709"/>
      <c r="AM9" s="3712"/>
      <c r="AN9" s="3713"/>
      <c r="AO9" s="3183" t="e">
        <f t="shared" ca="1" si="8"/>
        <v>#REF!</v>
      </c>
      <c r="AP9" s="3714">
        <f t="shared" si="9"/>
        <v>0</v>
      </c>
      <c r="AQ9" s="3183">
        <f t="shared" si="10"/>
        <v>0</v>
      </c>
      <c r="AR9" s="3183">
        <f t="shared" si="11"/>
        <v>0</v>
      </c>
      <c r="AS9" s="3658"/>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659" customFormat="1" ht="14.25">
      <c r="A10" s="3690">
        <f>'数据-汇总表'!C23</f>
        <v>0</v>
      </c>
      <c r="B10" s="3691" t="str">
        <f t="shared" si="1"/>
        <v/>
      </c>
      <c r="C10" s="3692"/>
      <c r="D10" s="3693">
        <f>SUMIF(项目基本情况!C$12:I$12,C10,项目基本情况!C$14:I$14)</f>
        <v>0</v>
      </c>
      <c r="E10" s="3694" t="str">
        <f>IF(B10="","",SUMIF(项目基本情况!C$12:I$12,C10,项目基本情况!C$13:I$13))</f>
        <v/>
      </c>
      <c r="F10" s="3695">
        <f>SUMIF(项目基本情况!C$12:I$12,C10,项目基本情况!C$15:I$15)</f>
        <v>0</v>
      </c>
      <c r="G10" s="3695">
        <f t="shared" si="2"/>
        <v>0</v>
      </c>
      <c r="H10" s="3697"/>
      <c r="I10" s="3697"/>
      <c r="J10" s="3697"/>
      <c r="K10" s="3693">
        <f>SUMIF('数据-汇总表'!C$19:C$33,A10,'数据-汇总表'!E$19:E$33)</f>
        <v>0</v>
      </c>
      <c r="L10" s="3698"/>
      <c r="M10" s="3699">
        <f t="shared" si="0"/>
        <v>0</v>
      </c>
      <c r="N10" s="3698"/>
      <c r="O10" s="3699">
        <f t="shared" si="3"/>
        <v>0</v>
      </c>
      <c r="P10" s="3620">
        <f t="shared" si="4"/>
        <v>0</v>
      </c>
      <c r="Q10" s="3719"/>
      <c r="R10" s="3701">
        <f ca="1">SUMIF('数据-汇总表'!C$19:C$33,A10,'数据-汇总表'!R$19:R$27)</f>
        <v>0</v>
      </c>
      <c r="S10" s="3183">
        <f>IF('数据-汇总表'!$I$17="按面积比例",SUMIF('数据-汇总表'!C$19:C$33,A10,'数据-汇总表'!K$19:K$33),SUMIF('数据-汇总表'!C$19:C$33,A10,'数据-汇总表'!N$19:N$33))</f>
        <v>0</v>
      </c>
      <c r="T10" s="3702">
        <f t="shared" si="5"/>
        <v>0</v>
      </c>
      <c r="U10" s="3703"/>
      <c r="V10" s="3704"/>
      <c r="W10" s="3704"/>
      <c r="X10" s="3620"/>
      <c r="Y10" s="3705"/>
      <c r="Z10" s="3706"/>
      <c r="AA10" s="3697"/>
      <c r="AB10" s="3697"/>
      <c r="AC10" s="3620"/>
      <c r="AD10" s="3707"/>
      <c r="AE10" s="3708">
        <f t="shared" ca="1" si="6"/>
        <v>0</v>
      </c>
      <c r="AF10" s="3709"/>
      <c r="AG10" s="3710">
        <f t="shared" si="7"/>
        <v>0</v>
      </c>
      <c r="AH10" s="3703"/>
      <c r="AI10" s="3711"/>
      <c r="AJ10" s="3709"/>
      <c r="AK10" s="3709"/>
      <c r="AL10" s="3709"/>
      <c r="AM10" s="3712"/>
      <c r="AN10" s="3713"/>
      <c r="AO10" s="3183" t="e">
        <f t="shared" ca="1" si="8"/>
        <v>#REF!</v>
      </c>
      <c r="AP10" s="3714">
        <f t="shared" si="9"/>
        <v>0</v>
      </c>
      <c r="AQ10" s="3183">
        <f t="shared" si="10"/>
        <v>0</v>
      </c>
      <c r="AR10" s="3183">
        <f t="shared" si="11"/>
        <v>0</v>
      </c>
      <c r="AS10" s="3658"/>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659" customFormat="1" ht="14.25">
      <c r="A11" s="3690">
        <f>'数据-汇总表'!C24</f>
        <v>0</v>
      </c>
      <c r="B11" s="3691" t="str">
        <f t="shared" si="1"/>
        <v/>
      </c>
      <c r="C11" s="3692"/>
      <c r="D11" s="3693">
        <f>SUMIF(项目基本情况!C$12:I$12,C11,项目基本情况!C$14:I$14)</f>
        <v>0</v>
      </c>
      <c r="E11" s="3694" t="str">
        <f>IF(B11="","",SUMIF(项目基本情况!C$12:I$12,C11,项目基本情况!C$13:I$13))</f>
        <v/>
      </c>
      <c r="F11" s="3695">
        <f>SUMIF(项目基本情况!C$12:I$12,C11,项目基本情况!C$15:I$15)</f>
        <v>0</v>
      </c>
      <c r="G11" s="3695">
        <f t="shared" si="2"/>
        <v>0</v>
      </c>
      <c r="H11" s="3697"/>
      <c r="I11" s="3697"/>
      <c r="J11" s="3697"/>
      <c r="K11" s="3693">
        <f>SUMIF('数据-汇总表'!C$19:C$33,A11,'数据-汇总表'!E$19:E$33)</f>
        <v>0</v>
      </c>
      <c r="L11" s="3720"/>
      <c r="M11" s="3699">
        <f t="shared" si="0"/>
        <v>0</v>
      </c>
      <c r="N11" s="3698"/>
      <c r="O11" s="3699">
        <f t="shared" si="3"/>
        <v>0</v>
      </c>
      <c r="P11" s="3620">
        <f t="shared" si="4"/>
        <v>0</v>
      </c>
      <c r="Q11" s="3719"/>
      <c r="R11" s="3701">
        <f ca="1">SUMIF('数据-汇总表'!C$19:C$33,A11,'数据-汇总表'!R$19:R$27)</f>
        <v>0</v>
      </c>
      <c r="S11" s="3183">
        <f>IF('数据-汇总表'!$I$17="按面积比例",SUMIF('数据-汇总表'!C$19:C$33,A11,'数据-汇总表'!K$19:K$33),SUMIF('数据-汇总表'!C$19:C$33,A11,'数据-汇总表'!N$19:N$33))</f>
        <v>0</v>
      </c>
      <c r="T11" s="3702">
        <f t="shared" si="5"/>
        <v>0</v>
      </c>
      <c r="U11" s="3703"/>
      <c r="V11" s="3697"/>
      <c r="W11" s="3697"/>
      <c r="X11" s="3620"/>
      <c r="Y11" s="3705"/>
      <c r="Z11" s="3721"/>
      <c r="AA11" s="3697"/>
      <c r="AB11" s="3697"/>
      <c r="AC11" s="3620"/>
      <c r="AD11" s="3707"/>
      <c r="AE11" s="3708">
        <f t="shared" ca="1" si="6"/>
        <v>0</v>
      </c>
      <c r="AF11" s="3709"/>
      <c r="AG11" s="3710">
        <f t="shared" si="7"/>
        <v>0</v>
      </c>
      <c r="AH11" s="3703"/>
      <c r="AI11" s="3711"/>
      <c r="AJ11" s="3709"/>
      <c r="AK11" s="3697"/>
      <c r="AL11" s="3697"/>
      <c r="AM11" s="3722"/>
      <c r="AN11" s="3713"/>
      <c r="AO11" s="3183" t="e">
        <f t="shared" ca="1" si="8"/>
        <v>#REF!</v>
      </c>
      <c r="AP11" s="3714">
        <f t="shared" si="9"/>
        <v>0</v>
      </c>
      <c r="AQ11" s="3183">
        <f t="shared" si="10"/>
        <v>0</v>
      </c>
      <c r="AR11" s="3183">
        <f t="shared" si="11"/>
        <v>0</v>
      </c>
      <c r="AS11" s="3658"/>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659" customFormat="1" ht="14.25">
      <c r="A12" s="3690">
        <f>'数据-汇总表'!C25</f>
        <v>0</v>
      </c>
      <c r="B12" s="3691" t="str">
        <f t="shared" si="1"/>
        <v/>
      </c>
      <c r="C12" s="3692"/>
      <c r="D12" s="3693">
        <f>SUMIF(项目基本情况!C$12:I$12,C12,项目基本情况!C$14:I$14)</f>
        <v>0</v>
      </c>
      <c r="E12" s="3694" t="str">
        <f>IF(B12="","",SUMIF(项目基本情况!C$12:I$12,C12,项目基本情况!C$13:I$13))</f>
        <v/>
      </c>
      <c r="F12" s="3695">
        <f>SUMIF(项目基本情况!C$12:I$12,C12,项目基本情况!C$15:I$15)</f>
        <v>0</v>
      </c>
      <c r="G12" s="3695">
        <f>IF(ISERROR(ROUND(POWER(1+H12,D12-F12)*(POWER(1+H12,F12)-1)/(POWER(1+H12,D12)-1),3)),0,ROUND(POWER(1+H12,D12-F12)*(POWER(1+H12,F12)-1)/(POWER(1+H12,D12)-1),3))</f>
        <v>0</v>
      </c>
      <c r="H12" s="3697"/>
      <c r="I12" s="3697"/>
      <c r="J12" s="3697"/>
      <c r="K12" s="3693">
        <f>SUMIF('数据-汇总表'!C$19:C$33,A12,'数据-汇总表'!E$19:E$33)</f>
        <v>0</v>
      </c>
      <c r="L12" s="3720"/>
      <c r="M12" s="3699">
        <f>ROUND(K12*L12/10000,0)</f>
        <v>0</v>
      </c>
      <c r="N12" s="3698"/>
      <c r="O12" s="3699">
        <f t="shared" si="3"/>
        <v>0</v>
      </c>
      <c r="P12" s="3620">
        <f t="shared" si="4"/>
        <v>0</v>
      </c>
      <c r="Q12" s="3719"/>
      <c r="R12" s="3701">
        <f ca="1">SUMIF('数据-汇总表'!C$19:C$33,A12,'数据-汇总表'!R$19:R$27)</f>
        <v>0</v>
      </c>
      <c r="S12" s="3183">
        <f>IF('数据-汇总表'!$I$17="按面积比例",SUMIF('数据-汇总表'!C$19:C$33,A12,'数据-汇总表'!K$19:K$33),SUMIF('数据-汇总表'!C$19:C$33,A12,'数据-汇总表'!N$19:N$33))</f>
        <v>0</v>
      </c>
      <c r="T12" s="3702">
        <f t="shared" si="5"/>
        <v>0</v>
      </c>
      <c r="U12" s="3703"/>
      <c r="V12" s="3697"/>
      <c r="W12" s="3697"/>
      <c r="X12" s="3620"/>
      <c r="Y12" s="3705"/>
      <c r="Z12" s="3721"/>
      <c r="AA12" s="3697"/>
      <c r="AB12" s="3697"/>
      <c r="AC12" s="3620"/>
      <c r="AD12" s="3707"/>
      <c r="AE12" s="3708">
        <f t="shared" ca="1" si="6"/>
        <v>0</v>
      </c>
      <c r="AF12" s="3709"/>
      <c r="AG12" s="3710">
        <f t="shared" si="7"/>
        <v>0</v>
      </c>
      <c r="AH12" s="3703"/>
      <c r="AI12" s="3711"/>
      <c r="AJ12" s="3709"/>
      <c r="AK12" s="3697"/>
      <c r="AL12" s="3697"/>
      <c r="AM12" s="3722"/>
      <c r="AN12" s="3713"/>
      <c r="AO12" s="3183" t="e">
        <f t="shared" ca="1" si="8"/>
        <v>#REF!</v>
      </c>
      <c r="AP12" s="3714">
        <f t="shared" si="9"/>
        <v>0</v>
      </c>
      <c r="AQ12" s="3183">
        <f t="shared" si="10"/>
        <v>0</v>
      </c>
      <c r="AR12" s="3183">
        <f t="shared" si="11"/>
        <v>0</v>
      </c>
      <c r="AS12" s="3658"/>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659" customFormat="1" ht="14.25">
      <c r="A13" s="3690">
        <f>'数据-汇总表'!C26</f>
        <v>0</v>
      </c>
      <c r="B13" s="3691" t="str">
        <f t="shared" si="1"/>
        <v/>
      </c>
      <c r="C13" s="3692"/>
      <c r="D13" s="3693">
        <f>SUMIF(项目基本情况!C$12:I$12,C13,项目基本情况!C$14:I$14)</f>
        <v>0</v>
      </c>
      <c r="E13" s="3694" t="str">
        <f>IF(B13="","",SUMIF(项目基本情况!C$12:I$12,C13,项目基本情况!C$13:I$13))</f>
        <v/>
      </c>
      <c r="F13" s="3695">
        <f>SUMIF(项目基本情况!C$12:I$12,C13,项目基本情况!C$15:I$15)</f>
        <v>0</v>
      </c>
      <c r="G13" s="3695">
        <f>IF(ISERROR(ROUND(POWER(1+H13,D13-F13)*(POWER(1+H13,F13)-1)/(POWER(1+H13,D13)-1),3)),0,ROUND(POWER(1+H13,D13-F13)*(POWER(1+H13,F13)-1)/(POWER(1+H13,D13)-1),3))</f>
        <v>0</v>
      </c>
      <c r="H13" s="3697"/>
      <c r="I13" s="3697"/>
      <c r="J13" s="3697"/>
      <c r="K13" s="3693">
        <f>SUMIF('数据-汇总表'!C$19:C$33,A13,'数据-汇总表'!E$19:E$33)</f>
        <v>0</v>
      </c>
      <c r="L13" s="3720"/>
      <c r="M13" s="3699">
        <f>ROUND(K13*L13/10000,0)</f>
        <v>0</v>
      </c>
      <c r="N13" s="3720"/>
      <c r="O13" s="3699">
        <f t="shared" si="3"/>
        <v>0</v>
      </c>
      <c r="P13" s="3620">
        <f t="shared" si="4"/>
        <v>0</v>
      </c>
      <c r="Q13" s="3719"/>
      <c r="R13" s="3701">
        <f ca="1">SUMIF('数据-汇总表'!C$19:C$33,A13,'数据-汇总表'!R$19:R$27)</f>
        <v>0</v>
      </c>
      <c r="S13" s="3183">
        <f>IF('数据-汇总表'!$I$17="按面积比例",SUMIF('数据-汇总表'!C$19:C$33,A13,'数据-汇总表'!K$19:K$33),SUMIF('数据-汇总表'!C$19:C$33,A13,'数据-汇总表'!N$19:N$33))</f>
        <v>0</v>
      </c>
      <c r="T13" s="3702">
        <f t="shared" si="5"/>
        <v>0</v>
      </c>
      <c r="U13" s="3723"/>
      <c r="V13" s="3704"/>
      <c r="W13" s="3704"/>
      <c r="X13" s="3620"/>
      <c r="Y13" s="3705"/>
      <c r="Z13" s="3706"/>
      <c r="AA13" s="3697"/>
      <c r="AB13" s="3697"/>
      <c r="AC13" s="3620"/>
      <c r="AD13" s="3707"/>
      <c r="AE13" s="3708">
        <f t="shared" ca="1" si="6"/>
        <v>0</v>
      </c>
      <c r="AF13" s="3709"/>
      <c r="AG13" s="3710">
        <f t="shared" si="7"/>
        <v>0</v>
      </c>
      <c r="AH13" s="3703"/>
      <c r="AI13" s="3711"/>
      <c r="AJ13" s="3709"/>
      <c r="AK13" s="3709"/>
      <c r="AL13" s="3709"/>
      <c r="AM13" s="3712"/>
      <c r="AN13" s="3713"/>
      <c r="AO13" s="3183" t="e">
        <f t="shared" ca="1" si="8"/>
        <v>#REF!</v>
      </c>
      <c r="AP13" s="3714">
        <f t="shared" si="9"/>
        <v>0</v>
      </c>
      <c r="AQ13" s="3183">
        <f t="shared" si="10"/>
        <v>0</v>
      </c>
      <c r="AR13" s="3183">
        <f t="shared" si="11"/>
        <v>0</v>
      </c>
      <c r="AS13" s="3658"/>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659" customFormat="1" ht="14.25">
      <c r="A14" s="3724" t="s">
        <v>1205</v>
      </c>
      <c r="B14" s="3691" t="s">
        <v>1206</v>
      </c>
      <c r="C14" s="3725" t="s">
        <v>1205</v>
      </c>
      <c r="D14" s="3693"/>
      <c r="E14" s="3694"/>
      <c r="F14" s="3695"/>
      <c r="G14" s="3695"/>
      <c r="H14" s="3726"/>
      <c r="I14" s="3726"/>
      <c r="J14" s="3726"/>
      <c r="K14" s="3693">
        <f>SUMIF('数据-汇总表'!C$19:C$33,A14,'数据-汇总表'!E$19:E$33)</f>
        <v>0</v>
      </c>
      <c r="L14" s="3720"/>
      <c r="M14" s="3699">
        <f t="shared" si="0"/>
        <v>0</v>
      </c>
      <c r="N14" s="3720"/>
      <c r="O14" s="3699">
        <f t="shared" si="3"/>
        <v>0</v>
      </c>
      <c r="P14" s="3620">
        <f t="shared" si="4"/>
        <v>0</v>
      </c>
      <c r="Q14" s="3620"/>
      <c r="R14" s="3701"/>
      <c r="S14" s="3183"/>
      <c r="T14" s="3702"/>
      <c r="U14" s="3727"/>
      <c r="V14" s="3728"/>
      <c r="W14" s="3728"/>
      <c r="X14" s="3729"/>
      <c r="Y14" s="3730"/>
      <c r="Z14" s="3731"/>
      <c r="AA14" s="3183"/>
      <c r="AB14" s="3183"/>
      <c r="AC14" s="3620"/>
      <c r="AD14" s="3729"/>
      <c r="AE14" s="3708"/>
      <c r="AF14" s="3183"/>
      <c r="AG14" s="3710"/>
      <c r="AH14" s="3708"/>
      <c r="AI14" s="3621"/>
      <c r="AJ14" s="3183"/>
      <c r="AK14" s="3183"/>
      <c r="AL14" s="3183"/>
      <c r="AM14" s="3184"/>
      <c r="AN14" s="3651"/>
      <c r="AO14" s="3657"/>
      <c r="AP14" s="3657"/>
      <c r="AQ14" s="3657"/>
      <c r="AR14" s="3657"/>
      <c r="AS14" s="3658"/>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659" customFormat="1" ht="27">
      <c r="A15" s="3724" t="s">
        <v>1207</v>
      </c>
      <c r="B15" s="3691" t="s">
        <v>1206</v>
      </c>
      <c r="C15" s="3725" t="s">
        <v>1208</v>
      </c>
      <c r="D15" s="3693"/>
      <c r="E15" s="3694"/>
      <c r="F15" s="3695"/>
      <c r="G15" s="3695"/>
      <c r="H15" s="3726"/>
      <c r="I15" s="3726"/>
      <c r="J15" s="3726"/>
      <c r="K15" s="3693">
        <f>SUMIF('数据-汇总表'!C$19:C$33,A15,'数据-汇总表'!E$19:E$33)</f>
        <v>0</v>
      </c>
      <c r="L15" s="3699"/>
      <c r="M15" s="3699"/>
      <c r="N15" s="3699"/>
      <c r="O15" s="3699"/>
      <c r="P15" s="3620"/>
      <c r="Q15" s="3620"/>
      <c r="R15" s="3701"/>
      <c r="S15" s="3183"/>
      <c r="T15" s="3702"/>
      <c r="U15" s="3727"/>
      <c r="V15" s="3728"/>
      <c r="W15" s="3728"/>
      <c r="X15" s="3729"/>
      <c r="Y15" s="3730"/>
      <c r="Z15" s="3731"/>
      <c r="AA15" s="3183"/>
      <c r="AB15" s="3183"/>
      <c r="AC15" s="3620"/>
      <c r="AD15" s="3729"/>
      <c r="AE15" s="3708"/>
      <c r="AF15" s="3183"/>
      <c r="AG15" s="3710"/>
      <c r="AH15" s="3708"/>
      <c r="AI15" s="3621"/>
      <c r="AJ15" s="3183"/>
      <c r="AK15" s="3183"/>
      <c r="AL15" s="3183"/>
      <c r="AM15" s="3184"/>
      <c r="AN15" s="3651"/>
      <c r="AO15" s="3657"/>
      <c r="AP15" s="3657"/>
      <c r="AQ15" s="3657"/>
      <c r="AR15" s="3657"/>
      <c r="AS15" s="3658"/>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659" customFormat="1" ht="15.75" thickBot="1">
      <c r="A16" s="3732" t="s">
        <v>1209</v>
      </c>
      <c r="B16" s="3733"/>
      <c r="C16" s="3734"/>
      <c r="D16" s="3735"/>
      <c r="E16" s="3733"/>
      <c r="F16" s="3733"/>
      <c r="G16" s="3736" t="e">
        <f>ROUND(SUMPRODUCT(G6:G13,K6:K13)/SUMPRODUCT((G6:G13&gt;0)*(K6:K13)),3)</f>
        <v>#DIV/0!</v>
      </c>
      <c r="H16" s="3733" t="e">
        <f>ROUND(SUMPRODUCT(H6:H13,K6:K13)/SUMPRODUCT((H6:H13&gt;0)*(K6:K13)),3)</f>
        <v>#DIV/0!</v>
      </c>
      <c r="I16" s="3737"/>
      <c r="J16" s="3737"/>
      <c r="K16" s="3738">
        <f>SUM(K6:K15)</f>
        <v>0</v>
      </c>
      <c r="L16" s="3739" t="e">
        <f>ROUND(M16*10000/SUM(K6:K14),0)</f>
        <v>#DIV/0!</v>
      </c>
      <c r="M16" s="3739">
        <f>SUM(M6:M14)</f>
        <v>0</v>
      </c>
      <c r="N16" s="3739" t="e">
        <f>ROUND(SUMPRODUCT(M6:M14,N6:N14)/M16,3)</f>
        <v>#DIV/0!</v>
      </c>
      <c r="O16" s="3739">
        <f>SUM(O6:O14)</f>
        <v>0</v>
      </c>
      <c r="P16" s="3739">
        <f>SUM(P6:P14)</f>
        <v>0</v>
      </c>
      <c r="Q16" s="3740" t="e">
        <f>ROUND(SUMPRODUCT(Q6:Q13,K6:K13)/SUMPRODUCT((Q6:Q13&gt;0)*(K6:K13)),2)</f>
        <v>#DIV/0!</v>
      </c>
      <c r="R16" s="3741">
        <f ca="1">SUM(R6:R13)</f>
        <v>0</v>
      </c>
      <c r="S16" s="3742">
        <f>SUM(S6:S13)</f>
        <v>0</v>
      </c>
      <c r="T16" s="3743">
        <f>IF(SUMIF(T6:T13,"&lt;9E307")=M14,SUMIF(T6:T13,"&lt;9E307"),"有误，请检查")</f>
        <v>0</v>
      </c>
      <c r="U16" s="3744"/>
      <c r="V16" s="3745"/>
      <c r="W16" s="3745"/>
      <c r="X16" s="3746"/>
      <c r="Y16" s="3747"/>
      <c r="Z16" s="3748"/>
      <c r="AA16" s="3745"/>
      <c r="AB16" s="3745"/>
      <c r="AC16" s="3746"/>
      <c r="AD16" s="3746"/>
      <c r="AE16" s="3744"/>
      <c r="AF16" s="3745"/>
      <c r="AG16" s="3747"/>
      <c r="AH16" s="3744"/>
      <c r="AI16" s="3748"/>
      <c r="AJ16" s="3748"/>
      <c r="AK16" s="3745"/>
      <c r="AL16" s="3745"/>
      <c r="AM16" s="3747"/>
      <c r="AN16" s="3651"/>
      <c r="AO16" s="3657"/>
      <c r="AP16" s="3657"/>
      <c r="AQ16" s="3657"/>
      <c r="AR16" s="3657"/>
      <c r="AS16" s="3658"/>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ht="13.5" thickBot="1">
      <c r="A17" s="3749"/>
      <c r="B17" s="3750"/>
      <c r="C17" s="3651"/>
      <c r="D17" s="3651"/>
      <c r="E17" s="3651"/>
      <c r="F17" s="3651"/>
      <c r="G17" s="3651"/>
      <c r="H17" s="3651"/>
      <c r="I17" s="3651"/>
      <c r="J17" s="3651"/>
      <c r="K17" s="3751"/>
      <c r="L17" s="37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3651"/>
      <c r="AK17" s="3651"/>
      <c r="AL17" s="3651"/>
      <c r="AM17" s="3651"/>
      <c r="AN17" s="3651"/>
      <c r="AO17" s="3651"/>
      <c r="AP17" s="3651"/>
      <c r="AQ17" s="3651"/>
      <c r="AR17" s="3651"/>
    </row>
    <row r="18" spans="1:67" ht="15" thickBot="1">
      <c r="A18" s="3662" t="s">
        <v>1210</v>
      </c>
      <c r="B18" s="3752"/>
      <c r="C18" s="3657"/>
      <c r="D18" s="3657"/>
      <c r="E18" s="3657"/>
      <c r="F18" s="3657"/>
      <c r="G18" s="3657"/>
      <c r="H18" s="3657"/>
      <c r="I18" s="3657"/>
      <c r="J18" s="3657"/>
      <c r="K18" s="3751"/>
      <c r="L18" s="3751"/>
      <c r="M18" s="3651"/>
      <c r="N18" s="3651"/>
      <c r="O18" s="3651"/>
      <c r="P18" s="3651"/>
      <c r="Q18" s="3651"/>
      <c r="R18" s="3651"/>
      <c r="S18" s="3651"/>
      <c r="T18" s="3651"/>
      <c r="U18" s="3651"/>
      <c r="V18" s="3651"/>
      <c r="W18" s="3651"/>
      <c r="X18" s="3651"/>
      <c r="Y18" s="3651"/>
      <c r="Z18" s="3651"/>
      <c r="AA18" s="3651"/>
      <c r="AB18" s="3651"/>
      <c r="AC18" s="3651"/>
      <c r="AD18" s="3651"/>
      <c r="AE18" s="3651"/>
      <c r="AF18" s="3651"/>
      <c r="AG18" s="3651"/>
      <c r="AH18" s="3651"/>
      <c r="AI18" s="3651"/>
      <c r="AJ18" s="3651"/>
      <c r="AK18" s="3651"/>
      <c r="AL18" s="3651"/>
      <c r="AM18" s="3651"/>
      <c r="AN18" s="3651"/>
      <c r="AO18" s="3651"/>
      <c r="AP18" s="3651"/>
      <c r="AQ18" s="3651"/>
      <c r="AR18" s="3651"/>
    </row>
    <row r="19" spans="1:67" ht="14.25">
      <c r="A19" s="3753" t="s">
        <v>1211</v>
      </c>
      <c r="B19" s="3754">
        <v>0</v>
      </c>
      <c r="C19" s="3755" t="s">
        <v>2295</v>
      </c>
      <c r="D19" s="3657"/>
      <c r="E19" s="3657"/>
      <c r="F19" s="3657"/>
      <c r="G19" s="3657"/>
      <c r="H19" s="3657"/>
      <c r="I19" s="3657"/>
      <c r="J19" s="3657"/>
      <c r="K19" s="3751"/>
      <c r="L19" s="3751"/>
      <c r="M19" s="3651"/>
      <c r="N19" s="3651"/>
      <c r="O19" s="3651"/>
      <c r="P19" s="3651"/>
      <c r="Q19" s="3651"/>
      <c r="R19" s="3651"/>
      <c r="S19" s="3651"/>
      <c r="T19" s="3651"/>
      <c r="U19" s="3651"/>
      <c r="V19" s="3651"/>
      <c r="W19" s="3651"/>
      <c r="X19" s="3651"/>
      <c r="Y19" s="3651"/>
      <c r="Z19" s="3651"/>
      <c r="AA19" s="3651"/>
      <c r="AB19" s="3651"/>
      <c r="AC19" s="3651"/>
      <c r="AD19" s="3651"/>
      <c r="AE19" s="3651"/>
      <c r="AF19" s="3651"/>
      <c r="AG19" s="3651"/>
      <c r="AH19" s="3651"/>
      <c r="AI19" s="3651"/>
      <c r="AJ19" s="3651"/>
      <c r="AK19" s="3651"/>
      <c r="AL19" s="3651"/>
      <c r="AM19" s="3651"/>
      <c r="AN19" s="3651"/>
      <c r="AO19" s="3651"/>
      <c r="AP19" s="3651"/>
      <c r="AQ19" s="3651"/>
      <c r="AR19" s="3651"/>
    </row>
    <row r="20" spans="1:67" ht="14.25">
      <c r="A20" s="3756" t="s">
        <v>1212</v>
      </c>
      <c r="B20" s="3757">
        <v>2</v>
      </c>
      <c r="C20" s="3758" t="s">
        <v>2293</v>
      </c>
      <c r="D20" s="3657"/>
      <c r="E20" s="3657"/>
      <c r="F20" s="3657"/>
      <c r="G20" s="3657"/>
      <c r="H20" s="3657"/>
      <c r="I20" s="3657"/>
      <c r="J20" s="3657"/>
      <c r="K20" s="3751"/>
      <c r="L20" s="3751"/>
      <c r="M20" s="3651"/>
      <c r="N20" s="3651"/>
      <c r="O20" s="3651"/>
      <c r="P20" s="3651"/>
      <c r="Q20" s="3651"/>
      <c r="R20" s="3651"/>
      <c r="S20" s="3651"/>
      <c r="T20" s="3651"/>
      <c r="U20" s="3651"/>
      <c r="V20" s="3651"/>
      <c r="W20" s="3651"/>
      <c r="X20" s="3651"/>
      <c r="Y20" s="3651"/>
      <c r="Z20" s="3651"/>
      <c r="AA20" s="3651"/>
      <c r="AB20" s="3651"/>
      <c r="AC20" s="3651"/>
      <c r="AD20" s="3651"/>
      <c r="AE20" s="3651"/>
      <c r="AF20" s="3651"/>
      <c r="AG20" s="3651"/>
      <c r="AH20" s="3651"/>
      <c r="AI20" s="3651"/>
      <c r="AJ20" s="3651"/>
      <c r="AK20" s="3651"/>
      <c r="AL20" s="3651"/>
      <c r="AM20" s="3651"/>
      <c r="AN20" s="3651"/>
      <c r="AO20" s="3651"/>
      <c r="AP20" s="3651"/>
      <c r="AQ20" s="3651"/>
      <c r="AR20" s="3651"/>
    </row>
    <row r="21" spans="1:67" ht="14.25">
      <c r="A21" s="3759" t="s">
        <v>1213</v>
      </c>
      <c r="B21" s="3757">
        <v>2</v>
      </c>
      <c r="C21" s="3657"/>
      <c r="D21" s="3657"/>
      <c r="E21" s="3657"/>
      <c r="F21" s="3657"/>
      <c r="G21" s="3657"/>
      <c r="H21" s="3657"/>
      <c r="I21" s="3657"/>
      <c r="J21" s="3657"/>
      <c r="K21" s="3751"/>
      <c r="L21" s="3751"/>
      <c r="M21" s="3651"/>
      <c r="N21" s="3651"/>
      <c r="O21" s="3651"/>
      <c r="P21" s="3651"/>
      <c r="Q21" s="3651"/>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row>
    <row r="22" spans="1:67" ht="14.25">
      <c r="A22" s="3756" t="s">
        <v>1214</v>
      </c>
      <c r="B22" s="3760">
        <f>B19+B20</f>
        <v>2</v>
      </c>
      <c r="C22" s="3657"/>
      <c r="D22" s="3657"/>
      <c r="E22" s="3657"/>
      <c r="F22" s="3657"/>
      <c r="G22" s="3657"/>
      <c r="H22" s="3657"/>
      <c r="I22" s="3657"/>
      <c r="J22" s="3657"/>
      <c r="K22" s="3751"/>
      <c r="L22" s="37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3651"/>
      <c r="AM22" s="3651"/>
      <c r="AN22" s="3651"/>
      <c r="AO22" s="3651"/>
      <c r="AP22" s="3651"/>
      <c r="AQ22" s="3651"/>
      <c r="AR22" s="3651"/>
    </row>
    <row r="23" spans="1:67" ht="14.25">
      <c r="A23" s="3759" t="s">
        <v>1215</v>
      </c>
      <c r="B23" s="3760">
        <f>B19+B21</f>
        <v>2</v>
      </c>
      <c r="C23" s="3657"/>
      <c r="D23" s="3657"/>
      <c r="E23" s="3657"/>
      <c r="F23" s="3657"/>
      <c r="G23" s="3657"/>
      <c r="H23" s="3657"/>
      <c r="I23" s="3657"/>
      <c r="J23" s="3657"/>
      <c r="K23" s="3751"/>
      <c r="L23" s="3751"/>
      <c r="M23" s="3651"/>
      <c r="N23" s="3651"/>
      <c r="O23" s="3651"/>
      <c r="P23" s="3651"/>
      <c r="Q23" s="3651"/>
      <c r="R23" s="3651"/>
      <c r="S23" s="3651"/>
      <c r="T23" s="3651"/>
      <c r="U23" s="3651"/>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row>
    <row r="24" spans="1:67" ht="15" thickBot="1">
      <c r="A24" s="3761" t="s">
        <v>1216</v>
      </c>
      <c r="B24" s="3762">
        <f>B20-B21</f>
        <v>0</v>
      </c>
      <c r="C24" s="3657"/>
      <c r="D24" s="3657"/>
      <c r="E24" s="3657"/>
      <c r="F24" s="3657"/>
      <c r="G24" s="3657"/>
      <c r="H24" s="3657"/>
      <c r="I24" s="3657"/>
      <c r="J24" s="3657"/>
      <c r="K24" s="3751"/>
      <c r="L24" s="3751"/>
      <c r="M24" s="3651"/>
      <c r="N24" s="3651"/>
      <c r="O24" s="3651"/>
      <c r="P24" s="3651"/>
      <c r="Q24" s="3651"/>
      <c r="R24" s="3651"/>
      <c r="S24" s="3651"/>
      <c r="T24" s="3651"/>
      <c r="U24" s="3651"/>
      <c r="V24" s="3651"/>
      <c r="W24" s="3651"/>
      <c r="X24" s="3651"/>
      <c r="Y24" s="3651"/>
      <c r="Z24" s="3651"/>
      <c r="AA24" s="3651"/>
      <c r="AB24" s="3651"/>
      <c r="AC24" s="3651"/>
      <c r="AD24" s="3651"/>
      <c r="AE24" s="3651"/>
      <c r="AF24" s="3651"/>
      <c r="AG24" s="3651"/>
      <c r="AH24" s="3651"/>
      <c r="AI24" s="3651"/>
      <c r="AJ24" s="3651"/>
      <c r="AK24" s="3651"/>
      <c r="AL24" s="3651"/>
      <c r="AM24" s="3651"/>
      <c r="AN24" s="3651"/>
      <c r="AO24" s="3651"/>
      <c r="AP24" s="3651"/>
      <c r="AQ24" s="3651"/>
      <c r="AR24" s="3651"/>
    </row>
    <row r="25" spans="1:67" ht="15" thickBot="1">
      <c r="A25" s="3660"/>
      <c r="B25" s="3661"/>
      <c r="C25" s="3657"/>
      <c r="D25" s="3657"/>
      <c r="E25" s="3657"/>
      <c r="F25" s="3657"/>
      <c r="G25" s="3657"/>
      <c r="H25" s="3657"/>
      <c r="I25" s="3657"/>
      <c r="J25" s="3657"/>
      <c r="K25" s="3751"/>
      <c r="L25" s="3751"/>
      <c r="M25" s="3651"/>
      <c r="N25" s="3651"/>
      <c r="O25" s="3651"/>
      <c r="P25" s="3651"/>
      <c r="Q25" s="3651"/>
      <c r="R25" s="3651"/>
      <c r="S25" s="3651"/>
      <c r="T25" s="3651"/>
      <c r="U25" s="3651"/>
      <c r="V25" s="3651"/>
      <c r="W25" s="3651"/>
      <c r="X25" s="3651"/>
      <c r="Y25" s="3651"/>
      <c r="Z25" s="3651"/>
      <c r="AA25" s="3651"/>
      <c r="AB25" s="3651"/>
      <c r="AC25" s="3651"/>
      <c r="AD25" s="3651"/>
      <c r="AE25" s="3651"/>
      <c r="AF25" s="3651"/>
      <c r="AG25" s="3651"/>
      <c r="AH25" s="3651"/>
      <c r="AI25" s="3651"/>
      <c r="AJ25" s="3651"/>
      <c r="AK25" s="3651"/>
      <c r="AL25" s="3651"/>
      <c r="AM25" s="3651"/>
      <c r="AN25" s="3651"/>
      <c r="AO25" s="3651"/>
      <c r="AP25" s="3651"/>
      <c r="AQ25" s="3651"/>
      <c r="AR25" s="3651"/>
    </row>
    <row r="26" spans="1:67" ht="15" thickBot="1">
      <c r="A26" s="3653" t="s">
        <v>1217</v>
      </c>
      <c r="B26" s="3763" t="s">
        <v>1218</v>
      </c>
      <c r="C26" s="3764" t="s">
        <v>1219</v>
      </c>
      <c r="D26" s="3657"/>
      <c r="E26" s="3657"/>
      <c r="F26" s="3657"/>
      <c r="G26" s="3657"/>
      <c r="H26" s="3657"/>
      <c r="I26" s="3657"/>
      <c r="J26" s="3657"/>
      <c r="K26" s="3751"/>
      <c r="L26" s="3751"/>
      <c r="M26" s="3651"/>
      <c r="N26" s="3651"/>
      <c r="O26" s="3651"/>
      <c r="P26" s="3651"/>
      <c r="Q26" s="3651"/>
      <c r="R26" s="3651"/>
      <c r="S26" s="3651"/>
      <c r="T26" s="3651"/>
      <c r="U26" s="3651"/>
      <c r="V26" s="3651"/>
      <c r="W26" s="3651"/>
      <c r="X26" s="3651"/>
      <c r="Y26" s="3651"/>
      <c r="Z26" s="3651"/>
      <c r="AA26" s="3651"/>
      <c r="AB26" s="3651"/>
      <c r="AC26" s="3651"/>
      <c r="AD26" s="3651"/>
      <c r="AE26" s="3651"/>
      <c r="AF26" s="3651"/>
      <c r="AG26" s="3651"/>
      <c r="AH26" s="3651"/>
      <c r="AI26" s="3651"/>
      <c r="AJ26" s="3651"/>
      <c r="AK26" s="3651"/>
      <c r="AL26" s="3651"/>
      <c r="AM26" s="3651"/>
      <c r="AN26" s="3651"/>
      <c r="AO26" s="3651"/>
      <c r="AP26" s="3651"/>
      <c r="AQ26" s="3651"/>
      <c r="AR26" s="3651"/>
    </row>
    <row r="27" spans="1:67" s="3769" customFormat="1" ht="27.75">
      <c r="A27" s="3765" t="s">
        <v>1220</v>
      </c>
      <c r="B27" s="3766"/>
      <c r="C27" s="3767" t="s">
        <v>2297</v>
      </c>
      <c r="D27" s="3320"/>
      <c r="E27" s="3320"/>
      <c r="F27" s="3320"/>
      <c r="G27" s="3657"/>
      <c r="H27" s="3657"/>
      <c r="I27" s="3657"/>
      <c r="J27" s="3657"/>
      <c r="K27" s="3751"/>
      <c r="L27" s="37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1"/>
      <c r="AQ27" s="3651"/>
      <c r="AR27" s="3651"/>
      <c r="AS27" s="3768"/>
      <c r="AT27" s="3768"/>
      <c r="AU27" s="3768"/>
      <c r="AV27" s="3768"/>
      <c r="AW27" s="3768"/>
      <c r="AX27" s="3768"/>
      <c r="AY27" s="3768"/>
      <c r="AZ27" s="3768"/>
      <c r="BA27" s="3768"/>
      <c r="BB27" s="3768"/>
      <c r="BC27" s="3768"/>
      <c r="BD27" s="3768"/>
      <c r="BE27" s="3768"/>
      <c r="BF27" s="3768"/>
      <c r="BG27" s="3768"/>
      <c r="BH27" s="3768"/>
      <c r="BI27" s="3768"/>
      <c r="BJ27" s="3768"/>
      <c r="BK27" s="3768"/>
      <c r="BL27" s="3768"/>
      <c r="BM27" s="3768"/>
      <c r="BN27" s="3768"/>
      <c r="BO27" s="3768"/>
    </row>
    <row r="28" spans="1:67" s="3769" customFormat="1" ht="27.75">
      <c r="A28" s="3770" t="s">
        <v>1221</v>
      </c>
      <c r="B28" s="3771"/>
      <c r="C28" s="3772"/>
      <c r="D28" s="3320"/>
      <c r="E28" s="3320"/>
      <c r="F28" s="3320"/>
      <c r="G28" s="3657"/>
      <c r="H28" s="3657"/>
      <c r="I28" s="3657"/>
      <c r="J28" s="3657"/>
      <c r="K28" s="3751"/>
      <c r="L28" s="3751"/>
      <c r="M28" s="3651"/>
      <c r="N28" s="3651"/>
      <c r="O28" s="3651"/>
      <c r="P28" s="3651"/>
      <c r="Q28" s="3651"/>
      <c r="R28" s="3651"/>
      <c r="S28" s="3651"/>
      <c r="T28" s="3651"/>
      <c r="U28" s="3651"/>
      <c r="V28" s="3651"/>
      <c r="W28" s="3651"/>
      <c r="X28" s="3651"/>
      <c r="Y28" s="3651"/>
      <c r="Z28" s="3651"/>
      <c r="AA28" s="3651"/>
      <c r="AB28" s="3651"/>
      <c r="AC28" s="3651"/>
      <c r="AD28" s="3651"/>
      <c r="AE28" s="3651"/>
      <c r="AF28" s="3651"/>
      <c r="AG28" s="3651"/>
      <c r="AH28" s="3651"/>
      <c r="AI28" s="3651"/>
      <c r="AJ28" s="3651"/>
      <c r="AK28" s="3651"/>
      <c r="AL28" s="3651"/>
      <c r="AM28" s="3651"/>
      <c r="AN28" s="3651"/>
      <c r="AO28" s="3651"/>
      <c r="AP28" s="3651"/>
      <c r="AQ28" s="3651"/>
      <c r="AR28" s="3651"/>
      <c r="AS28" s="3768"/>
      <c r="AT28" s="3768"/>
      <c r="AU28" s="3768"/>
      <c r="AV28" s="3768"/>
      <c r="AW28" s="3768"/>
      <c r="AX28" s="3768"/>
      <c r="AY28" s="3768"/>
      <c r="AZ28" s="3768"/>
      <c r="BA28" s="3768"/>
      <c r="BB28" s="3768"/>
      <c r="BC28" s="3768"/>
      <c r="BD28" s="3768"/>
      <c r="BE28" s="3768"/>
      <c r="BF28" s="3768"/>
      <c r="BG28" s="3768"/>
      <c r="BH28" s="3768"/>
      <c r="BI28" s="3768"/>
      <c r="BJ28" s="3768"/>
      <c r="BK28" s="3768"/>
      <c r="BL28" s="3768"/>
      <c r="BM28" s="3768"/>
      <c r="BN28" s="3768"/>
      <c r="BO28" s="3768"/>
    </row>
    <row r="29" spans="1:67" s="3769" customFormat="1" ht="28.5" thickBot="1">
      <c r="A29" s="3773" t="s">
        <v>1222</v>
      </c>
      <c r="B29" s="3774"/>
      <c r="C29" s="3775" t="s">
        <v>2284</v>
      </c>
      <c r="D29" s="3320"/>
      <c r="E29" s="3320"/>
      <c r="F29" s="3320"/>
      <c r="G29" s="3657"/>
      <c r="H29" s="3657"/>
      <c r="I29" s="3657"/>
      <c r="J29" s="3657"/>
      <c r="K29" s="3751"/>
      <c r="L29" s="3751"/>
      <c r="M29" s="3651"/>
      <c r="N29" s="3651"/>
      <c r="O29" s="3651"/>
      <c r="P29" s="3651"/>
      <c r="Q29" s="3651"/>
      <c r="R29" s="3651"/>
      <c r="S29" s="3651"/>
      <c r="T29" s="3651"/>
      <c r="U29" s="3651"/>
      <c r="V29" s="3651"/>
      <c r="W29" s="3651"/>
      <c r="X29" s="3651"/>
      <c r="Y29" s="3651"/>
      <c r="Z29" s="3651"/>
      <c r="AA29" s="3651"/>
      <c r="AB29" s="3651"/>
      <c r="AC29" s="3651"/>
      <c r="AD29" s="3651"/>
      <c r="AE29" s="3651"/>
      <c r="AF29" s="3651"/>
      <c r="AG29" s="3651"/>
      <c r="AH29" s="3651"/>
      <c r="AI29" s="3651"/>
      <c r="AJ29" s="3651"/>
      <c r="AK29" s="3651"/>
      <c r="AL29" s="3651"/>
      <c r="AM29" s="3651"/>
      <c r="AN29" s="3651"/>
      <c r="AO29" s="3651"/>
      <c r="AP29" s="3651"/>
      <c r="AQ29" s="3651"/>
      <c r="AR29" s="3651"/>
      <c r="AS29" s="3768"/>
      <c r="AT29" s="3768"/>
      <c r="AU29" s="3768"/>
      <c r="AV29" s="3768"/>
      <c r="AW29" s="3768"/>
      <c r="AX29" s="3768"/>
      <c r="AY29" s="3768"/>
      <c r="AZ29" s="3768"/>
      <c r="BA29" s="3768"/>
      <c r="BB29" s="3768"/>
      <c r="BC29" s="3768"/>
      <c r="BD29" s="3768"/>
      <c r="BE29" s="3768"/>
      <c r="BF29" s="3768"/>
      <c r="BG29" s="3768"/>
      <c r="BH29" s="3768"/>
      <c r="BI29" s="3768"/>
      <c r="BJ29" s="3768"/>
      <c r="BK29" s="3768"/>
      <c r="BL29" s="3768"/>
      <c r="BM29" s="3768"/>
      <c r="BN29" s="3768"/>
      <c r="BO29" s="3768"/>
    </row>
    <row r="30" spans="1:67" s="3769" customFormat="1" ht="27">
      <c r="A30" s="3776" t="s">
        <v>1223</v>
      </c>
      <c r="B30" s="3777"/>
      <c r="C30" s="3772"/>
      <c r="D30" s="3320"/>
      <c r="E30" s="3320"/>
      <c r="F30" s="3320"/>
      <c r="G30" s="3657"/>
      <c r="H30" s="3657"/>
      <c r="I30" s="3657"/>
      <c r="J30" s="3657"/>
      <c r="K30" s="3751"/>
      <c r="L30" s="3751"/>
      <c r="M30" s="3651"/>
      <c r="N30" s="3651"/>
      <c r="O30" s="3651"/>
      <c r="P30" s="3651"/>
      <c r="Q30" s="3651"/>
      <c r="R30" s="3651"/>
      <c r="S30" s="3651"/>
      <c r="T30" s="3651"/>
      <c r="U30" s="3651"/>
      <c r="V30" s="3651"/>
      <c r="W30" s="3651"/>
      <c r="X30" s="3651"/>
      <c r="Y30" s="3651"/>
      <c r="Z30" s="3651"/>
      <c r="AA30" s="3651"/>
      <c r="AB30" s="3651"/>
      <c r="AC30" s="3651"/>
      <c r="AD30" s="3651"/>
      <c r="AE30" s="3651"/>
      <c r="AF30" s="3651"/>
      <c r="AG30" s="3651"/>
      <c r="AH30" s="3651"/>
      <c r="AI30" s="3651"/>
      <c r="AJ30" s="3651"/>
      <c r="AK30" s="3651"/>
      <c r="AL30" s="3651"/>
      <c r="AM30" s="3651"/>
      <c r="AN30" s="3651"/>
      <c r="AO30" s="3651"/>
      <c r="AP30" s="3651"/>
      <c r="AQ30" s="3651"/>
      <c r="AR30" s="3651"/>
      <c r="AS30" s="3768"/>
      <c r="AT30" s="3768"/>
      <c r="AU30" s="3768"/>
      <c r="AV30" s="3768"/>
      <c r="AW30" s="3768"/>
      <c r="AX30" s="3768"/>
      <c r="AY30" s="3768"/>
      <c r="AZ30" s="3768"/>
      <c r="BA30" s="3768"/>
      <c r="BB30" s="3768"/>
      <c r="BC30" s="3768"/>
      <c r="BD30" s="3768"/>
      <c r="BE30" s="3768"/>
      <c r="BF30" s="3768"/>
      <c r="BG30" s="3768"/>
      <c r="BH30" s="3768"/>
      <c r="BI30" s="3768"/>
      <c r="BJ30" s="3768"/>
      <c r="BK30" s="3768"/>
      <c r="BL30" s="3768"/>
      <c r="BM30" s="3768"/>
      <c r="BN30" s="3768"/>
      <c r="BO30" s="3768"/>
    </row>
    <row r="31" spans="1:67" s="3769" customFormat="1" ht="27">
      <c r="A31" s="3770" t="s">
        <v>1224</v>
      </c>
      <c r="B31" s="3760">
        <f>B30-B32</f>
        <v>0</v>
      </c>
      <c r="C31" s="3778"/>
      <c r="D31" s="3320"/>
      <c r="E31" s="3320"/>
      <c r="F31" s="3320"/>
      <c r="G31" s="3657"/>
      <c r="H31" s="3657"/>
      <c r="I31" s="3657"/>
      <c r="J31" s="3657"/>
      <c r="K31" s="3751"/>
      <c r="L31" s="3751"/>
      <c r="M31" s="3651"/>
      <c r="N31" s="3651"/>
      <c r="O31" s="3651"/>
      <c r="P31" s="3651"/>
      <c r="Q31" s="3651"/>
      <c r="R31" s="3651"/>
      <c r="S31" s="3651"/>
      <c r="T31" s="3651"/>
      <c r="U31" s="3651"/>
      <c r="V31" s="3651"/>
      <c r="W31" s="3651"/>
      <c r="X31" s="3651"/>
      <c r="Y31" s="3651"/>
      <c r="Z31" s="3651"/>
      <c r="AA31" s="3651"/>
      <c r="AB31" s="3651"/>
      <c r="AC31" s="3651"/>
      <c r="AD31" s="3651"/>
      <c r="AE31" s="3651"/>
      <c r="AF31" s="3651"/>
      <c r="AG31" s="3651"/>
      <c r="AH31" s="3651"/>
      <c r="AI31" s="3651"/>
      <c r="AJ31" s="3651"/>
      <c r="AK31" s="3651"/>
      <c r="AL31" s="3651"/>
      <c r="AM31" s="3651"/>
      <c r="AN31" s="3651"/>
      <c r="AO31" s="3651"/>
      <c r="AP31" s="3651"/>
      <c r="AQ31" s="3651"/>
      <c r="AR31" s="3651"/>
      <c r="AS31" s="3768"/>
      <c r="AT31" s="3768"/>
      <c r="AU31" s="3768"/>
      <c r="AV31" s="3768"/>
      <c r="AW31" s="3768"/>
      <c r="AX31" s="3768"/>
      <c r="AY31" s="3768"/>
      <c r="AZ31" s="3768"/>
      <c r="BA31" s="3768"/>
      <c r="BB31" s="3768"/>
      <c r="BC31" s="3768"/>
      <c r="BD31" s="3768"/>
      <c r="BE31" s="3768"/>
      <c r="BF31" s="3768"/>
      <c r="BG31" s="3768"/>
      <c r="BH31" s="3768"/>
      <c r="BI31" s="3768"/>
      <c r="BJ31" s="3768"/>
      <c r="BK31" s="3768"/>
      <c r="BL31" s="3768"/>
      <c r="BM31" s="3768"/>
      <c r="BN31" s="3768"/>
      <c r="BO31" s="3768"/>
    </row>
    <row r="32" spans="1:67" s="3769" customFormat="1" ht="27.75" thickBot="1">
      <c r="A32" s="3779" t="s">
        <v>1225</v>
      </c>
      <c r="B32" s="3780"/>
      <c r="C32" s="3772"/>
      <c r="D32" s="3657"/>
      <c r="E32" s="3657"/>
      <c r="F32" s="3657"/>
      <c r="G32" s="3657"/>
      <c r="H32" s="3657"/>
      <c r="I32" s="3657"/>
      <c r="J32" s="3657"/>
      <c r="K32" s="3751"/>
      <c r="L32" s="3751"/>
      <c r="M32" s="3651"/>
      <c r="N32" s="3651"/>
      <c r="O32" s="3651"/>
      <c r="P32" s="3651"/>
      <c r="Q32" s="3651"/>
      <c r="R32" s="3651"/>
      <c r="S32" s="3651"/>
      <c r="T32" s="3651"/>
      <c r="U32" s="3651"/>
      <c r="V32" s="3651"/>
      <c r="W32" s="3651"/>
      <c r="X32" s="3651"/>
      <c r="Y32" s="3651"/>
      <c r="Z32" s="3651"/>
      <c r="AA32" s="3651"/>
      <c r="AB32" s="3651"/>
      <c r="AC32" s="3651"/>
      <c r="AD32" s="3651"/>
      <c r="AE32" s="3651"/>
      <c r="AF32" s="3651"/>
      <c r="AG32" s="3651"/>
      <c r="AH32" s="3651"/>
      <c r="AI32" s="3651"/>
      <c r="AJ32" s="3651"/>
      <c r="AK32" s="3651"/>
      <c r="AL32" s="3651"/>
      <c r="AM32" s="3651"/>
      <c r="AN32" s="3651"/>
      <c r="AO32" s="3651"/>
      <c r="AP32" s="3651"/>
      <c r="AQ32" s="3651"/>
      <c r="AR32" s="3651"/>
      <c r="AS32" s="3768"/>
      <c r="AT32" s="3768"/>
      <c r="AU32" s="3768"/>
      <c r="AV32" s="3768"/>
      <c r="AW32" s="3768"/>
      <c r="AX32" s="3768"/>
      <c r="AY32" s="3768"/>
      <c r="AZ32" s="3768"/>
      <c r="BA32" s="3768"/>
      <c r="BB32" s="3768"/>
      <c r="BC32" s="3768"/>
      <c r="BD32" s="3768"/>
      <c r="BE32" s="3768"/>
      <c r="BF32" s="3768"/>
      <c r="BG32" s="3768"/>
      <c r="BH32" s="3768"/>
      <c r="BI32" s="3768"/>
      <c r="BJ32" s="3768"/>
      <c r="BK32" s="3768"/>
      <c r="BL32" s="3768"/>
      <c r="BM32" s="3768"/>
      <c r="BN32" s="3768"/>
      <c r="BO32" s="3768"/>
    </row>
    <row r="33" spans="1:67" s="3769" customFormat="1" ht="14.25">
      <c r="A33" s="3765" t="s">
        <v>1226</v>
      </c>
      <c r="B33" s="3781"/>
      <c r="C33" s="3782" t="s">
        <v>2285</v>
      </c>
      <c r="D33" s="3657"/>
      <c r="E33" s="3657"/>
      <c r="F33" s="3657"/>
      <c r="G33" s="3657"/>
      <c r="H33" s="3657"/>
      <c r="I33" s="3657"/>
      <c r="J33" s="3657"/>
      <c r="K33" s="3751"/>
      <c r="L33" s="3751"/>
      <c r="M33" s="3651"/>
      <c r="N33" s="3651"/>
      <c r="O33" s="3651"/>
      <c r="P33" s="3651"/>
      <c r="Q33" s="3651"/>
      <c r="R33" s="3651"/>
      <c r="S33" s="3651"/>
      <c r="T33" s="3651"/>
      <c r="U33" s="3651"/>
      <c r="V33" s="3651"/>
      <c r="W33" s="3651"/>
      <c r="X33" s="3651"/>
      <c r="Y33" s="3651"/>
      <c r="Z33" s="3651"/>
      <c r="AA33" s="3651"/>
      <c r="AB33" s="3651"/>
      <c r="AC33" s="3651"/>
      <c r="AD33" s="3651"/>
      <c r="AE33" s="3651"/>
      <c r="AF33" s="3651"/>
      <c r="AG33" s="3651"/>
      <c r="AH33" s="3651"/>
      <c r="AI33" s="3651"/>
      <c r="AJ33" s="3651"/>
      <c r="AK33" s="3651"/>
      <c r="AL33" s="3651"/>
      <c r="AM33" s="3651"/>
      <c r="AN33" s="3651"/>
      <c r="AO33" s="3651"/>
      <c r="AP33" s="3651"/>
      <c r="AQ33" s="3651"/>
      <c r="AR33" s="3651"/>
      <c r="AS33" s="3768"/>
      <c r="AT33" s="3768"/>
      <c r="AU33" s="3768"/>
      <c r="AV33" s="3768"/>
      <c r="AW33" s="3768"/>
      <c r="AX33" s="3768"/>
      <c r="AY33" s="3768"/>
      <c r="AZ33" s="3768"/>
      <c r="BA33" s="3768"/>
      <c r="BB33" s="3768"/>
      <c r="BC33" s="3768"/>
      <c r="BD33" s="3768"/>
      <c r="BE33" s="3768"/>
      <c r="BF33" s="3768"/>
      <c r="BG33" s="3768"/>
      <c r="BH33" s="3768"/>
      <c r="BI33" s="3768"/>
      <c r="BJ33" s="3768"/>
      <c r="BK33" s="3768"/>
      <c r="BL33" s="3768"/>
      <c r="BM33" s="3768"/>
      <c r="BN33" s="3768"/>
      <c r="BO33" s="3768"/>
    </row>
    <row r="34" spans="1:67" s="3769" customFormat="1" ht="14.25">
      <c r="A34" s="3770" t="s">
        <v>1227</v>
      </c>
      <c r="B34" s="3783"/>
      <c r="C34" s="3782" t="s">
        <v>2286</v>
      </c>
      <c r="D34" s="3784" t="s">
        <v>2294</v>
      </c>
      <c r="E34" s="3750"/>
      <c r="F34" s="3657"/>
      <c r="G34" s="3657"/>
      <c r="H34" s="3657"/>
      <c r="I34" s="3657"/>
      <c r="J34" s="3657"/>
      <c r="K34" s="3751"/>
      <c r="L34" s="3751"/>
      <c r="M34" s="3651"/>
      <c r="N34" s="3651"/>
      <c r="O34" s="3651"/>
      <c r="P34" s="3651"/>
      <c r="Q34" s="3651"/>
      <c r="R34" s="3651"/>
      <c r="S34" s="3651"/>
      <c r="T34" s="3651"/>
      <c r="U34" s="3651"/>
      <c r="V34" s="3651"/>
      <c r="W34" s="3651"/>
      <c r="X34" s="3651"/>
      <c r="Y34" s="3651"/>
      <c r="Z34" s="3651"/>
      <c r="AA34" s="3651"/>
      <c r="AB34" s="3651"/>
      <c r="AC34" s="3651"/>
      <c r="AD34" s="3651"/>
      <c r="AE34" s="3651"/>
      <c r="AF34" s="3651"/>
      <c r="AG34" s="3651"/>
      <c r="AH34" s="3651"/>
      <c r="AI34" s="3651"/>
      <c r="AJ34" s="3651"/>
      <c r="AK34" s="3651"/>
      <c r="AL34" s="3651"/>
      <c r="AM34" s="3651"/>
      <c r="AN34" s="3651"/>
      <c r="AO34" s="3651"/>
      <c r="AP34" s="3651"/>
      <c r="AQ34" s="3651"/>
      <c r="AR34" s="3651"/>
      <c r="AS34" s="3768"/>
      <c r="AT34" s="3768"/>
      <c r="AU34" s="3768"/>
      <c r="AV34" s="3768"/>
      <c r="AW34" s="3768"/>
      <c r="AX34" s="3768"/>
      <c r="AY34" s="3768"/>
      <c r="AZ34" s="3768"/>
      <c r="BA34" s="3768"/>
      <c r="BB34" s="3768"/>
      <c r="BC34" s="3768"/>
      <c r="BD34" s="3768"/>
      <c r="BE34" s="3768"/>
      <c r="BF34" s="3768"/>
      <c r="BG34" s="3768"/>
      <c r="BH34" s="3768"/>
      <c r="BI34" s="3768"/>
      <c r="BJ34" s="3768"/>
      <c r="BK34" s="3768"/>
      <c r="BL34" s="3768"/>
      <c r="BM34" s="3768"/>
      <c r="BN34" s="3768"/>
      <c r="BO34" s="3768"/>
    </row>
    <row r="35" spans="1:67" s="3769" customFormat="1" ht="14.25">
      <c r="A35" s="3770" t="s">
        <v>1228</v>
      </c>
      <c r="B35" s="3771"/>
      <c r="C35" s="3782" t="s">
        <v>2287</v>
      </c>
      <c r="D35" s="3320"/>
      <c r="E35" s="3320"/>
      <c r="F35" s="3320"/>
      <c r="G35" s="3657"/>
      <c r="H35" s="3657"/>
      <c r="I35" s="3657"/>
      <c r="J35" s="3657"/>
      <c r="K35" s="3751"/>
      <c r="L35" s="3751"/>
      <c r="M35" s="3651"/>
      <c r="N35" s="3651"/>
      <c r="O35" s="3651"/>
      <c r="P35" s="3651"/>
      <c r="Q35" s="3651"/>
      <c r="R35" s="3651"/>
      <c r="S35" s="3651"/>
      <c r="T35" s="3651"/>
      <c r="U35" s="3651"/>
      <c r="V35" s="3651"/>
      <c r="W35" s="3651"/>
      <c r="X35" s="3651"/>
      <c r="Y35" s="3651"/>
      <c r="Z35" s="3651"/>
      <c r="AA35" s="3651"/>
      <c r="AB35" s="3651"/>
      <c r="AC35" s="3651"/>
      <c r="AD35" s="3651"/>
      <c r="AE35" s="3651"/>
      <c r="AF35" s="3651"/>
      <c r="AG35" s="3651"/>
      <c r="AH35" s="3651"/>
      <c r="AI35" s="3651"/>
      <c r="AJ35" s="3651"/>
      <c r="AK35" s="3651"/>
      <c r="AL35" s="3651"/>
      <c r="AM35" s="3651"/>
      <c r="AN35" s="3651"/>
      <c r="AO35" s="3651"/>
      <c r="AP35" s="3651"/>
      <c r="AQ35" s="3651"/>
      <c r="AR35" s="3651"/>
      <c r="AS35" s="3768"/>
      <c r="AT35" s="3768"/>
      <c r="AU35" s="3768"/>
      <c r="AV35" s="3768"/>
      <c r="AW35" s="3768"/>
      <c r="AX35" s="3768"/>
      <c r="AY35" s="3768"/>
      <c r="AZ35" s="3768"/>
      <c r="BA35" s="3768"/>
      <c r="BB35" s="3768"/>
      <c r="BC35" s="3768"/>
      <c r="BD35" s="3768"/>
      <c r="BE35" s="3768"/>
      <c r="BF35" s="3768"/>
      <c r="BG35" s="3768"/>
      <c r="BH35" s="3768"/>
      <c r="BI35" s="3768"/>
      <c r="BJ35" s="3768"/>
      <c r="BK35" s="3768"/>
      <c r="BL35" s="3768"/>
      <c r="BM35" s="3768"/>
      <c r="BN35" s="3768"/>
      <c r="BO35" s="3768"/>
    </row>
    <row r="36" spans="1:67" ht="15" thickBot="1">
      <c r="A36" s="3773" t="s">
        <v>1229</v>
      </c>
      <c r="B36" s="3785"/>
      <c r="C36" s="3782" t="s">
        <v>2288</v>
      </c>
      <c r="D36" s="3657"/>
      <c r="E36" s="3657"/>
      <c r="F36" s="3657"/>
      <c r="G36" s="3657"/>
      <c r="H36" s="3657"/>
      <c r="I36" s="3657"/>
      <c r="J36" s="3657"/>
      <c r="K36" s="3751"/>
      <c r="L36" s="3751"/>
      <c r="M36" s="3651"/>
      <c r="N36" s="3651"/>
      <c r="O36" s="3651"/>
      <c r="P36" s="3651"/>
      <c r="Q36" s="3651"/>
      <c r="R36" s="3651"/>
      <c r="S36" s="3651"/>
      <c r="T36" s="3651"/>
      <c r="U36" s="3651"/>
      <c r="V36" s="3651"/>
      <c r="W36" s="3651"/>
      <c r="X36" s="3651"/>
      <c r="Y36" s="3651"/>
      <c r="Z36" s="3651"/>
      <c r="AA36" s="3651"/>
      <c r="AB36" s="3651"/>
      <c r="AC36" s="3651"/>
      <c r="AD36" s="3651"/>
      <c r="AE36" s="3651"/>
      <c r="AF36" s="3651"/>
      <c r="AG36" s="3651"/>
      <c r="AH36" s="3651"/>
      <c r="AI36" s="3651"/>
      <c r="AJ36" s="3651"/>
      <c r="AK36" s="3651"/>
      <c r="AL36" s="3651"/>
      <c r="AM36" s="3651"/>
      <c r="AN36" s="3651"/>
      <c r="AO36" s="3651"/>
      <c r="AP36" s="3651"/>
      <c r="AQ36" s="3651"/>
      <c r="AR36" s="3651"/>
    </row>
    <row r="37" spans="1:67" ht="14.25">
      <c r="A37" s="3776" t="s">
        <v>1230</v>
      </c>
      <c r="B37" s="3786"/>
      <c r="C37" s="3782" t="s">
        <v>2289</v>
      </c>
      <c r="D37" s="3657"/>
      <c r="E37" s="3657"/>
      <c r="F37" s="3657"/>
      <c r="G37" s="3657"/>
      <c r="H37" s="3657"/>
      <c r="I37" s="3657"/>
      <c r="J37" s="3657"/>
      <c r="K37" s="3751"/>
      <c r="L37" s="37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1"/>
      <c r="AH37" s="3651"/>
      <c r="AI37" s="3651"/>
      <c r="AJ37" s="3651"/>
      <c r="AK37" s="3651"/>
      <c r="AL37" s="3651"/>
      <c r="AM37" s="3651"/>
      <c r="AN37" s="3651"/>
      <c r="AO37" s="3651"/>
      <c r="AP37" s="3651"/>
      <c r="AQ37" s="3651"/>
      <c r="AR37" s="3651"/>
    </row>
    <row r="38" spans="1:67" ht="14.25">
      <c r="A38" s="3770" t="s">
        <v>1231</v>
      </c>
      <c r="B38" s="3783"/>
      <c r="C38" s="3782" t="s">
        <v>2289</v>
      </c>
      <c r="D38" s="3657"/>
      <c r="E38" s="3657"/>
      <c r="F38" s="3657"/>
      <c r="G38" s="3657"/>
      <c r="H38" s="3657"/>
      <c r="I38" s="3657"/>
      <c r="J38" s="3657"/>
      <c r="K38" s="3751"/>
      <c r="L38" s="3751"/>
      <c r="M38" s="3651"/>
      <c r="N38" s="3651"/>
      <c r="O38" s="3651"/>
      <c r="P38" s="3651"/>
      <c r="Q38" s="3651"/>
      <c r="R38" s="3651"/>
      <c r="S38" s="3651"/>
      <c r="T38" s="3651"/>
      <c r="U38" s="3651"/>
      <c r="V38" s="3651"/>
      <c r="W38" s="3651"/>
      <c r="X38" s="3651"/>
      <c r="Y38" s="3651"/>
      <c r="Z38" s="3651"/>
      <c r="AA38" s="3651"/>
      <c r="AB38" s="3651"/>
      <c r="AC38" s="3651"/>
      <c r="AD38" s="3651"/>
      <c r="AE38" s="3651"/>
      <c r="AF38" s="3651"/>
      <c r="AG38" s="3651"/>
      <c r="AH38" s="3651"/>
      <c r="AI38" s="3651"/>
      <c r="AJ38" s="3651"/>
      <c r="AK38" s="3651"/>
      <c r="AL38" s="3651"/>
      <c r="AM38" s="3651"/>
      <c r="AN38" s="3651"/>
      <c r="AO38" s="3651"/>
      <c r="AP38" s="3651"/>
      <c r="AQ38" s="3651"/>
      <c r="AR38" s="3651"/>
    </row>
    <row r="39" spans="1:67" ht="14.25">
      <c r="A39" s="3779" t="s">
        <v>1232</v>
      </c>
      <c r="B39" s="3787">
        <f ca="1">存贷款利率!I1</f>
        <v>1.4999999999999999E-2</v>
      </c>
      <c r="C39" s="3788"/>
      <c r="D39" s="3657"/>
      <c r="E39" s="3657"/>
      <c r="F39" s="3657"/>
      <c r="G39" s="3657"/>
      <c r="H39" s="3657"/>
      <c r="I39" s="3657"/>
      <c r="J39" s="3657"/>
      <c r="K39" s="3751"/>
      <c r="L39" s="3751"/>
      <c r="M39" s="3651"/>
      <c r="N39" s="3651"/>
      <c r="O39" s="3651"/>
      <c r="P39" s="3651"/>
      <c r="Q39" s="3651"/>
      <c r="R39" s="3651"/>
      <c r="S39" s="3651"/>
      <c r="T39" s="3651"/>
      <c r="U39" s="3651"/>
      <c r="V39" s="3651"/>
      <c r="W39" s="3651"/>
      <c r="X39" s="3651"/>
      <c r="Y39" s="3651"/>
      <c r="Z39" s="3651"/>
      <c r="AA39" s="3651"/>
      <c r="AB39" s="3651"/>
      <c r="AC39" s="3651"/>
      <c r="AD39" s="3651"/>
      <c r="AE39" s="3651"/>
      <c r="AF39" s="3651"/>
      <c r="AG39" s="3651"/>
      <c r="AH39" s="3651"/>
      <c r="AI39" s="3651"/>
      <c r="AJ39" s="3651"/>
      <c r="AK39" s="3651"/>
      <c r="AL39" s="3651"/>
      <c r="AM39" s="3651"/>
      <c r="AN39" s="3651"/>
      <c r="AO39" s="3651"/>
      <c r="AP39" s="3651"/>
      <c r="AQ39" s="3651"/>
      <c r="AR39" s="3651"/>
    </row>
    <row r="40" spans="1:67" ht="29.25" thickBot="1">
      <c r="A40" s="3789" t="s">
        <v>3673</v>
      </c>
      <c r="B40" s="3787">
        <f ca="1">IF(A40="利息：取LPR",存贷款利率!G1,存贷款利率!G1+C40)</f>
        <v>4.7500000000000001E-2</v>
      </c>
      <c r="C40" s="3845">
        <v>1.0999999999999999E-2</v>
      </c>
      <c r="D40" s="3651"/>
      <c r="E40" s="3657"/>
      <c r="F40" s="3657"/>
      <c r="G40" s="3657"/>
      <c r="H40" s="3657"/>
      <c r="I40" s="3657"/>
      <c r="J40" s="3657"/>
      <c r="K40" s="3751"/>
      <c r="L40" s="3751"/>
      <c r="M40" s="3651"/>
      <c r="N40" s="3651"/>
      <c r="O40" s="3651"/>
      <c r="P40" s="3651"/>
      <c r="Q40" s="3651"/>
      <c r="R40" s="3651"/>
      <c r="S40" s="3651"/>
      <c r="T40" s="3651"/>
      <c r="U40" s="3651"/>
      <c r="V40" s="3651"/>
      <c r="W40" s="3651"/>
      <c r="X40" s="3651"/>
      <c r="Y40" s="3651"/>
      <c r="Z40" s="3651"/>
      <c r="AA40" s="3651"/>
      <c r="AB40" s="3651"/>
      <c r="AC40" s="3651"/>
      <c r="AD40" s="3651"/>
      <c r="AE40" s="3651"/>
      <c r="AF40" s="3651"/>
      <c r="AG40" s="3651"/>
      <c r="AH40" s="3651"/>
      <c r="AI40" s="3651"/>
      <c r="AJ40" s="3651"/>
      <c r="AK40" s="3651"/>
      <c r="AL40" s="3651"/>
      <c r="AM40" s="3651"/>
      <c r="AN40" s="3651"/>
      <c r="AO40" s="3651"/>
      <c r="AP40" s="3651"/>
      <c r="AQ40" s="3651"/>
      <c r="AR40" s="3651"/>
    </row>
    <row r="41" spans="1:67" ht="14.25">
      <c r="A41" s="3765" t="s">
        <v>1233</v>
      </c>
      <c r="B41" s="3790">
        <f>B42+B43</f>
        <v>0</v>
      </c>
      <c r="C41" s="3778"/>
      <c r="D41" s="3651"/>
      <c r="E41" s="3657"/>
      <c r="F41" s="3657"/>
      <c r="G41" s="3657"/>
      <c r="H41" s="3657"/>
      <c r="I41" s="3657"/>
      <c r="J41" s="3657"/>
      <c r="K41" s="3751"/>
      <c r="L41" s="3751"/>
      <c r="M41" s="3651"/>
      <c r="N41" s="3651"/>
      <c r="O41" s="3651"/>
      <c r="P41" s="3651"/>
      <c r="Q41" s="3651"/>
      <c r="R41" s="3651"/>
      <c r="S41" s="3651"/>
      <c r="T41" s="3651"/>
      <c r="U41" s="3651"/>
      <c r="V41" s="3651"/>
      <c r="W41" s="3651"/>
      <c r="X41" s="3651"/>
      <c r="Y41" s="3651"/>
      <c r="Z41" s="3651"/>
      <c r="AA41" s="3651"/>
      <c r="AB41" s="3651"/>
      <c r="AC41" s="3651"/>
      <c r="AD41" s="3651"/>
      <c r="AE41" s="3651"/>
      <c r="AF41" s="3651"/>
      <c r="AG41" s="3651"/>
      <c r="AH41" s="3651"/>
      <c r="AI41" s="3651"/>
      <c r="AJ41" s="3651"/>
      <c r="AK41" s="3651"/>
      <c r="AL41" s="3651"/>
      <c r="AM41" s="3651"/>
      <c r="AN41" s="3651"/>
      <c r="AO41" s="3651"/>
      <c r="AP41" s="3651"/>
      <c r="AQ41" s="3651"/>
      <c r="AR41" s="3651"/>
    </row>
    <row r="42" spans="1:67" ht="14.25">
      <c r="A42" s="3791" t="s">
        <v>1234</v>
      </c>
      <c r="B42" s="3792"/>
      <c r="C42" s="3793">
        <f>IF(B2&lt;DATE(2016,5,1),0,B42)</f>
        <v>0</v>
      </c>
      <c r="D42" s="3657"/>
      <c r="E42" s="3657"/>
      <c r="F42" s="3657"/>
      <c r="G42" s="3657"/>
      <c r="H42" s="3657"/>
      <c r="I42" s="3657"/>
      <c r="J42" s="3657"/>
      <c r="K42" s="3751"/>
      <c r="L42" s="3751"/>
      <c r="M42" s="3651"/>
      <c r="N42" s="3651"/>
      <c r="O42" s="3651"/>
      <c r="P42" s="3651"/>
      <c r="Q42" s="3651"/>
      <c r="R42" s="3651"/>
      <c r="S42" s="3651"/>
      <c r="T42" s="3651"/>
      <c r="U42" s="3651"/>
      <c r="V42" s="3651"/>
      <c r="W42" s="3651"/>
      <c r="X42" s="3651"/>
      <c r="Y42" s="3651"/>
      <c r="Z42" s="3651"/>
      <c r="AA42" s="3651"/>
      <c r="AB42" s="3651"/>
      <c r="AC42" s="3651"/>
      <c r="AD42" s="3651"/>
      <c r="AE42" s="3651"/>
      <c r="AF42" s="3651"/>
      <c r="AG42" s="3651"/>
      <c r="AH42" s="3651"/>
      <c r="AI42" s="3651"/>
      <c r="AJ42" s="3651"/>
      <c r="AK42" s="3651"/>
      <c r="AL42" s="3651"/>
      <c r="AM42" s="3651"/>
      <c r="AN42" s="3651"/>
      <c r="AO42" s="3651"/>
      <c r="AP42" s="3651"/>
      <c r="AQ42" s="3651"/>
      <c r="AR42" s="3651"/>
    </row>
    <row r="43" spans="1:67" ht="14.25">
      <c r="A43" s="3791" t="s">
        <v>1235</v>
      </c>
      <c r="B43" s="3794">
        <f>B42*(B44+B45+B46)+B47</f>
        <v>0</v>
      </c>
      <c r="C43" s="3778"/>
      <c r="D43" s="3657"/>
      <c r="E43" s="3657"/>
      <c r="F43" s="3657"/>
      <c r="G43" s="3657"/>
      <c r="H43" s="3657"/>
      <c r="I43" s="3657"/>
      <c r="J43" s="3657"/>
      <c r="K43" s="3751"/>
      <c r="L43" s="3751"/>
      <c r="M43" s="3651"/>
      <c r="N43" s="3651"/>
      <c r="O43" s="3651"/>
      <c r="P43" s="3651"/>
      <c r="Q43" s="3651"/>
      <c r="R43" s="3651"/>
      <c r="S43" s="3651"/>
      <c r="T43" s="3651"/>
      <c r="U43" s="3651"/>
      <c r="V43" s="3651"/>
      <c r="W43" s="3651"/>
      <c r="X43" s="3651"/>
      <c r="Y43" s="3651"/>
      <c r="Z43" s="3651"/>
      <c r="AA43" s="3651"/>
      <c r="AB43" s="3651"/>
      <c r="AC43" s="3651"/>
      <c r="AD43" s="3651"/>
      <c r="AE43" s="3651"/>
      <c r="AF43" s="3651"/>
      <c r="AG43" s="3651"/>
      <c r="AH43" s="3651"/>
      <c r="AI43" s="3651"/>
      <c r="AJ43" s="3651"/>
      <c r="AK43" s="3651"/>
      <c r="AL43" s="3651"/>
      <c r="AM43" s="3651"/>
      <c r="AN43" s="3651"/>
      <c r="AO43" s="3651"/>
      <c r="AP43" s="3651"/>
      <c r="AQ43" s="3651"/>
      <c r="AR43" s="3651"/>
    </row>
    <row r="44" spans="1:67" ht="14.25">
      <c r="A44" s="3795" t="s">
        <v>1236</v>
      </c>
      <c r="B44" s="3796"/>
      <c r="C44" s="3782" t="s">
        <v>2298</v>
      </c>
      <c r="D44" s="3657"/>
      <c r="E44" s="3657"/>
      <c r="F44" s="3657"/>
      <c r="G44" s="3657"/>
      <c r="H44" s="3657"/>
      <c r="I44" s="3657"/>
      <c r="J44" s="3657"/>
      <c r="K44" s="3751"/>
      <c r="L44" s="3751"/>
      <c r="M44" s="3651"/>
      <c r="N44" s="3651"/>
      <c r="O44" s="3651"/>
      <c r="P44" s="3651"/>
      <c r="Q44" s="3651"/>
      <c r="R44" s="3651"/>
      <c r="S44" s="3651"/>
      <c r="T44" s="3651"/>
      <c r="U44" s="3651"/>
      <c r="V44" s="3651"/>
      <c r="W44" s="3651"/>
      <c r="X44" s="3651"/>
      <c r="Y44" s="3651"/>
      <c r="Z44" s="3651"/>
      <c r="AA44" s="3651"/>
      <c r="AB44" s="3651"/>
      <c r="AC44" s="3651"/>
      <c r="AD44" s="3651"/>
      <c r="AE44" s="3651"/>
      <c r="AF44" s="3651"/>
      <c r="AG44" s="3651"/>
      <c r="AH44" s="3651"/>
      <c r="AI44" s="3651"/>
      <c r="AJ44" s="3651"/>
      <c r="AK44" s="3651"/>
      <c r="AL44" s="3651"/>
      <c r="AM44" s="3651"/>
      <c r="AN44" s="3651"/>
      <c r="AO44" s="3651"/>
      <c r="AP44" s="3651"/>
      <c r="AQ44" s="3651"/>
      <c r="AR44" s="3651"/>
    </row>
    <row r="45" spans="1:67" ht="14.25">
      <c r="A45" s="3795" t="s">
        <v>1237</v>
      </c>
      <c r="B45" s="3792"/>
      <c r="C45" s="3775" t="s">
        <v>2290</v>
      </c>
      <c r="D45" s="3657"/>
      <c r="E45" s="3657"/>
      <c r="F45" s="3657"/>
      <c r="G45" s="3657"/>
      <c r="H45" s="3657"/>
      <c r="I45" s="3657"/>
      <c r="J45" s="3657"/>
      <c r="K45" s="3751"/>
      <c r="L45" s="3751"/>
      <c r="M45" s="3651"/>
      <c r="N45" s="3651"/>
      <c r="O45" s="3651"/>
      <c r="P45" s="3651"/>
      <c r="Q45" s="3651"/>
      <c r="R45" s="3651"/>
      <c r="S45" s="3651"/>
      <c r="T45" s="3651"/>
      <c r="U45" s="3651"/>
      <c r="V45" s="3651"/>
      <c r="W45" s="3651"/>
      <c r="X45" s="3651"/>
      <c r="Y45" s="3651"/>
      <c r="Z45" s="3651"/>
      <c r="AA45" s="3651"/>
      <c r="AB45" s="3651"/>
      <c r="AC45" s="3651"/>
      <c r="AD45" s="3651"/>
      <c r="AE45" s="3651"/>
      <c r="AF45" s="3651"/>
      <c r="AG45" s="3651"/>
      <c r="AH45" s="3651"/>
      <c r="AI45" s="3651"/>
      <c r="AJ45" s="3651"/>
      <c r="AK45" s="3651"/>
      <c r="AL45" s="3651"/>
      <c r="AM45" s="3651"/>
      <c r="AN45" s="3651"/>
      <c r="AO45" s="3651"/>
      <c r="AP45" s="3651"/>
      <c r="AQ45" s="3651"/>
      <c r="AR45" s="3651"/>
    </row>
    <row r="46" spans="1:67" ht="14.25">
      <c r="A46" s="3795" t="s">
        <v>1238</v>
      </c>
      <c r="B46" s="3792"/>
      <c r="C46" s="3775" t="s">
        <v>2291</v>
      </c>
      <c r="D46" s="3657"/>
      <c r="E46" s="3657"/>
      <c r="F46" s="3657"/>
      <c r="G46" s="3657"/>
      <c r="H46" s="3657"/>
      <c r="I46" s="3657"/>
      <c r="J46" s="3657"/>
      <c r="K46" s="3751"/>
      <c r="L46" s="3751"/>
      <c r="M46" s="3651"/>
      <c r="N46" s="3651"/>
      <c r="O46" s="3651"/>
      <c r="P46" s="3651"/>
      <c r="Q46" s="3651"/>
      <c r="R46" s="3651"/>
      <c r="S46" s="3651"/>
      <c r="T46" s="3651"/>
      <c r="U46" s="3651"/>
      <c r="V46" s="3651"/>
      <c r="W46" s="3651"/>
      <c r="X46" s="3651"/>
      <c r="Y46" s="3651"/>
      <c r="Z46" s="3651"/>
      <c r="AA46" s="3651"/>
      <c r="AB46" s="3651"/>
      <c r="AC46" s="3651"/>
      <c r="AD46" s="3651"/>
      <c r="AE46" s="3651"/>
      <c r="AF46" s="3651"/>
      <c r="AG46" s="3651"/>
      <c r="AH46" s="3651"/>
      <c r="AI46" s="3651"/>
      <c r="AJ46" s="3651"/>
      <c r="AK46" s="3651"/>
      <c r="AL46" s="3651"/>
      <c r="AM46" s="3651"/>
      <c r="AN46" s="3651"/>
      <c r="AO46" s="3651"/>
      <c r="AP46" s="3651"/>
      <c r="AQ46" s="3651"/>
      <c r="AR46" s="3651"/>
    </row>
    <row r="47" spans="1:67" ht="15" thickBot="1">
      <c r="A47" s="3797" t="s">
        <v>1239</v>
      </c>
      <c r="B47" s="3798"/>
      <c r="C47" s="3799" t="s">
        <v>2299</v>
      </c>
      <c r="D47" s="3657"/>
      <c r="E47" s="3657"/>
      <c r="F47" s="3657"/>
      <c r="G47" s="3657"/>
      <c r="H47" s="3657"/>
      <c r="I47" s="3657"/>
      <c r="J47" s="3657"/>
      <c r="K47" s="3751"/>
      <c r="L47" s="3751"/>
      <c r="M47" s="3651"/>
      <c r="N47" s="3651"/>
      <c r="O47" s="3651"/>
      <c r="P47" s="3651"/>
      <c r="Q47" s="3651"/>
      <c r="R47" s="3651"/>
      <c r="S47" s="3651"/>
      <c r="T47" s="3651"/>
      <c r="U47" s="3651"/>
      <c r="V47" s="3651"/>
      <c r="W47" s="3651"/>
      <c r="X47" s="3651"/>
      <c r="Y47" s="3651"/>
      <c r="Z47" s="3651"/>
      <c r="AA47" s="3651"/>
      <c r="AB47" s="3651"/>
      <c r="AC47" s="3651"/>
      <c r="AD47" s="3651"/>
      <c r="AE47" s="3651"/>
      <c r="AF47" s="3651"/>
      <c r="AG47" s="3651"/>
      <c r="AH47" s="3651"/>
      <c r="AI47" s="3651"/>
      <c r="AJ47" s="3651"/>
      <c r="AK47" s="3651"/>
      <c r="AL47" s="3651"/>
      <c r="AM47" s="3651"/>
      <c r="AN47" s="3651"/>
      <c r="AO47" s="3651"/>
      <c r="AP47" s="3651"/>
      <c r="AQ47" s="3651"/>
      <c r="AR47" s="3651"/>
    </row>
    <row r="48" spans="1:67" ht="14.25">
      <c r="A48" s="3800" t="s">
        <v>1240</v>
      </c>
      <c r="B48" s="3801"/>
      <c r="C48" s="3775" t="s">
        <v>2290</v>
      </c>
      <c r="D48" s="3657"/>
      <c r="E48" s="3657"/>
      <c r="F48" s="3657"/>
      <c r="G48" s="3657"/>
      <c r="H48" s="3657"/>
      <c r="I48" s="3657"/>
      <c r="J48" s="3657"/>
      <c r="K48" s="3751"/>
      <c r="L48" s="3751"/>
      <c r="M48" s="3651"/>
      <c r="N48" s="3651"/>
      <c r="O48" s="3651"/>
      <c r="P48" s="3651"/>
      <c r="Q48" s="3651"/>
      <c r="R48" s="3651"/>
      <c r="S48" s="3651"/>
      <c r="T48" s="3651"/>
      <c r="U48" s="3651"/>
      <c r="V48" s="3651"/>
      <c r="W48" s="3651"/>
      <c r="X48" s="3651"/>
      <c r="Y48" s="3651"/>
      <c r="Z48" s="3651"/>
      <c r="AA48" s="3651"/>
      <c r="AB48" s="3651"/>
      <c r="AC48" s="3651"/>
      <c r="AD48" s="3651"/>
      <c r="AE48" s="3651"/>
      <c r="AF48" s="3651"/>
      <c r="AG48" s="3651"/>
      <c r="AH48" s="3651"/>
      <c r="AI48" s="3651"/>
      <c r="AJ48" s="3651"/>
      <c r="AK48" s="3651"/>
      <c r="AL48" s="3651"/>
      <c r="AM48" s="3651"/>
      <c r="AN48" s="3651"/>
      <c r="AO48" s="3651"/>
      <c r="AP48" s="3651"/>
      <c r="AQ48" s="3651"/>
      <c r="AR48" s="3651"/>
    </row>
    <row r="49" spans="1:44" ht="15" thickBot="1">
      <c r="A49" s="3779" t="s">
        <v>1241</v>
      </c>
      <c r="B49" s="3792"/>
      <c r="C49" s="3775" t="s">
        <v>2292</v>
      </c>
      <c r="D49" s="3657"/>
      <c r="E49" s="3657"/>
      <c r="F49" s="3657"/>
      <c r="G49" s="3657"/>
      <c r="H49" s="3657"/>
      <c r="I49" s="3657"/>
      <c r="J49" s="3657"/>
      <c r="K49" s="3751"/>
      <c r="L49" s="37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651"/>
      <c r="AP49" s="3651"/>
      <c r="AQ49" s="3651"/>
      <c r="AR49" s="3651"/>
    </row>
    <row r="50" spans="1:44" ht="14.25">
      <c r="A50" s="3802" t="s">
        <v>1242</v>
      </c>
      <c r="B50" s="3803">
        <v>1.2E-2</v>
      </c>
      <c r="C50" s="3320"/>
      <c r="D50" s="3657"/>
      <c r="E50" s="3657"/>
      <c r="F50" s="3657"/>
      <c r="G50" s="3657"/>
      <c r="H50" s="3657"/>
      <c r="I50" s="3657"/>
      <c r="J50" s="3657"/>
      <c r="K50" s="3751"/>
      <c r="L50" s="37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c r="AO50" s="3651"/>
      <c r="AP50" s="3651"/>
      <c r="AQ50" s="3651"/>
      <c r="AR50" s="3651"/>
    </row>
    <row r="51" spans="1:44" ht="15" thickBot="1">
      <c r="A51" s="3773" t="s">
        <v>1243</v>
      </c>
      <c r="B51" s="3804">
        <v>0.12</v>
      </c>
      <c r="C51" s="3320"/>
      <c r="D51" s="3657"/>
      <c r="E51" s="3657"/>
      <c r="F51" s="3657"/>
      <c r="G51" s="3657"/>
      <c r="H51" s="3657"/>
      <c r="I51" s="3657"/>
      <c r="J51" s="3657"/>
      <c r="K51" s="3751"/>
      <c r="L51" s="37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c r="AO51" s="3651"/>
      <c r="AP51" s="3651"/>
      <c r="AQ51" s="3651"/>
      <c r="AR51" s="3651"/>
    </row>
    <row r="52" spans="1:44" ht="14.25">
      <c r="A52" s="3802" t="s">
        <v>1244</v>
      </c>
      <c r="B52" s="3803">
        <f>SUMIF(A54:A63,B53,B54:B63)</f>
        <v>0</v>
      </c>
      <c r="C52" s="3320"/>
      <c r="D52" s="3657"/>
      <c r="E52" s="3657"/>
      <c r="F52" s="3657"/>
      <c r="G52" s="3657"/>
      <c r="H52" s="3657"/>
      <c r="I52" s="3657"/>
      <c r="J52" s="3657"/>
      <c r="K52" s="3751"/>
      <c r="L52" s="3751"/>
      <c r="M52" s="3651"/>
      <c r="N52" s="3651"/>
      <c r="O52" s="3651"/>
      <c r="P52" s="3651"/>
      <c r="Q52" s="3651"/>
      <c r="R52" s="3651"/>
      <c r="S52" s="3651"/>
      <c r="T52" s="3651"/>
      <c r="U52" s="3651"/>
      <c r="V52" s="3651"/>
      <c r="W52" s="3651"/>
      <c r="X52" s="3651"/>
      <c r="Y52" s="3651"/>
      <c r="Z52" s="3651"/>
      <c r="AA52" s="3651"/>
      <c r="AB52" s="3651"/>
      <c r="AC52" s="3651"/>
      <c r="AD52" s="3651"/>
      <c r="AE52" s="3651"/>
      <c r="AF52" s="3651"/>
      <c r="AG52" s="3651"/>
      <c r="AH52" s="3651"/>
      <c r="AI52" s="3651"/>
      <c r="AJ52" s="3651"/>
      <c r="AK52" s="3651"/>
      <c r="AL52" s="3651"/>
      <c r="AM52" s="3651"/>
      <c r="AN52" s="3651"/>
      <c r="AO52" s="3651"/>
      <c r="AP52" s="3651"/>
      <c r="AQ52" s="3651"/>
      <c r="AR52" s="3651"/>
    </row>
    <row r="53" spans="1:44" ht="27">
      <c r="A53" s="3770" t="s">
        <v>1245</v>
      </c>
      <c r="B53" s="3805"/>
      <c r="C53" s="3320" t="s">
        <v>1246</v>
      </c>
      <c r="D53" s="3806" t="s">
        <v>2296</v>
      </c>
      <c r="E53" s="3657"/>
      <c r="F53" s="3657"/>
      <c r="G53" s="3657"/>
      <c r="H53" s="3657"/>
      <c r="I53" s="3657"/>
      <c r="J53" s="3657"/>
      <c r="K53" s="3751"/>
      <c r="L53" s="37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651"/>
      <c r="AP53" s="3651"/>
      <c r="AQ53" s="3651"/>
      <c r="AR53" s="3651"/>
    </row>
    <row r="54" spans="1:44" ht="14.25">
      <c r="A54" s="3807" t="s">
        <v>1247</v>
      </c>
      <c r="B54" s="3712"/>
      <c r="C54" s="3320">
        <v>30</v>
      </c>
      <c r="D54" s="3657"/>
      <c r="E54" s="3657"/>
      <c r="F54" s="3657"/>
      <c r="G54" s="3657"/>
      <c r="H54" s="3657"/>
      <c r="I54" s="3657"/>
      <c r="J54" s="3657"/>
      <c r="K54" s="3751"/>
      <c r="L54" s="37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row>
    <row r="55" spans="1:44" ht="14.25">
      <c r="A55" s="3807" t="s">
        <v>1248</v>
      </c>
      <c r="B55" s="3712"/>
      <c r="C55" s="3320">
        <v>24</v>
      </c>
      <c r="D55" s="3657"/>
      <c r="E55" s="3657"/>
      <c r="F55" s="3657"/>
      <c r="G55" s="3657"/>
      <c r="H55" s="3657"/>
      <c r="I55" s="3808"/>
      <c r="J55" s="3657"/>
      <c r="K55" s="3751"/>
      <c r="L55" s="37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c r="AO55" s="3651"/>
      <c r="AP55" s="3651"/>
      <c r="AQ55" s="3651"/>
      <c r="AR55" s="3651"/>
    </row>
    <row r="56" spans="1:44" ht="14.25">
      <c r="A56" s="3807" t="s">
        <v>1249</v>
      </c>
      <c r="B56" s="3712"/>
      <c r="C56" s="3320">
        <v>18</v>
      </c>
      <c r="D56" s="3657"/>
      <c r="E56" s="3657"/>
      <c r="F56" s="3657"/>
      <c r="G56" s="3657"/>
      <c r="H56" s="3657"/>
      <c r="I56" s="3657"/>
      <c r="J56" s="3657"/>
      <c r="K56" s="3751"/>
      <c r="L56" s="3751"/>
      <c r="M56" s="3651"/>
      <c r="N56" s="3651"/>
      <c r="O56" s="3651"/>
      <c r="P56" s="3651"/>
      <c r="Q56" s="3651"/>
      <c r="R56" s="3651"/>
      <c r="S56" s="3651"/>
      <c r="T56" s="3651"/>
      <c r="U56" s="3651"/>
      <c r="V56" s="3651"/>
      <c r="W56" s="3651"/>
      <c r="X56" s="3651"/>
      <c r="Y56" s="3651"/>
      <c r="Z56" s="3651"/>
      <c r="AA56" s="3651"/>
      <c r="AB56" s="3651"/>
      <c r="AC56" s="3651"/>
      <c r="AD56" s="3651"/>
      <c r="AE56" s="3651"/>
      <c r="AF56" s="3651"/>
      <c r="AG56" s="3651"/>
      <c r="AH56" s="3651"/>
      <c r="AI56" s="3651"/>
      <c r="AJ56" s="3651"/>
      <c r="AK56" s="3651"/>
      <c r="AL56" s="3651"/>
      <c r="AM56" s="3651"/>
      <c r="AN56" s="3651"/>
      <c r="AO56" s="3651"/>
      <c r="AP56" s="3651"/>
      <c r="AQ56" s="3651"/>
      <c r="AR56" s="3651"/>
    </row>
    <row r="57" spans="1:44" ht="14.25">
      <c r="A57" s="3807" t="s">
        <v>1250</v>
      </c>
      <c r="B57" s="3712"/>
      <c r="C57" s="3320">
        <v>12</v>
      </c>
      <c r="D57" s="3657"/>
      <c r="E57" s="3657"/>
      <c r="F57" s="3657"/>
      <c r="G57" s="3657"/>
      <c r="H57" s="3657"/>
      <c r="I57" s="3657"/>
      <c r="J57" s="3657"/>
      <c r="K57" s="3751"/>
      <c r="L57" s="3751"/>
      <c r="M57" s="3651"/>
      <c r="N57" s="3651"/>
      <c r="O57" s="3651"/>
      <c r="P57" s="3651"/>
      <c r="Q57" s="3651"/>
      <c r="R57" s="3651"/>
      <c r="S57" s="3651"/>
      <c r="T57" s="3651"/>
      <c r="U57" s="3651"/>
      <c r="V57" s="3651"/>
      <c r="W57" s="3651"/>
      <c r="X57" s="3651"/>
      <c r="Y57" s="3651"/>
      <c r="Z57" s="3651"/>
      <c r="AA57" s="3651"/>
      <c r="AB57" s="3651"/>
      <c r="AC57" s="3651"/>
      <c r="AD57" s="3651"/>
      <c r="AE57" s="3651"/>
      <c r="AF57" s="3651"/>
      <c r="AG57" s="3651"/>
      <c r="AH57" s="3651"/>
      <c r="AI57" s="3651"/>
      <c r="AJ57" s="3651"/>
      <c r="AK57" s="3651"/>
      <c r="AL57" s="3651"/>
      <c r="AM57" s="3651"/>
      <c r="AN57" s="3651"/>
      <c r="AO57" s="3651"/>
      <c r="AP57" s="3651"/>
      <c r="AQ57" s="3651"/>
      <c r="AR57" s="3651"/>
    </row>
    <row r="58" spans="1:44" ht="14.25">
      <c r="A58" s="3807" t="s">
        <v>1251</v>
      </c>
      <c r="B58" s="3712"/>
      <c r="C58" s="3320">
        <v>3</v>
      </c>
      <c r="D58" s="3657"/>
      <c r="E58" s="3657"/>
      <c r="F58" s="3657"/>
      <c r="G58" s="3657"/>
      <c r="H58" s="3657"/>
      <c r="I58" s="3657"/>
      <c r="J58" s="3657"/>
      <c r="K58" s="3751"/>
      <c r="L58" s="3751"/>
      <c r="M58" s="3651"/>
      <c r="N58" s="3651"/>
      <c r="O58" s="3651"/>
      <c r="P58" s="3651"/>
      <c r="Q58" s="3651"/>
      <c r="R58" s="3651"/>
      <c r="S58" s="3651"/>
      <c r="T58" s="3651"/>
      <c r="U58" s="3651"/>
      <c r="V58" s="3651"/>
      <c r="W58" s="3651"/>
      <c r="X58" s="3651"/>
      <c r="Y58" s="3651"/>
      <c r="Z58" s="3651"/>
      <c r="AA58" s="3651"/>
      <c r="AB58" s="3651"/>
      <c r="AC58" s="3651"/>
      <c r="AD58" s="3651"/>
      <c r="AE58" s="3651"/>
      <c r="AF58" s="3651"/>
      <c r="AG58" s="3651"/>
      <c r="AH58" s="3651"/>
      <c r="AI58" s="3651"/>
      <c r="AJ58" s="3651"/>
      <c r="AK58" s="3651"/>
      <c r="AL58" s="3651"/>
      <c r="AM58" s="3651"/>
      <c r="AN58" s="3651"/>
      <c r="AO58" s="3651"/>
      <c r="AP58" s="3651"/>
      <c r="AQ58" s="3651"/>
      <c r="AR58" s="3651"/>
    </row>
    <row r="59" spans="1:44" ht="14.25">
      <c r="A59" s="3807" t="s">
        <v>1252</v>
      </c>
      <c r="B59" s="3712"/>
      <c r="C59" s="3320">
        <v>1.5</v>
      </c>
      <c r="D59" s="3657"/>
      <c r="E59" s="3657"/>
      <c r="F59" s="3657"/>
      <c r="G59" s="3657"/>
      <c r="H59" s="3657"/>
      <c r="I59" s="3657"/>
      <c r="J59" s="3657"/>
      <c r="K59" s="3751"/>
      <c r="L59" s="3751"/>
      <c r="M59" s="3651"/>
      <c r="N59" s="3651"/>
      <c r="O59" s="3651"/>
      <c r="P59" s="3651"/>
      <c r="Q59" s="3651"/>
      <c r="R59" s="3651"/>
      <c r="S59" s="3651"/>
      <c r="T59" s="3651"/>
      <c r="U59" s="3651"/>
      <c r="V59" s="3651"/>
      <c r="W59" s="3651"/>
      <c r="X59" s="3651"/>
      <c r="Y59" s="3651"/>
      <c r="Z59" s="3651"/>
      <c r="AA59" s="3651"/>
      <c r="AB59" s="3651"/>
      <c r="AC59" s="3651"/>
      <c r="AD59" s="3651"/>
      <c r="AE59" s="3651"/>
      <c r="AF59" s="3651"/>
      <c r="AG59" s="3651"/>
      <c r="AH59" s="3651"/>
      <c r="AI59" s="3651"/>
      <c r="AJ59" s="3651"/>
      <c r="AK59" s="3651"/>
      <c r="AL59" s="3651"/>
      <c r="AM59" s="3651"/>
      <c r="AN59" s="3651"/>
      <c r="AO59" s="3651"/>
      <c r="AP59" s="3651"/>
      <c r="AQ59" s="3651"/>
      <c r="AR59" s="3651"/>
    </row>
    <row r="60" spans="1:44" ht="14.25">
      <c r="A60" s="3807" t="s">
        <v>1253</v>
      </c>
      <c r="B60" s="3712"/>
      <c r="C60" s="3657"/>
      <c r="D60" s="3657"/>
      <c r="E60" s="3657"/>
      <c r="F60" s="3657"/>
      <c r="G60" s="3657"/>
      <c r="H60" s="3657"/>
      <c r="I60" s="3657"/>
      <c r="J60" s="3657"/>
      <c r="K60" s="3751"/>
      <c r="L60" s="3751"/>
      <c r="M60" s="3651"/>
      <c r="N60" s="3651"/>
      <c r="O60" s="3651"/>
      <c r="P60" s="3651"/>
      <c r="Q60" s="3651"/>
      <c r="R60" s="3651"/>
      <c r="S60" s="3651"/>
      <c r="T60" s="3651"/>
      <c r="U60" s="3651"/>
      <c r="V60" s="3651"/>
      <c r="W60" s="3651"/>
      <c r="X60" s="3651"/>
      <c r="Y60" s="3651"/>
      <c r="Z60" s="3651"/>
      <c r="AA60" s="3651"/>
      <c r="AB60" s="3651"/>
      <c r="AC60" s="3651"/>
      <c r="AD60" s="3651"/>
      <c r="AE60" s="3651"/>
      <c r="AF60" s="3651"/>
      <c r="AG60" s="3651"/>
      <c r="AH60" s="3651"/>
      <c r="AI60" s="3651"/>
      <c r="AJ60" s="3651"/>
      <c r="AK60" s="3651"/>
      <c r="AL60" s="3651"/>
      <c r="AM60" s="3651"/>
      <c r="AN60" s="3651"/>
      <c r="AO60" s="3651"/>
      <c r="AP60" s="3651"/>
      <c r="AQ60" s="3651"/>
      <c r="AR60" s="3651"/>
    </row>
    <row r="61" spans="1:44" ht="14.25">
      <c r="A61" s="3807" t="s">
        <v>1254</v>
      </c>
      <c r="B61" s="3712"/>
      <c r="C61" s="3657"/>
      <c r="D61" s="3657"/>
      <c r="E61" s="3657"/>
      <c r="F61" s="3657"/>
      <c r="G61" s="3657"/>
      <c r="H61" s="3657"/>
      <c r="I61" s="3657"/>
      <c r="J61" s="3657"/>
      <c r="K61" s="3751"/>
      <c r="L61" s="3751"/>
      <c r="M61" s="3651"/>
      <c r="N61" s="3651"/>
      <c r="O61" s="3651"/>
      <c r="P61" s="3651"/>
      <c r="Q61" s="3651"/>
      <c r="R61" s="3651"/>
      <c r="S61" s="3651"/>
      <c r="T61" s="3651"/>
      <c r="U61" s="3651"/>
      <c r="V61" s="3651"/>
      <c r="W61" s="3651"/>
      <c r="X61" s="3651"/>
      <c r="Y61" s="3651"/>
      <c r="Z61" s="3651"/>
      <c r="AA61" s="3651"/>
      <c r="AB61" s="3651"/>
      <c r="AC61" s="3651"/>
      <c r="AD61" s="3651"/>
      <c r="AE61" s="3651"/>
      <c r="AF61" s="3651"/>
      <c r="AG61" s="3651"/>
      <c r="AH61" s="3651"/>
      <c r="AI61" s="3651"/>
      <c r="AJ61" s="3651"/>
      <c r="AK61" s="3651"/>
      <c r="AL61" s="3651"/>
      <c r="AM61" s="3651"/>
      <c r="AN61" s="3651"/>
      <c r="AO61" s="3651"/>
      <c r="AP61" s="3651"/>
      <c r="AQ61" s="3651"/>
      <c r="AR61" s="3651"/>
    </row>
    <row r="62" spans="1:44" ht="14.25">
      <c r="A62" s="3807" t="s">
        <v>1255</v>
      </c>
      <c r="B62" s="3712"/>
      <c r="C62" s="3657"/>
      <c r="D62" s="3657"/>
      <c r="E62" s="3657"/>
      <c r="F62" s="3657"/>
      <c r="G62" s="3657"/>
      <c r="H62" s="3657"/>
      <c r="I62" s="3657"/>
      <c r="J62" s="3657"/>
      <c r="K62" s="3751"/>
      <c r="L62" s="3751"/>
      <c r="M62" s="3651"/>
      <c r="N62" s="3651"/>
      <c r="O62" s="3651"/>
      <c r="P62" s="3651"/>
      <c r="Q62" s="3651"/>
      <c r="R62" s="3651"/>
      <c r="S62" s="3651"/>
      <c r="T62" s="3651"/>
      <c r="U62" s="3651"/>
      <c r="V62" s="3651"/>
      <c r="W62" s="3651"/>
      <c r="X62" s="3651"/>
      <c r="Y62" s="3651"/>
      <c r="Z62" s="3651"/>
      <c r="AA62" s="3651"/>
      <c r="AB62" s="3651"/>
      <c r="AC62" s="3651"/>
      <c r="AD62" s="3651"/>
      <c r="AE62" s="3651"/>
      <c r="AF62" s="3651"/>
      <c r="AG62" s="3651"/>
      <c r="AH62" s="3651"/>
      <c r="AI62" s="3651"/>
      <c r="AJ62" s="3651"/>
      <c r="AK62" s="3651"/>
      <c r="AL62" s="3651"/>
      <c r="AM62" s="3651"/>
      <c r="AN62" s="3651"/>
      <c r="AO62" s="3651"/>
      <c r="AP62" s="3651"/>
      <c r="AQ62" s="3651"/>
      <c r="AR62" s="3651"/>
    </row>
    <row r="63" spans="1:44" ht="15" thickBot="1">
      <c r="A63" s="3809" t="s">
        <v>1256</v>
      </c>
      <c r="B63" s="3810"/>
      <c r="C63" s="3657"/>
      <c r="D63" s="3657"/>
      <c r="E63" s="3657"/>
      <c r="F63" s="3657"/>
      <c r="G63" s="3657"/>
      <c r="H63" s="3657"/>
      <c r="I63" s="3657"/>
      <c r="J63" s="3657"/>
      <c r="K63" s="3751"/>
      <c r="L63" s="3751"/>
      <c r="M63" s="3651"/>
      <c r="N63" s="3651"/>
      <c r="O63" s="3651"/>
      <c r="P63" s="3651"/>
      <c r="Q63" s="3651"/>
      <c r="R63" s="3651"/>
      <c r="S63" s="3651"/>
      <c r="T63" s="3651"/>
      <c r="U63" s="3651"/>
      <c r="V63" s="3651"/>
      <c r="W63" s="3651"/>
      <c r="X63" s="3651"/>
      <c r="Y63" s="3651"/>
      <c r="Z63" s="3651"/>
      <c r="AA63" s="3651"/>
      <c r="AB63" s="3651"/>
      <c r="AC63" s="3651"/>
      <c r="AD63" s="3651"/>
      <c r="AE63" s="3651"/>
      <c r="AF63" s="3651"/>
      <c r="AG63" s="3651"/>
      <c r="AH63" s="3651"/>
      <c r="AI63" s="3651"/>
      <c r="AJ63" s="3651"/>
      <c r="AK63" s="3651"/>
      <c r="AL63" s="3651"/>
      <c r="AM63" s="3651"/>
      <c r="AN63" s="3651"/>
      <c r="AO63" s="3651"/>
      <c r="AP63" s="3651"/>
      <c r="AQ63" s="3651"/>
      <c r="AR63" s="3651"/>
    </row>
    <row r="64" spans="1:44" s="3811" customFormat="1">
      <c r="A64" s="3485"/>
      <c r="B64" s="3651"/>
      <c r="C64" s="3651"/>
      <c r="D64" s="3651"/>
      <c r="E64" s="3651"/>
      <c r="F64" s="3651"/>
      <c r="G64" s="3651"/>
      <c r="H64" s="3651"/>
      <c r="I64" s="3651"/>
      <c r="J64" s="3651"/>
      <c r="K64" s="3751"/>
      <c r="L64" s="3751"/>
      <c r="M64" s="3651"/>
      <c r="N64" s="3651"/>
      <c r="O64" s="3651"/>
      <c r="P64" s="3651"/>
      <c r="Q64" s="3651"/>
      <c r="R64" s="3651"/>
      <c r="S64" s="3651"/>
      <c r="T64" s="3651"/>
      <c r="U64" s="3651"/>
      <c r="V64" s="3651"/>
      <c r="W64" s="3651"/>
      <c r="X64" s="3651"/>
      <c r="Y64" s="3651"/>
      <c r="Z64" s="3651"/>
      <c r="AA64" s="3651"/>
      <c r="AB64" s="3651"/>
      <c r="AC64" s="3651"/>
      <c r="AD64" s="3651"/>
      <c r="AE64" s="3651"/>
      <c r="AF64" s="3651"/>
      <c r="AG64" s="3651"/>
      <c r="AH64" s="3651"/>
      <c r="AI64" s="3651"/>
      <c r="AJ64" s="3651"/>
      <c r="AK64" s="3651"/>
      <c r="AL64" s="3651"/>
      <c r="AM64" s="3651"/>
      <c r="AN64" s="3651"/>
      <c r="AO64" s="3651"/>
      <c r="AP64" s="3651"/>
      <c r="AQ64" s="3651"/>
      <c r="AR64" s="3651"/>
    </row>
    <row r="65" spans="1:44" s="3811" customFormat="1">
      <c r="A65" s="3485"/>
      <c r="B65" s="3651"/>
      <c r="C65" s="3651"/>
      <c r="D65" s="3651"/>
      <c r="E65" s="3651"/>
      <c r="F65" s="3651"/>
      <c r="G65" s="3651"/>
      <c r="H65" s="3651"/>
      <c r="I65" s="3651"/>
      <c r="J65" s="3651"/>
      <c r="K65" s="3751"/>
      <c r="L65" s="3751"/>
      <c r="M65" s="3651"/>
      <c r="N65" s="3651"/>
      <c r="O65" s="3651"/>
      <c r="P65" s="3651"/>
      <c r="Q65" s="3651"/>
      <c r="R65" s="3651"/>
      <c r="S65" s="3651"/>
      <c r="T65" s="3651"/>
      <c r="U65" s="3651"/>
      <c r="V65" s="3651"/>
      <c r="W65" s="3651"/>
      <c r="X65" s="3651"/>
      <c r="Y65" s="3651"/>
      <c r="Z65" s="3651"/>
      <c r="AA65" s="3651"/>
      <c r="AB65" s="3651"/>
      <c r="AC65" s="3651"/>
      <c r="AD65" s="3651"/>
      <c r="AE65" s="3651"/>
      <c r="AF65" s="3651"/>
      <c r="AG65" s="3651"/>
      <c r="AH65" s="3651"/>
      <c r="AI65" s="3651"/>
      <c r="AJ65" s="3651"/>
      <c r="AK65" s="3651"/>
      <c r="AL65" s="3651"/>
      <c r="AM65" s="3651"/>
      <c r="AN65" s="3651"/>
      <c r="AO65" s="3651"/>
      <c r="AP65" s="3651"/>
      <c r="AQ65" s="3651"/>
      <c r="AR65" s="3651"/>
    </row>
    <row r="66" spans="1:44" s="3811" customFormat="1">
      <c r="A66" s="3485"/>
      <c r="B66" s="3651"/>
      <c r="C66" s="3651"/>
      <c r="D66" s="3651"/>
      <c r="E66" s="3651"/>
      <c r="F66" s="3651"/>
      <c r="G66" s="3651"/>
      <c r="H66" s="3651"/>
      <c r="I66" s="3651"/>
      <c r="J66" s="3651"/>
      <c r="K66" s="3751"/>
      <c r="L66" s="3751"/>
      <c r="M66" s="3651"/>
      <c r="N66" s="3651"/>
      <c r="O66" s="3651"/>
      <c r="P66" s="3651"/>
      <c r="Q66" s="3651"/>
      <c r="R66" s="3651"/>
      <c r="S66" s="3651"/>
      <c r="T66" s="3651"/>
      <c r="U66" s="3651"/>
      <c r="V66" s="3651"/>
      <c r="W66" s="3651"/>
      <c r="X66" s="3651"/>
      <c r="Y66" s="3651"/>
      <c r="Z66" s="3651"/>
      <c r="AA66" s="3651"/>
      <c r="AB66" s="3651"/>
      <c r="AC66" s="3651"/>
      <c r="AD66" s="3651"/>
      <c r="AE66" s="3651"/>
      <c r="AF66" s="3651"/>
      <c r="AG66" s="3651"/>
      <c r="AH66" s="3651"/>
      <c r="AI66" s="3651"/>
      <c r="AJ66" s="3651"/>
      <c r="AK66" s="3651"/>
      <c r="AL66" s="3651"/>
      <c r="AM66" s="3651"/>
      <c r="AN66" s="3651"/>
      <c r="AO66" s="3651"/>
      <c r="AP66" s="3651"/>
      <c r="AQ66" s="3651"/>
      <c r="AR66" s="3651"/>
    </row>
    <row r="67" spans="1:44" s="3811" customFormat="1">
      <c r="A67" s="3485"/>
      <c r="B67" s="3651"/>
      <c r="C67" s="3651"/>
      <c r="D67" s="3651"/>
      <c r="E67" s="3651"/>
      <c r="F67" s="3651"/>
      <c r="G67" s="3651"/>
      <c r="H67" s="3651"/>
      <c r="I67" s="3651"/>
      <c r="J67" s="3651"/>
      <c r="K67" s="3751"/>
      <c r="L67" s="37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1"/>
      <c r="AH67" s="3651"/>
      <c r="AI67" s="3651"/>
      <c r="AJ67" s="3651"/>
      <c r="AK67" s="3651"/>
      <c r="AL67" s="3651"/>
      <c r="AM67" s="3651"/>
      <c r="AN67" s="3651"/>
      <c r="AO67" s="3651"/>
      <c r="AP67" s="3651"/>
      <c r="AQ67" s="3651"/>
      <c r="AR67" s="3651"/>
    </row>
    <row r="68" spans="1:44" s="3811" customFormat="1">
      <c r="A68" s="3485"/>
      <c r="B68" s="3651"/>
      <c r="C68" s="3651"/>
      <c r="D68" s="3651"/>
      <c r="E68" s="3651"/>
      <c r="F68" s="3651"/>
      <c r="G68" s="3651"/>
      <c r="H68" s="3651"/>
      <c r="I68" s="3651"/>
      <c r="J68" s="3651"/>
      <c r="K68" s="3751"/>
      <c r="L68" s="3751"/>
      <c r="M68" s="3651"/>
      <c r="N68" s="3651"/>
      <c r="O68" s="3651"/>
      <c r="P68" s="3651"/>
      <c r="Q68" s="3651"/>
      <c r="R68" s="3651"/>
      <c r="S68" s="3651"/>
      <c r="T68" s="3651"/>
      <c r="U68" s="3651"/>
      <c r="V68" s="3651"/>
      <c r="W68" s="3651"/>
      <c r="X68" s="3651"/>
      <c r="Y68" s="3651"/>
      <c r="Z68" s="3651"/>
      <c r="AA68" s="3651"/>
      <c r="AB68" s="3651"/>
      <c r="AC68" s="3651"/>
      <c r="AD68" s="3651"/>
      <c r="AE68" s="3651"/>
      <c r="AF68" s="3651"/>
      <c r="AG68" s="3651"/>
      <c r="AH68" s="3651"/>
      <c r="AI68" s="3651"/>
      <c r="AJ68" s="3651"/>
      <c r="AK68" s="3651"/>
      <c r="AL68" s="3651"/>
      <c r="AM68" s="3651"/>
      <c r="AN68" s="3651"/>
      <c r="AO68" s="3651"/>
      <c r="AP68" s="3651"/>
      <c r="AQ68" s="3651"/>
      <c r="AR68" s="3651"/>
    </row>
    <row r="69" spans="1:44" s="3811" customFormat="1">
      <c r="A69" s="3812"/>
      <c r="K69" s="3813"/>
      <c r="L69" s="3813"/>
    </row>
    <row r="70" spans="1:44" s="3811" customFormat="1">
      <c r="A70" s="3812"/>
      <c r="K70" s="3813"/>
      <c r="L70" s="3813"/>
    </row>
    <row r="71" spans="1:44" s="3811" customFormat="1">
      <c r="A71" s="3812"/>
      <c r="K71" s="3813"/>
      <c r="L71" s="3813"/>
    </row>
    <row r="72" spans="1:44" s="3811" customFormat="1">
      <c r="A72" s="3812"/>
      <c r="K72" s="3813"/>
      <c r="L72" s="3813"/>
    </row>
    <row r="73" spans="1:44" s="3811" customFormat="1">
      <c r="A73" s="3812"/>
      <c r="K73" s="3813"/>
      <c r="L73" s="3813"/>
    </row>
    <row r="74" spans="1:44" s="3811" customFormat="1">
      <c r="A74" s="3812"/>
      <c r="K74" s="3813"/>
      <c r="L74" s="3813"/>
    </row>
    <row r="75" spans="1:44" s="3811" customFormat="1">
      <c r="A75" s="3812"/>
      <c r="K75" s="3813"/>
      <c r="L75" s="3813"/>
    </row>
    <row r="76" spans="1:44" s="3811" customFormat="1">
      <c r="A76" s="3812"/>
      <c r="K76" s="3813"/>
      <c r="L76" s="3813"/>
    </row>
    <row r="77" spans="1:44" s="3811" customFormat="1">
      <c r="A77" s="3812"/>
      <c r="K77" s="3813"/>
      <c r="L77" s="3813"/>
    </row>
    <row r="78" spans="1:44" s="3811" customFormat="1">
      <c r="A78" s="3812"/>
      <c r="K78" s="3813"/>
      <c r="L78" s="3813"/>
    </row>
    <row r="79" spans="1:44" s="3811" customFormat="1">
      <c r="A79" s="3812"/>
      <c r="K79" s="3813"/>
      <c r="L79" s="3813"/>
    </row>
    <row r="80" spans="1:44" s="3811" customFormat="1">
      <c r="A80" s="3812"/>
      <c r="K80" s="3813"/>
      <c r="L80" s="3813"/>
    </row>
    <row r="81" spans="1:12" s="3811" customFormat="1">
      <c r="A81" s="3812"/>
      <c r="K81" s="3813"/>
      <c r="L81" s="3813"/>
    </row>
    <row r="82" spans="1:12" s="3811" customFormat="1">
      <c r="A82" s="3812"/>
      <c r="K82" s="3813"/>
      <c r="L82" s="3813"/>
    </row>
    <row r="83" spans="1:12" s="3811" customFormat="1">
      <c r="A83" s="3812"/>
      <c r="K83" s="3813"/>
      <c r="L83" s="3813"/>
    </row>
    <row r="84" spans="1:12" s="3811" customFormat="1">
      <c r="A84" s="3812"/>
      <c r="K84" s="3813"/>
      <c r="L84" s="3813"/>
    </row>
    <row r="85" spans="1:12" s="3811" customFormat="1">
      <c r="A85" s="3812"/>
      <c r="K85" s="3813"/>
      <c r="L85" s="3813"/>
    </row>
    <row r="86" spans="1:12" s="3811" customFormat="1">
      <c r="A86" s="3812"/>
      <c r="K86" s="3813"/>
      <c r="L86" s="3813"/>
    </row>
    <row r="87" spans="1:12" s="3811" customFormat="1">
      <c r="A87" s="3812"/>
      <c r="K87" s="3813"/>
      <c r="L87" s="3813"/>
    </row>
    <row r="88" spans="1:12" s="3811" customFormat="1">
      <c r="A88" s="3812"/>
      <c r="K88" s="3813"/>
      <c r="L88" s="3813"/>
    </row>
    <row r="89" spans="1:12" s="3811" customFormat="1">
      <c r="A89" s="3812"/>
      <c r="K89" s="3813"/>
      <c r="L89" s="3813"/>
    </row>
    <row r="90" spans="1:12" s="3811" customFormat="1">
      <c r="A90" s="3812"/>
      <c r="K90" s="3813"/>
      <c r="L90" s="3813"/>
    </row>
    <row r="91" spans="1:12" s="3811" customFormat="1">
      <c r="A91" s="3812"/>
      <c r="K91" s="3813"/>
      <c r="L91" s="3813"/>
    </row>
    <row r="92" spans="1:12" s="3811" customFormat="1">
      <c r="A92" s="3812"/>
      <c r="K92" s="3813"/>
      <c r="L92" s="3813"/>
    </row>
    <row r="93" spans="1:12" s="3811" customFormat="1">
      <c r="A93" s="3812"/>
      <c r="K93" s="3813"/>
      <c r="L93" s="3813"/>
    </row>
    <row r="94" spans="1:12" s="3811" customFormat="1">
      <c r="A94" s="3812"/>
      <c r="K94" s="3813"/>
      <c r="L94" s="3813"/>
    </row>
    <row r="95" spans="1:12" s="3811" customFormat="1">
      <c r="A95" s="3812"/>
      <c r="K95" s="3813"/>
      <c r="L95" s="3813"/>
    </row>
    <row r="96" spans="1:12" s="3811" customFormat="1">
      <c r="A96" s="3812"/>
      <c r="K96" s="3813"/>
      <c r="L96" s="3813"/>
    </row>
    <row r="97" spans="1:12" s="3811" customFormat="1">
      <c r="A97" s="3812"/>
      <c r="K97" s="3813"/>
      <c r="L97" s="3813"/>
    </row>
    <row r="98" spans="1:12" s="3811" customFormat="1">
      <c r="A98" s="3812"/>
      <c r="K98" s="3813"/>
      <c r="L98" s="3813"/>
    </row>
    <row r="99" spans="1:12" s="3811" customFormat="1">
      <c r="A99" s="3812"/>
      <c r="K99" s="3813"/>
      <c r="L99" s="3813"/>
    </row>
    <row r="100" spans="1:12" s="3811" customFormat="1">
      <c r="A100" s="3812"/>
      <c r="K100" s="3813"/>
      <c r="L100" s="3813"/>
    </row>
    <row r="101" spans="1:12" s="3811" customFormat="1">
      <c r="A101" s="3812"/>
      <c r="K101" s="3813"/>
      <c r="L101" s="3813"/>
    </row>
    <row r="102" spans="1:12" s="3811" customFormat="1">
      <c r="A102" s="3812"/>
      <c r="K102" s="3813"/>
      <c r="L102" s="3813"/>
    </row>
    <row r="103" spans="1:12" s="3811" customFormat="1">
      <c r="A103" s="3812"/>
      <c r="K103" s="3813"/>
      <c r="L103" s="3813"/>
    </row>
    <row r="104" spans="1:12" s="3811" customFormat="1">
      <c r="A104" s="3812"/>
      <c r="K104" s="3813"/>
      <c r="L104" s="3813"/>
    </row>
    <row r="105" spans="1:12" s="3811" customFormat="1">
      <c r="A105" s="3812"/>
      <c r="K105" s="3813"/>
      <c r="L105" s="3813"/>
    </row>
    <row r="106" spans="1:12" s="3811" customFormat="1">
      <c r="A106" s="3812"/>
      <c r="K106" s="3813"/>
      <c r="L106" s="3813"/>
    </row>
    <row r="107" spans="1:12" s="3811" customFormat="1">
      <c r="A107" s="3812"/>
      <c r="K107" s="3813"/>
      <c r="L107" s="3813"/>
    </row>
    <row r="108" spans="1:12" s="3811" customFormat="1">
      <c r="A108" s="3812"/>
      <c r="K108" s="3813"/>
      <c r="L108" s="3813"/>
    </row>
    <row r="109" spans="1:12" s="3811" customFormat="1">
      <c r="A109" s="3812"/>
      <c r="K109" s="3813"/>
      <c r="L109" s="3813"/>
    </row>
    <row r="110" spans="1:12" s="3811" customFormat="1">
      <c r="A110" s="3812"/>
      <c r="K110" s="3813"/>
      <c r="L110" s="3813"/>
    </row>
    <row r="111" spans="1:12" s="3811" customFormat="1">
      <c r="A111" s="3812"/>
      <c r="K111" s="3813"/>
      <c r="L111" s="3813"/>
    </row>
    <row r="112" spans="1:12" s="3811" customFormat="1">
      <c r="A112" s="3812"/>
      <c r="K112" s="3813"/>
      <c r="L112" s="3813"/>
    </row>
    <row r="113" spans="1:12" s="3811" customFormat="1">
      <c r="A113" s="3812"/>
      <c r="K113" s="3813"/>
      <c r="L113" s="3813"/>
    </row>
    <row r="114" spans="1:12" s="3811" customFormat="1">
      <c r="A114" s="3812"/>
      <c r="K114" s="3813"/>
      <c r="L114" s="3813"/>
    </row>
    <row r="115" spans="1:12" s="3811" customFormat="1">
      <c r="A115" s="3812"/>
      <c r="K115" s="3813"/>
      <c r="L115" s="3813"/>
    </row>
    <row r="116" spans="1:12" s="3811" customFormat="1">
      <c r="A116" s="3812"/>
      <c r="K116" s="3813"/>
      <c r="L116" s="3813"/>
    </row>
    <row r="117" spans="1:12" s="3811" customFormat="1">
      <c r="A117" s="3812"/>
      <c r="K117" s="3813"/>
      <c r="L117" s="3813"/>
    </row>
    <row r="118" spans="1:12" s="3811" customFormat="1">
      <c r="A118" s="3812"/>
      <c r="K118" s="3813"/>
      <c r="L118" s="3813"/>
    </row>
    <row r="119" spans="1:12" s="3811" customFormat="1">
      <c r="A119" s="3812"/>
      <c r="K119" s="3813"/>
      <c r="L119" s="3813"/>
    </row>
    <row r="120" spans="1:12" s="3811" customFormat="1">
      <c r="A120" s="3812"/>
      <c r="K120" s="3813"/>
      <c r="L120" s="3813"/>
    </row>
    <row r="121" spans="1:12" s="3811" customFormat="1">
      <c r="A121" s="3812"/>
      <c r="K121" s="3813"/>
      <c r="L121" s="3813"/>
    </row>
    <row r="122" spans="1:12" s="3811" customFormat="1">
      <c r="A122" s="3812"/>
      <c r="K122" s="3813"/>
      <c r="L122" s="3813"/>
    </row>
    <row r="123" spans="1:12" s="3811" customFormat="1">
      <c r="A123" s="3812"/>
      <c r="K123" s="3813"/>
      <c r="L123" s="3813"/>
    </row>
    <row r="124" spans="1:12" s="3811" customFormat="1">
      <c r="A124" s="3812"/>
      <c r="K124" s="3813"/>
      <c r="L124" s="3813"/>
    </row>
    <row r="125" spans="1:12" s="3811" customFormat="1">
      <c r="A125" s="3812"/>
      <c r="K125" s="3813"/>
      <c r="L125" s="3813"/>
    </row>
    <row r="126" spans="1:12" s="3811" customFormat="1">
      <c r="A126" s="3812"/>
      <c r="K126" s="3813"/>
      <c r="L126" s="3813"/>
    </row>
    <row r="127" spans="1:12" s="3811" customFormat="1">
      <c r="A127" s="3812"/>
      <c r="K127" s="3813"/>
      <c r="L127" s="3813"/>
    </row>
    <row r="128" spans="1:12" s="3811" customFormat="1">
      <c r="A128" s="3812"/>
      <c r="K128" s="3813"/>
      <c r="L128" s="3813"/>
    </row>
    <row r="129" spans="1:12" s="3811" customFormat="1">
      <c r="A129" s="3812"/>
      <c r="K129" s="3813"/>
      <c r="L129" s="3813"/>
    </row>
    <row r="130" spans="1:12" s="3811" customFormat="1">
      <c r="A130" s="3812"/>
      <c r="K130" s="3813"/>
      <c r="L130" s="3813"/>
    </row>
    <row r="131" spans="1:12" s="3811" customFormat="1">
      <c r="A131" s="3812"/>
      <c r="K131" s="3813"/>
      <c r="L131" s="3813"/>
    </row>
    <row r="132" spans="1:12" s="3811" customFormat="1">
      <c r="A132" s="3812"/>
      <c r="K132" s="3813"/>
      <c r="L132" s="3813"/>
    </row>
    <row r="133" spans="1:12" s="3811" customFormat="1">
      <c r="A133" s="3812"/>
      <c r="K133" s="3813"/>
      <c r="L133" s="3813"/>
    </row>
    <row r="134" spans="1:12" s="3652" customFormat="1">
      <c r="A134" s="3467"/>
      <c r="K134" s="3814"/>
      <c r="L134" s="3814"/>
    </row>
    <row r="135" spans="1:12" s="3652" customFormat="1">
      <c r="A135" s="3467"/>
      <c r="K135" s="3814"/>
      <c r="L135" s="3814"/>
    </row>
    <row r="136" spans="1:12" s="3652" customFormat="1">
      <c r="A136" s="3467"/>
      <c r="K136" s="3814"/>
      <c r="L136" s="3814"/>
    </row>
    <row r="137" spans="1:12" s="3652" customFormat="1">
      <c r="A137" s="3467"/>
      <c r="K137" s="3814"/>
      <c r="L137" s="3814"/>
    </row>
    <row r="138" spans="1:12" s="3652" customFormat="1">
      <c r="A138" s="3467"/>
      <c r="K138" s="3814"/>
      <c r="L138" s="3814"/>
    </row>
    <row r="139" spans="1:12" s="3652" customFormat="1">
      <c r="A139" s="3467"/>
      <c r="K139" s="3814"/>
      <c r="L139" s="3814"/>
    </row>
    <row r="140" spans="1:12" s="3652" customFormat="1">
      <c r="A140" s="3467"/>
      <c r="K140" s="3814"/>
      <c r="L140" s="3814"/>
    </row>
    <row r="141" spans="1:12" s="3652" customFormat="1">
      <c r="A141" s="3467"/>
      <c r="K141" s="3814"/>
      <c r="L141" s="3814"/>
    </row>
    <row r="142" spans="1:12" s="3652" customFormat="1">
      <c r="A142" s="3467"/>
      <c r="K142" s="3814"/>
      <c r="L142" s="3814"/>
    </row>
    <row r="143" spans="1:12" s="3652" customFormat="1">
      <c r="A143" s="3467"/>
      <c r="K143" s="3814"/>
      <c r="L143" s="3814"/>
    </row>
    <row r="144" spans="1:12" s="3652" customFormat="1">
      <c r="A144" s="3467"/>
      <c r="K144" s="3814"/>
      <c r="L144" s="3814"/>
    </row>
    <row r="145" spans="1:12" s="3652" customFormat="1">
      <c r="A145" s="3467"/>
      <c r="K145" s="3814"/>
      <c r="L145" s="3814"/>
    </row>
    <row r="146" spans="1:12" s="3652" customFormat="1">
      <c r="A146" s="3467"/>
      <c r="K146" s="3814"/>
      <c r="L146" s="3814"/>
    </row>
    <row r="147" spans="1:12" s="3652" customFormat="1">
      <c r="A147" s="3467"/>
      <c r="K147" s="3814"/>
      <c r="L147" s="3814"/>
    </row>
    <row r="148" spans="1:12" s="3652" customFormat="1">
      <c r="A148" s="3467"/>
      <c r="K148" s="3814"/>
      <c r="L148" s="3814"/>
    </row>
    <row r="149" spans="1:12" s="3652" customFormat="1">
      <c r="A149" s="3467"/>
      <c r="K149" s="3814"/>
      <c r="L149" s="3814"/>
    </row>
    <row r="150" spans="1:12" s="3652" customFormat="1">
      <c r="A150" s="3467"/>
      <c r="K150" s="3814"/>
      <c r="L150" s="3814"/>
    </row>
    <row r="151" spans="1:12" s="3652" customFormat="1">
      <c r="A151" s="3467"/>
      <c r="K151" s="3814"/>
      <c r="L151" s="3814"/>
    </row>
    <row r="152" spans="1:12" s="3652" customFormat="1">
      <c r="A152" s="3467"/>
      <c r="K152" s="3814"/>
      <c r="L152" s="3814"/>
    </row>
    <row r="153" spans="1:12" s="3652" customFormat="1">
      <c r="A153" s="3467"/>
      <c r="K153" s="3814"/>
      <c r="L153" s="3814"/>
    </row>
    <row r="154" spans="1:12" s="3652" customFormat="1">
      <c r="A154" s="3467"/>
      <c r="K154" s="3814"/>
      <c r="L154" s="3814"/>
    </row>
    <row r="155" spans="1:12" s="3652" customFormat="1">
      <c r="A155" s="3467"/>
      <c r="K155" s="3814"/>
      <c r="L155" s="3814"/>
    </row>
    <row r="156" spans="1:12" s="3652" customFormat="1">
      <c r="A156" s="3467"/>
      <c r="K156" s="3814"/>
      <c r="L156" s="3814"/>
    </row>
    <row r="157" spans="1:12" s="3652" customFormat="1">
      <c r="A157" s="3467"/>
      <c r="K157" s="3814"/>
      <c r="L157" s="3814"/>
    </row>
    <row r="158" spans="1:12" s="3652" customFormat="1">
      <c r="A158" s="3467"/>
      <c r="K158" s="3814"/>
      <c r="L158" s="3814"/>
    </row>
    <row r="159" spans="1:12" s="3652" customFormat="1">
      <c r="A159" s="3467"/>
      <c r="K159" s="3814"/>
      <c r="L159" s="3814"/>
    </row>
    <row r="160" spans="1:12" s="3652" customFormat="1">
      <c r="A160" s="3467"/>
      <c r="K160" s="3814"/>
      <c r="L160" s="3814"/>
    </row>
    <row r="161" spans="1:12" s="3652" customFormat="1">
      <c r="A161" s="3467"/>
      <c r="K161" s="3814"/>
      <c r="L161" s="3814"/>
    </row>
    <row r="162" spans="1:12" s="3652" customFormat="1">
      <c r="A162" s="3467"/>
      <c r="K162" s="3814"/>
      <c r="L162" s="3814"/>
    </row>
    <row r="163" spans="1:12" s="3652" customFormat="1">
      <c r="A163" s="3467"/>
      <c r="K163" s="3814"/>
      <c r="L163" s="3814"/>
    </row>
    <row r="164" spans="1:12" s="3652" customFormat="1">
      <c r="A164" s="3467"/>
      <c r="K164" s="3814"/>
      <c r="L164" s="3814"/>
    </row>
    <row r="165" spans="1:12" s="3652" customFormat="1">
      <c r="A165" s="3467"/>
      <c r="K165" s="3814"/>
      <c r="L165" s="3814"/>
    </row>
    <row r="166" spans="1:12" s="3652" customFormat="1">
      <c r="A166" s="3467"/>
      <c r="K166" s="3814"/>
      <c r="L166" s="3814"/>
    </row>
    <row r="167" spans="1:12" s="3652" customFormat="1">
      <c r="A167" s="3467"/>
      <c r="K167" s="3814"/>
      <c r="L167" s="3814"/>
    </row>
    <row r="168" spans="1:12" s="3652" customFormat="1">
      <c r="A168" s="3467"/>
      <c r="K168" s="3814"/>
      <c r="L168" s="3814"/>
    </row>
    <row r="169" spans="1:12" s="3652" customFormat="1">
      <c r="A169" s="3467"/>
      <c r="K169" s="3814"/>
      <c r="L169" s="3814"/>
    </row>
    <row r="170" spans="1:12" s="3652" customFormat="1">
      <c r="A170" s="3467"/>
      <c r="K170" s="3814"/>
      <c r="L170" s="3814"/>
    </row>
    <row r="171" spans="1:12" s="3652" customFormat="1">
      <c r="A171" s="3467"/>
      <c r="K171" s="3814"/>
      <c r="L171" s="3814"/>
    </row>
    <row r="172" spans="1:12" s="3652" customFormat="1">
      <c r="A172" s="3467"/>
      <c r="K172" s="3814"/>
      <c r="L172" s="3814"/>
    </row>
    <row r="173" spans="1:12" s="3652" customFormat="1">
      <c r="A173" s="3467"/>
      <c r="K173" s="3814"/>
      <c r="L173" s="3814"/>
    </row>
    <row r="174" spans="1:12" s="3652" customFormat="1">
      <c r="A174" s="3467"/>
      <c r="K174" s="3814"/>
      <c r="L174" s="381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32" t="s">
        <v>2276</v>
      </c>
      <c r="B1" s="3933"/>
      <c r="C1" s="3933"/>
      <c r="D1" s="3933"/>
      <c r="E1" s="3933"/>
      <c r="F1" s="3933"/>
      <c r="G1" s="3933"/>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3656</v>
      </c>
      <c r="D4" s="2192"/>
      <c r="E4" s="2195"/>
      <c r="F4" s="1268" t="s">
        <v>2254</v>
      </c>
      <c r="G4" s="2196"/>
      <c r="H4" s="721"/>
      <c r="I4" s="721"/>
      <c r="J4" s="721"/>
      <c r="K4" s="721"/>
      <c r="L4" s="721"/>
      <c r="M4" s="721"/>
      <c r="N4" s="721"/>
      <c r="O4" s="721"/>
      <c r="P4" s="721"/>
      <c r="Q4" s="721"/>
      <c r="R4" s="721"/>
    </row>
    <row r="5" spans="1:29" ht="54" customHeight="1">
      <c r="A5" s="2171"/>
      <c r="B5" s="261" t="s">
        <v>2255</v>
      </c>
      <c r="C5" s="3070" t="s">
        <v>3632</v>
      </c>
      <c r="D5" s="2192"/>
      <c r="E5" s="2195"/>
      <c r="F5" s="261" t="s">
        <v>2256</v>
      </c>
      <c r="G5" s="2196"/>
      <c r="H5" s="721"/>
      <c r="I5" s="721"/>
      <c r="J5" s="721"/>
      <c r="K5" s="721"/>
      <c r="L5" s="721"/>
      <c r="M5" s="721"/>
      <c r="N5" s="721"/>
      <c r="O5" s="721"/>
      <c r="P5" s="721"/>
      <c r="Q5" s="721"/>
      <c r="R5" s="721"/>
    </row>
    <row r="6" spans="1:29" ht="84">
      <c r="A6" s="2171"/>
      <c r="B6" s="261" t="s">
        <v>2257</v>
      </c>
      <c r="C6" s="3071" t="s">
        <v>3630</v>
      </c>
      <c r="D6" s="2192"/>
      <c r="E6" s="2195"/>
      <c r="F6" s="261" t="s">
        <v>2258</v>
      </c>
      <c r="G6" s="2196"/>
      <c r="H6" s="721"/>
      <c r="I6" s="721"/>
      <c r="J6" s="721"/>
      <c r="K6" s="721"/>
      <c r="L6" s="721"/>
      <c r="M6" s="721"/>
      <c r="N6" s="721"/>
      <c r="O6" s="721"/>
      <c r="P6" s="721"/>
      <c r="Q6" s="721"/>
      <c r="R6" s="721"/>
    </row>
    <row r="7" spans="1:29" ht="180.75" thickBot="1">
      <c r="A7" s="2171"/>
      <c r="B7" s="261" t="s">
        <v>2256</v>
      </c>
      <c r="C7" s="3071" t="s">
        <v>3633</v>
      </c>
      <c r="D7" s="2197"/>
      <c r="E7" s="2198"/>
      <c r="F7" s="2199" t="s">
        <v>2259</v>
      </c>
      <c r="G7" s="2200"/>
      <c r="H7" s="721"/>
      <c r="I7" s="721"/>
      <c r="J7" s="721"/>
      <c r="K7" s="721"/>
      <c r="L7" s="721"/>
      <c r="M7" s="721"/>
      <c r="N7" s="721"/>
      <c r="O7" s="721"/>
      <c r="P7" s="721"/>
      <c r="Q7" s="721"/>
      <c r="R7" s="721"/>
    </row>
    <row r="8" spans="1:29" ht="30" customHeight="1">
      <c r="A8" s="2171"/>
      <c r="B8" s="261" t="s">
        <v>2258</v>
      </c>
      <c r="C8" s="3071" t="s">
        <v>3515</v>
      </c>
      <c r="D8" s="2197"/>
      <c r="E8" s="2197"/>
      <c r="F8" s="2201"/>
      <c r="G8" s="2201"/>
      <c r="H8" s="721"/>
      <c r="I8" s="721"/>
      <c r="J8" s="721"/>
      <c r="K8" s="721"/>
      <c r="L8" s="721"/>
      <c r="M8" s="721"/>
      <c r="N8" s="721"/>
      <c r="O8" s="721"/>
      <c r="P8" s="721"/>
      <c r="Q8" s="721"/>
      <c r="R8" s="721"/>
    </row>
    <row r="9" spans="1:29" ht="72">
      <c r="A9" s="2171"/>
      <c r="B9" s="261" t="s">
        <v>2260</v>
      </c>
      <c r="C9" s="3070" t="s">
        <v>3629</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3631</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估价对象附近有领展购物广场（中关村店）、新中关购物中心等商场，周边商业氛围较成熟，人流量较大，商业繁华度较好</v>
      </c>
      <c r="D16" s="2192"/>
      <c r="E16" s="2176"/>
      <c r="F16" s="2227" t="s">
        <v>2254</v>
      </c>
      <c r="G16" s="2228">
        <f>G4</f>
        <v>0</v>
      </c>
    </row>
    <row r="17" spans="1:18" ht="38.25">
      <c r="A17" s="2175"/>
      <c r="B17" s="2225" t="s">
        <v>2255</v>
      </c>
      <c r="C17" s="2226" t="str">
        <f>C5</f>
        <v>估价对象附近有银丰大厦、神州数码大厦、绿创大厦、银科大厦等办公用楼，办公集聚程度好</v>
      </c>
      <c r="D17" s="2197"/>
      <c r="E17" s="2176"/>
      <c r="F17" s="2227" t="s">
        <v>2267</v>
      </c>
      <c r="G17" s="2229"/>
    </row>
    <row r="18" spans="1:18" ht="89.25">
      <c r="A18" s="2175"/>
      <c r="B18" s="2227" t="s">
        <v>2257</v>
      </c>
      <c r="C18" s="2228" t="str">
        <f>C6</f>
        <v>估价对象周边估价对象紧邻城市支路—丹棱街，临近地铁10号线苏州街站、地铁16号线万泉河桥站，周围有26路、302路、374路、424路、450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76.5">
      <c r="A20" s="2175"/>
      <c r="B20" s="2227" t="s">
        <v>2269</v>
      </c>
      <c r="C20" s="2226" t="str">
        <f>C9</f>
        <v xml:space="preserve">自然环境：万泉河等自然景观；
人文环境：中国人民大学等人文场所；
综合评价自然及人文环境状况较好。
</v>
      </c>
      <c r="D20" s="2197"/>
      <c r="E20" s="2176"/>
      <c r="F20" s="261" t="s">
        <v>2258</v>
      </c>
      <c r="G20" s="2228">
        <f>G6</f>
        <v>0</v>
      </c>
    </row>
    <row r="21" spans="1:18" ht="191.25">
      <c r="A21" s="2175"/>
      <c r="B21" s="261" t="s">
        <v>2256</v>
      </c>
      <c r="C21" s="2228" t="str">
        <f>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城市支路</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25"/>
  <sheetViews>
    <sheetView workbookViewId="0">
      <selection activeCell="H24" sqref="H24:I24"/>
    </sheetView>
  </sheetViews>
  <sheetFormatPr defaultColWidth="9" defaultRowHeight="15.75"/>
  <cols>
    <col min="1" max="1" width="5.25" style="3622" customWidth="1"/>
    <col min="2" max="2" width="6.625" style="3622" customWidth="1"/>
    <col min="3" max="3" width="10.875" style="3622" customWidth="1"/>
    <col min="4" max="4" width="12.75" style="3622" customWidth="1"/>
    <col min="5" max="5" width="5.375" style="3622" customWidth="1"/>
    <col min="6" max="6" width="8.625" style="3622" customWidth="1"/>
    <col min="7" max="7" width="5.375" style="3622" customWidth="1"/>
    <col min="8" max="8" width="9.375" style="3622" customWidth="1"/>
    <col min="9" max="9" width="5.375" style="3622" customWidth="1"/>
    <col min="10" max="10" width="8.5" style="3622" customWidth="1"/>
    <col min="11" max="11" width="5.75" style="3622" customWidth="1"/>
    <col min="12" max="12" width="12.25" style="3622" customWidth="1"/>
    <col min="13" max="16384" width="9" style="3622"/>
  </cols>
  <sheetData>
    <row r="2" spans="2:12" ht="15.75" customHeight="1">
      <c r="B2" s="3940"/>
      <c r="C2" s="3940"/>
      <c r="D2" s="3939" t="s">
        <v>3603</v>
      </c>
      <c r="E2" s="3939"/>
      <c r="F2" s="3939" t="s">
        <v>3604</v>
      </c>
      <c r="G2" s="3939"/>
      <c r="H2" s="3939" t="s">
        <v>3605</v>
      </c>
      <c r="I2" s="3939"/>
      <c r="J2" s="3939" t="s">
        <v>3606</v>
      </c>
      <c r="K2" s="3939"/>
      <c r="L2" s="3623"/>
    </row>
    <row r="3" spans="2:12">
      <c r="B3" s="3940"/>
      <c r="C3" s="3940"/>
      <c r="D3" s="3938" t="s">
        <v>3592</v>
      </c>
      <c r="E3" s="3938"/>
      <c r="F3" s="3938" t="s">
        <v>3584</v>
      </c>
      <c r="G3" s="3938"/>
      <c r="H3" s="3938" t="s">
        <v>3585</v>
      </c>
      <c r="I3" s="3938"/>
      <c r="J3" s="3938" t="s">
        <v>3586</v>
      </c>
      <c r="K3" s="3938"/>
      <c r="L3" s="3623"/>
    </row>
    <row r="4" spans="2:12">
      <c r="B4" s="3940"/>
      <c r="C4" s="3940"/>
      <c r="D4" s="3938" t="s">
        <v>3600</v>
      </c>
      <c r="E4" s="3938"/>
      <c r="F4" s="3938" t="s">
        <v>3587</v>
      </c>
      <c r="G4" s="3938"/>
      <c r="H4" s="3938" t="s">
        <v>3588</v>
      </c>
      <c r="I4" s="3938"/>
      <c r="J4" s="3938" t="s">
        <v>3589</v>
      </c>
      <c r="K4" s="3938"/>
      <c r="L4" s="3623"/>
    </row>
    <row r="5" spans="2:12">
      <c r="B5" s="3936" t="s">
        <v>3607</v>
      </c>
      <c r="C5" s="3937"/>
      <c r="D5" s="3624">
        <v>45037</v>
      </c>
      <c r="E5" s="3625">
        <v>100</v>
      </c>
      <c r="F5" s="3626">
        <v>45017</v>
      </c>
      <c r="G5" s="3625">
        <v>100</v>
      </c>
      <c r="H5" s="3626">
        <v>45017</v>
      </c>
      <c r="I5" s="3625">
        <v>100</v>
      </c>
      <c r="J5" s="3626">
        <v>45017</v>
      </c>
      <c r="K5" s="3625">
        <v>100</v>
      </c>
      <c r="L5" s="3627"/>
    </row>
    <row r="6" spans="2:12" ht="14.25" customHeight="1">
      <c r="B6" s="3936" t="s">
        <v>3601</v>
      </c>
      <c r="C6" s="3937"/>
      <c r="D6" s="3628" t="s">
        <v>3538</v>
      </c>
      <c r="E6" s="3625">
        <v>100</v>
      </c>
      <c r="F6" s="3628" t="s">
        <v>3538</v>
      </c>
      <c r="G6" s="3625">
        <v>100</v>
      </c>
      <c r="H6" s="3628" t="s">
        <v>3538</v>
      </c>
      <c r="I6" s="3625">
        <v>100</v>
      </c>
      <c r="J6" s="3628" t="s">
        <v>3538</v>
      </c>
      <c r="K6" s="3625">
        <v>100</v>
      </c>
      <c r="L6" s="3627"/>
    </row>
    <row r="7" spans="2:12" ht="14.25" customHeight="1">
      <c r="B7" s="3625" t="s">
        <v>3608</v>
      </c>
      <c r="C7" s="3625" t="s">
        <v>3602</v>
      </c>
      <c r="D7" s="3628" t="s">
        <v>3609</v>
      </c>
      <c r="E7" s="3625">
        <v>100</v>
      </c>
      <c r="F7" s="3628" t="s">
        <v>3540</v>
      </c>
      <c r="G7" s="3625">
        <v>100</v>
      </c>
      <c r="H7" s="3628" t="s">
        <v>3540</v>
      </c>
      <c r="I7" s="3625">
        <v>100</v>
      </c>
      <c r="J7" s="3628" t="s">
        <v>3540</v>
      </c>
      <c r="K7" s="3625">
        <v>100</v>
      </c>
      <c r="L7" s="3627"/>
    </row>
    <row r="8" spans="2:12" ht="14.25" customHeight="1">
      <c r="B8" s="3939" t="s">
        <v>3610</v>
      </c>
      <c r="C8" s="3625" t="s">
        <v>3611</v>
      </c>
      <c r="D8" s="3625" t="s">
        <v>3594</v>
      </c>
      <c r="E8" s="3625">
        <v>100</v>
      </c>
      <c r="F8" s="3628" t="s">
        <v>3595</v>
      </c>
      <c r="G8" s="3625">
        <v>102</v>
      </c>
      <c r="H8" s="3628" t="s">
        <v>3594</v>
      </c>
      <c r="I8" s="3625">
        <v>100</v>
      </c>
      <c r="J8" s="3628" t="s">
        <v>3594</v>
      </c>
      <c r="K8" s="3625">
        <v>100</v>
      </c>
      <c r="L8" s="3627"/>
    </row>
    <row r="9" spans="2:12" ht="14.25" customHeight="1">
      <c r="B9" s="3939"/>
      <c r="C9" s="3625" t="s">
        <v>3590</v>
      </c>
      <c r="D9" s="3625" t="s">
        <v>3595</v>
      </c>
      <c r="E9" s="3625">
        <v>100</v>
      </c>
      <c r="F9" s="3628" t="s">
        <v>3596</v>
      </c>
      <c r="G9" s="3625">
        <v>98</v>
      </c>
      <c r="H9" s="3628" t="s">
        <v>3597</v>
      </c>
      <c r="I9" s="3625">
        <v>98</v>
      </c>
      <c r="J9" s="3628" t="s">
        <v>3598</v>
      </c>
      <c r="K9" s="3625">
        <v>100</v>
      </c>
      <c r="L9" s="3627"/>
    </row>
    <row r="10" spans="2:12" ht="14.25" customHeight="1">
      <c r="B10" s="3939"/>
      <c r="C10" s="3625" t="s">
        <v>3612</v>
      </c>
      <c r="D10" s="3625" t="s">
        <v>3594</v>
      </c>
      <c r="E10" s="3625">
        <v>100</v>
      </c>
      <c r="F10" s="3628" t="s">
        <v>3594</v>
      </c>
      <c r="G10" s="3625">
        <v>100</v>
      </c>
      <c r="H10" s="3628" t="s">
        <v>3594</v>
      </c>
      <c r="I10" s="3625">
        <v>100</v>
      </c>
      <c r="J10" s="3628" t="s">
        <v>3594</v>
      </c>
      <c r="K10" s="3625">
        <v>100</v>
      </c>
      <c r="L10" s="3627"/>
    </row>
    <row r="11" spans="2:12" ht="14.25" customHeight="1">
      <c r="B11" s="3939"/>
      <c r="C11" s="3625" t="s">
        <v>3613</v>
      </c>
      <c r="D11" s="3625" t="s">
        <v>3593</v>
      </c>
      <c r="E11" s="3625">
        <v>100</v>
      </c>
      <c r="F11" s="3628" t="s">
        <v>3593</v>
      </c>
      <c r="G11" s="3625">
        <v>100</v>
      </c>
      <c r="H11" s="3628" t="s">
        <v>3593</v>
      </c>
      <c r="I11" s="3625">
        <v>100</v>
      </c>
      <c r="J11" s="3628" t="s">
        <v>3593</v>
      </c>
      <c r="K11" s="3625">
        <v>100</v>
      </c>
      <c r="L11" s="3627"/>
    </row>
    <row r="12" spans="2:12" ht="14.25" customHeight="1">
      <c r="B12" s="3939"/>
      <c r="C12" s="3625" t="s">
        <v>3591</v>
      </c>
      <c r="D12" s="3625" t="s">
        <v>3594</v>
      </c>
      <c r="E12" s="3625">
        <v>100</v>
      </c>
      <c r="F12" s="3628" t="s">
        <v>3595</v>
      </c>
      <c r="G12" s="3625">
        <v>102</v>
      </c>
      <c r="H12" s="3628" t="s">
        <v>3598</v>
      </c>
      <c r="I12" s="3625">
        <v>102</v>
      </c>
      <c r="J12" s="3628" t="s">
        <v>3599</v>
      </c>
      <c r="K12" s="3625">
        <v>98</v>
      </c>
      <c r="L12" s="3627"/>
    </row>
    <row r="13" spans="2:12" ht="14.25" customHeight="1">
      <c r="B13" s="3939"/>
      <c r="C13" s="3625" t="s">
        <v>3614</v>
      </c>
      <c r="D13" s="3628" t="s">
        <v>3528</v>
      </c>
      <c r="E13" s="3625">
        <v>100</v>
      </c>
      <c r="F13" s="3628" t="s">
        <v>3529</v>
      </c>
      <c r="G13" s="3625">
        <v>98</v>
      </c>
      <c r="H13" s="3628" t="s">
        <v>3529</v>
      </c>
      <c r="I13" s="3625">
        <v>98</v>
      </c>
      <c r="J13" s="3628" t="s">
        <v>3528</v>
      </c>
      <c r="K13" s="3625">
        <v>100</v>
      </c>
      <c r="L13" s="3627"/>
    </row>
    <row r="14" spans="2:12" ht="14.25" customHeight="1">
      <c r="B14" s="3939"/>
      <c r="C14" s="3628" t="s">
        <v>3615</v>
      </c>
      <c r="D14" s="3628" t="s">
        <v>3524</v>
      </c>
      <c r="E14" s="3625">
        <v>100</v>
      </c>
      <c r="F14" s="3628" t="s">
        <v>3521</v>
      </c>
      <c r="G14" s="3625">
        <v>109</v>
      </c>
      <c r="H14" s="3628" t="s">
        <v>3521</v>
      </c>
      <c r="I14" s="3625">
        <v>109</v>
      </c>
      <c r="J14" s="3628" t="s">
        <v>3521</v>
      </c>
      <c r="K14" s="3625">
        <v>109</v>
      </c>
      <c r="L14" s="3627"/>
    </row>
    <row r="15" spans="2:12" ht="14.25" customHeight="1">
      <c r="B15" s="3939"/>
      <c r="C15" s="3625" t="s">
        <v>3616</v>
      </c>
      <c r="D15" s="3628" t="s">
        <v>3519</v>
      </c>
      <c r="E15" s="3625">
        <v>100</v>
      </c>
      <c r="F15" s="3628" t="s">
        <v>3519</v>
      </c>
      <c r="G15" s="3625">
        <v>100</v>
      </c>
      <c r="H15" s="3628" t="s">
        <v>3519</v>
      </c>
      <c r="I15" s="3625">
        <v>100</v>
      </c>
      <c r="J15" s="3628" t="s">
        <v>3519</v>
      </c>
      <c r="K15" s="3625">
        <v>100</v>
      </c>
      <c r="L15" s="3627"/>
    </row>
    <row r="16" spans="2:12" ht="14.25" customHeight="1">
      <c r="B16" s="3939" t="s">
        <v>3617</v>
      </c>
      <c r="C16" s="3625" t="s">
        <v>3618</v>
      </c>
      <c r="D16" s="3628" t="s">
        <v>3576</v>
      </c>
      <c r="E16" s="3625">
        <v>100</v>
      </c>
      <c r="F16" s="3628" t="s">
        <v>3579</v>
      </c>
      <c r="G16" s="3625">
        <v>101</v>
      </c>
      <c r="H16" s="3628" t="s">
        <v>3576</v>
      </c>
      <c r="I16" s="3625">
        <v>100</v>
      </c>
      <c r="J16" s="3628" t="s">
        <v>3579</v>
      </c>
      <c r="K16" s="3625">
        <v>101</v>
      </c>
      <c r="L16" s="3627"/>
    </row>
    <row r="17" spans="2:12" ht="14.25" customHeight="1">
      <c r="B17" s="3939"/>
      <c r="C17" s="3625" t="s">
        <v>3619</v>
      </c>
      <c r="D17" s="3628">
        <v>0.8</v>
      </c>
      <c r="E17" s="3625">
        <v>100</v>
      </c>
      <c r="F17" s="3628">
        <v>0.8</v>
      </c>
      <c r="G17" s="3625">
        <v>100</v>
      </c>
      <c r="H17" s="3628">
        <v>0.9</v>
      </c>
      <c r="I17" s="3625">
        <v>102</v>
      </c>
      <c r="J17" s="3628">
        <v>0.8</v>
      </c>
      <c r="K17" s="3625">
        <v>100</v>
      </c>
      <c r="L17" s="3627"/>
    </row>
    <row r="18" spans="2:12" ht="14.25" customHeight="1">
      <c r="B18" s="3939"/>
      <c r="C18" s="3625" t="s">
        <v>3620</v>
      </c>
      <c r="D18" s="3628" t="s">
        <v>3563</v>
      </c>
      <c r="E18" s="3625">
        <v>100</v>
      </c>
      <c r="F18" s="3628" t="s">
        <v>3563</v>
      </c>
      <c r="G18" s="3625">
        <v>100</v>
      </c>
      <c r="H18" s="3628" t="s">
        <v>3563</v>
      </c>
      <c r="I18" s="3625">
        <v>100</v>
      </c>
      <c r="J18" s="3628" t="s">
        <v>3563</v>
      </c>
      <c r="K18" s="3625">
        <v>100</v>
      </c>
      <c r="L18" s="3627"/>
    </row>
    <row r="19" spans="2:12" ht="14.25" customHeight="1">
      <c r="B19" s="3939"/>
      <c r="C19" s="3625" t="s">
        <v>3621</v>
      </c>
      <c r="D19" s="3628" t="s">
        <v>3541</v>
      </c>
      <c r="E19" s="3625">
        <v>100</v>
      </c>
      <c r="F19" s="3628" t="s">
        <v>3541</v>
      </c>
      <c r="G19" s="3625">
        <v>100</v>
      </c>
      <c r="H19" s="3628" t="s">
        <v>3541</v>
      </c>
      <c r="I19" s="3625">
        <v>100</v>
      </c>
      <c r="J19" s="3628" t="s">
        <v>3543</v>
      </c>
      <c r="K19" s="3625">
        <v>98</v>
      </c>
      <c r="L19" s="3627"/>
    </row>
    <row r="20" spans="2:12" ht="14.25" customHeight="1">
      <c r="B20" s="3939"/>
      <c r="C20" s="3625" t="s">
        <v>3622</v>
      </c>
      <c r="D20" s="3628">
        <v>424.24</v>
      </c>
      <c r="E20" s="3625">
        <v>100</v>
      </c>
      <c r="F20" s="3628">
        <v>340</v>
      </c>
      <c r="G20" s="3625">
        <v>100</v>
      </c>
      <c r="H20" s="3628">
        <v>800</v>
      </c>
      <c r="I20" s="3625">
        <v>98</v>
      </c>
      <c r="J20" s="3628">
        <v>300</v>
      </c>
      <c r="K20" s="3625">
        <v>100</v>
      </c>
      <c r="L20" s="3627"/>
    </row>
    <row r="21" spans="2:12" ht="14.25" customHeight="1">
      <c r="B21" s="3939"/>
      <c r="C21" s="3625" t="s">
        <v>3623</v>
      </c>
      <c r="D21" s="3628" t="s">
        <v>3516</v>
      </c>
      <c r="E21" s="3625">
        <v>100</v>
      </c>
      <c r="F21" s="3628" t="s">
        <v>3516</v>
      </c>
      <c r="G21" s="3625">
        <v>100</v>
      </c>
      <c r="H21" s="3628" t="s">
        <v>3516</v>
      </c>
      <c r="I21" s="3625">
        <v>100</v>
      </c>
      <c r="J21" s="3628" t="s">
        <v>3516</v>
      </c>
      <c r="K21" s="3625">
        <v>100</v>
      </c>
      <c r="L21" s="3627"/>
    </row>
    <row r="22" spans="2:12" ht="14.25" customHeight="1">
      <c r="B22" s="3939"/>
      <c r="C22" s="3625" t="s">
        <v>3624</v>
      </c>
      <c r="D22" s="3628" t="s">
        <v>3534</v>
      </c>
      <c r="E22" s="3625">
        <v>100</v>
      </c>
      <c r="F22" s="3628" t="s">
        <v>3534</v>
      </c>
      <c r="G22" s="3625">
        <v>100</v>
      </c>
      <c r="H22" s="3628" t="s">
        <v>3534</v>
      </c>
      <c r="I22" s="3625">
        <v>100</v>
      </c>
      <c r="J22" s="3628" t="s">
        <v>3534</v>
      </c>
      <c r="K22" s="3625">
        <v>100</v>
      </c>
      <c r="L22" s="3627"/>
    </row>
    <row r="23" spans="2:12" ht="15.75" customHeight="1">
      <c r="B23" s="3941" t="s">
        <v>3625</v>
      </c>
      <c r="C23" s="3942"/>
      <c r="D23" s="3936" t="s">
        <v>0</v>
      </c>
      <c r="E23" s="3937"/>
      <c r="F23" s="3934">
        <v>15</v>
      </c>
      <c r="G23" s="3935"/>
      <c r="H23" s="3934">
        <v>15</v>
      </c>
      <c r="I23" s="3935"/>
      <c r="J23" s="3934">
        <v>13</v>
      </c>
      <c r="K23" s="3935"/>
      <c r="L23" s="3623"/>
    </row>
    <row r="24" spans="2:12" ht="15.75" customHeight="1">
      <c r="B24" s="3941" t="s">
        <v>3626</v>
      </c>
      <c r="C24" s="3942"/>
      <c r="D24" s="3936">
        <v>13.3</v>
      </c>
      <c r="E24" s="3937"/>
      <c r="F24" s="3936">
        <v>13.6</v>
      </c>
      <c r="G24" s="3937"/>
      <c r="H24" s="3936">
        <v>14.1</v>
      </c>
      <c r="I24" s="3937"/>
      <c r="J24" s="3936">
        <v>12.3</v>
      </c>
      <c r="K24" s="3937"/>
      <c r="L24" s="3623"/>
    </row>
    <row r="25" spans="2:12">
      <c r="B25" s="3629"/>
      <c r="C25" s="3629"/>
      <c r="D25" s="3629"/>
      <c r="E25" s="3629"/>
      <c r="F25" s="3629"/>
      <c r="G25" s="3629"/>
      <c r="H25" s="3629"/>
      <c r="I25" s="3629"/>
      <c r="J25" s="3629"/>
      <c r="K25" s="3629"/>
      <c r="L25" s="3629"/>
    </row>
  </sheetData>
  <mergeCells count="27">
    <mergeCell ref="F4:G4"/>
    <mergeCell ref="H4:I4"/>
    <mergeCell ref="J4:K4"/>
    <mergeCell ref="D2:E2"/>
    <mergeCell ref="F2:G2"/>
    <mergeCell ref="H2:I2"/>
    <mergeCell ref="J2:K2"/>
    <mergeCell ref="D3:E3"/>
    <mergeCell ref="F3:G3"/>
    <mergeCell ref="H3:I3"/>
    <mergeCell ref="J3:K3"/>
    <mergeCell ref="D23:E23"/>
    <mergeCell ref="D24:E24"/>
    <mergeCell ref="B5:C5"/>
    <mergeCell ref="B6:C6"/>
    <mergeCell ref="D4:E4"/>
    <mergeCell ref="B8:B15"/>
    <mergeCell ref="B16:B22"/>
    <mergeCell ref="B2:C4"/>
    <mergeCell ref="B23:C23"/>
    <mergeCell ref="B24:C24"/>
    <mergeCell ref="F23:G23"/>
    <mergeCell ref="F24:G24"/>
    <mergeCell ref="H23:I23"/>
    <mergeCell ref="H24:I24"/>
    <mergeCell ref="J23:K23"/>
    <mergeCell ref="J24:K24"/>
  </mergeCells>
  <phoneticPr fontId="134" type="noConversion"/>
  <conditionalFormatting sqref="G5:G22 I5:I22 K5:K22">
    <cfRule type="cellIs" dxfId="197" priority="1" operator="notEqual">
      <formula>100</formula>
    </cfRule>
  </conditionalFormatting>
  <dataValidations count="9">
    <dataValidation type="list" allowBlank="1" showInputMessage="1" showErrorMessage="1" sqref="D6 F6 H6 J6" xr:uid="{00000000-0002-0000-1000-000000000000}">
      <formula1>商业交易情况</formula1>
    </dataValidation>
    <dataValidation type="list" allowBlank="1" showInputMessage="1" showErrorMessage="1" sqref="D19 F19 H19 J19" xr:uid="{00000000-0002-0000-1000-000001000000}">
      <formula1>商业层高</formula1>
    </dataValidation>
    <dataValidation type="list" allowBlank="1" showInputMessage="1" showErrorMessage="1" sqref="F7 H7 J7" xr:uid="{00000000-0002-0000-1000-000002000000}">
      <formula1>商业用途</formula1>
    </dataValidation>
    <dataValidation type="list" allowBlank="1" showInputMessage="1" showErrorMessage="1" sqref="D22 F22 H22 J22" xr:uid="{00000000-0002-0000-1000-000003000000}">
      <formula1>商业内部装修</formula1>
    </dataValidation>
    <dataValidation type="list" allowBlank="1" showInputMessage="1" showErrorMessage="1" sqref="D21 F21 H21 J21" xr:uid="{00000000-0002-0000-1000-000004000000}">
      <formula1>商业进深比</formula1>
    </dataValidation>
    <dataValidation type="list" allowBlank="1" showInputMessage="1" showErrorMessage="1" sqref="D18 F18 H18 J18" xr:uid="{00000000-0002-0000-1000-000005000000}">
      <formula1>商业基础设施水平</formula1>
    </dataValidation>
    <dataValidation type="list" allowBlank="1" showInputMessage="1" showErrorMessage="1" sqref="D16 F16 H16 J16" xr:uid="{00000000-0002-0000-1000-000006000000}">
      <formula1>商业类型</formula1>
    </dataValidation>
    <dataValidation type="list" allowBlank="1" showInputMessage="1" showErrorMessage="1" sqref="D15 F15 H15 J15" xr:uid="{00000000-0002-0000-1000-000007000000}">
      <formula1>商业楼层</formula1>
    </dataValidation>
    <dataValidation type="list" allowBlank="1" showInputMessage="1" showErrorMessage="1" sqref="D13 F13 H13 J13" xr:uid="{00000000-0002-0000-1000-000008000000}">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tint="-0.249977111117893"/>
    <pageSetUpPr fitToPage="1"/>
  </sheetPr>
  <dimension ref="A1:AC131"/>
  <sheetViews>
    <sheetView view="pageBreakPreview" topLeftCell="A28" zoomScale="80" zoomScaleNormal="70" zoomScaleSheetLayoutView="80" workbookViewId="0">
      <selection activeCell="H45" sqref="H45"/>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3653</v>
      </c>
      <c r="G1" s="3139" t="s">
        <v>1767</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1462</v>
      </c>
      <c r="B2" s="3145">
        <f>IF(E1="项目模式",IF(C2="——",ROUND(C49*D3/10000,0),ROUND(C49*D3/10000,0)-D2),IF(E1="单套模式",IF(C2="——",ROUND(C49*D3/10000,4),ROUND(C49*D3/10000,4)-D2)))</f>
        <v>0.2266</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1464</v>
      </c>
      <c r="B3" s="3157">
        <f>IF(C2="——",C49,ROUND(B2*10000/D3,0))</f>
        <v>6.6</v>
      </c>
      <c r="C3" s="3158" t="s">
        <v>1768</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1769</v>
      </c>
      <c r="B4" s="3163"/>
      <c r="C4" s="3963" t="s">
        <v>1770</v>
      </c>
      <c r="D4" s="3964"/>
      <c r="E4" s="3965" t="s">
        <v>1771</v>
      </c>
      <c r="F4" s="3966"/>
      <c r="G4" s="3963" t="s">
        <v>1772</v>
      </c>
      <c r="H4" s="3964"/>
      <c r="I4" s="3963" t="s">
        <v>1773</v>
      </c>
      <c r="J4" s="3964"/>
      <c r="K4" s="3164" t="s">
        <v>1774</v>
      </c>
      <c r="L4" s="3165"/>
      <c r="M4" s="3166"/>
      <c r="N4" s="3166"/>
      <c r="O4" s="3166"/>
      <c r="P4" s="3967" t="s">
        <v>1775</v>
      </c>
      <c r="Q4" s="3968"/>
      <c r="R4" s="3949" t="s">
        <v>1771</v>
      </c>
      <c r="S4" s="3950"/>
      <c r="T4" s="3949" t="s">
        <v>1772</v>
      </c>
      <c r="U4" s="3950"/>
      <c r="V4" s="3946" t="s">
        <v>1773</v>
      </c>
      <c r="W4" s="3946"/>
      <c r="X4" s="3171"/>
      <c r="Y4" s="3949" t="s">
        <v>1775</v>
      </c>
      <c r="Z4" s="3950"/>
      <c r="AA4" s="3943" t="s">
        <v>1771</v>
      </c>
      <c r="AB4" s="3946" t="s">
        <v>1772</v>
      </c>
      <c r="AC4" s="3943" t="s">
        <v>1773</v>
      </c>
    </row>
    <row r="5" spans="1:29" ht="15">
      <c r="A5" s="3169"/>
      <c r="B5" s="3170"/>
      <c r="C5" s="3955" t="s">
        <v>3627</v>
      </c>
      <c r="D5" s="3956"/>
      <c r="E5" s="3953" t="str">
        <f>案例!B6</f>
        <v>左岸公社</v>
      </c>
      <c r="F5" s="3954"/>
      <c r="G5" s="3955" t="str">
        <f>案例!B7</f>
        <v>中湾国际</v>
      </c>
      <c r="H5" s="3956"/>
      <c r="I5" s="3955" t="str">
        <f>案例!B8</f>
        <v>西屋国际</v>
      </c>
      <c r="J5" s="3956"/>
      <c r="K5" s="3164"/>
      <c r="L5" s="3165"/>
      <c r="M5" s="3166"/>
      <c r="N5" s="3166"/>
      <c r="O5" s="3166"/>
      <c r="P5" s="3969"/>
      <c r="Q5" s="3970"/>
      <c r="R5" s="3951"/>
      <c r="S5" s="3952"/>
      <c r="T5" s="3951"/>
      <c r="U5" s="3952"/>
      <c r="V5" s="3946"/>
      <c r="W5" s="3946"/>
      <c r="X5" s="3171"/>
      <c r="Y5" s="3951"/>
      <c r="Z5" s="3952"/>
      <c r="AA5" s="3944"/>
      <c r="AB5" s="3946"/>
      <c r="AC5" s="3944"/>
    </row>
    <row r="6" spans="1:29" ht="15.75" thickBot="1">
      <c r="A6" s="3172"/>
      <c r="B6" s="3173"/>
      <c r="C6" s="3957" t="s">
        <v>3628</v>
      </c>
      <c r="D6" s="3958"/>
      <c r="E6" s="3959" t="str">
        <f>案例!C6</f>
        <v>海淀区北四环西路68号</v>
      </c>
      <c r="F6" s="3960"/>
      <c r="G6" s="3957" t="str">
        <f>案例!C7</f>
        <v>海淀区彩和坊小街1号</v>
      </c>
      <c r="H6" s="3958"/>
      <c r="I6" s="3957" t="str">
        <f>案例!C8</f>
        <v>海淀区苏州街12号</v>
      </c>
      <c r="J6" s="3958"/>
      <c r="K6" s="3164" t="s">
        <v>1678</v>
      </c>
      <c r="L6" s="3165"/>
      <c r="M6" s="3166"/>
      <c r="N6" s="3166"/>
      <c r="O6" s="3166"/>
      <c r="P6" s="3971"/>
      <c r="Q6" s="3972"/>
      <c r="R6" s="3951"/>
      <c r="S6" s="3952"/>
      <c r="T6" s="3973"/>
      <c r="U6" s="3974"/>
      <c r="V6" s="3946"/>
      <c r="W6" s="3946"/>
      <c r="X6" s="3171"/>
      <c r="Y6" s="3973"/>
      <c r="Z6" s="3974"/>
      <c r="AA6" s="3945"/>
      <c r="AB6" s="3946"/>
      <c r="AC6" s="3945"/>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47" t="s">
        <v>1680</v>
      </c>
      <c r="Q7" s="3975"/>
      <c r="R7" s="3180" t="s">
        <v>14</v>
      </c>
      <c r="S7" s="3181">
        <f t="shared" ref="S7:S15" si="0">F7</f>
        <v>100</v>
      </c>
      <c r="T7" s="3180" t="s">
        <v>14</v>
      </c>
      <c r="U7" s="3181">
        <f t="shared" ref="U7:U15" si="1">H7</f>
        <v>100</v>
      </c>
      <c r="V7" s="3180" t="s">
        <v>14</v>
      </c>
      <c r="W7" s="3181">
        <f t="shared" ref="W7:W15" si="2">J7</f>
        <v>100</v>
      </c>
      <c r="X7" s="3182"/>
      <c r="Y7" s="3947" t="s">
        <v>1680</v>
      </c>
      <c r="Z7" s="3948"/>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47" t="s">
        <v>1683</v>
      </c>
      <c r="Q8" s="3948"/>
      <c r="R8" s="3180" t="s">
        <v>14</v>
      </c>
      <c r="S8" s="3181">
        <f t="shared" si="0"/>
        <v>100</v>
      </c>
      <c r="T8" s="3180" t="s">
        <v>14</v>
      </c>
      <c r="U8" s="3181">
        <f t="shared" si="1"/>
        <v>100</v>
      </c>
      <c r="V8" s="3180" t="s">
        <v>14</v>
      </c>
      <c r="W8" s="3181">
        <f t="shared" si="2"/>
        <v>100</v>
      </c>
      <c r="X8" s="3182"/>
      <c r="Y8" s="3947" t="s">
        <v>1683</v>
      </c>
      <c r="Z8" s="3948"/>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1" t="s">
        <v>1686</v>
      </c>
      <c r="Q9" s="3193" t="str">
        <f t="shared" ref="Q9:Q15" si="6">B9</f>
        <v>用途</v>
      </c>
      <c r="R9" s="3180" t="s">
        <v>14</v>
      </c>
      <c r="S9" s="3181">
        <f t="shared" si="0"/>
        <v>100</v>
      </c>
      <c r="T9" s="3180" t="s">
        <v>14</v>
      </c>
      <c r="U9" s="3181">
        <f t="shared" si="1"/>
        <v>100</v>
      </c>
      <c r="V9" s="3180" t="s">
        <v>14</v>
      </c>
      <c r="W9" s="3181">
        <f t="shared" si="2"/>
        <v>100</v>
      </c>
      <c r="X9" s="3182"/>
      <c r="Y9" s="3962"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1"/>
      <c r="Q10" s="3193" t="str">
        <f t="shared" si="6"/>
        <v>土地使用年限（年）</v>
      </c>
      <c r="R10" s="3180" t="s">
        <v>14</v>
      </c>
      <c r="S10" s="3181">
        <f t="shared" si="0"/>
        <v>100</v>
      </c>
      <c r="T10" s="3180" t="s">
        <v>14</v>
      </c>
      <c r="U10" s="3181">
        <f t="shared" si="1"/>
        <v>100</v>
      </c>
      <c r="V10" s="3180" t="s">
        <v>14</v>
      </c>
      <c r="W10" s="3181">
        <f t="shared" si="2"/>
        <v>100</v>
      </c>
      <c r="X10" s="3182"/>
      <c r="Y10" s="3962"/>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1"/>
      <c r="Q11" s="3193" t="str">
        <f t="shared" si="6"/>
        <v>容积率</v>
      </c>
      <c r="R11" s="3180" t="s">
        <v>14</v>
      </c>
      <c r="S11" s="3181">
        <f t="shared" si="0"/>
        <v>100</v>
      </c>
      <c r="T11" s="3180" t="s">
        <v>14</v>
      </c>
      <c r="U11" s="3181">
        <f t="shared" si="1"/>
        <v>100</v>
      </c>
      <c r="V11" s="3180" t="s">
        <v>14</v>
      </c>
      <c r="W11" s="3181">
        <f t="shared" si="2"/>
        <v>100</v>
      </c>
      <c r="X11" s="3182"/>
      <c r="Y11" s="3962"/>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1"/>
      <c r="Q12" s="3193">
        <f t="shared" si="6"/>
        <v>111</v>
      </c>
      <c r="R12" s="3180" t="s">
        <v>14</v>
      </c>
      <c r="S12" s="3181">
        <f t="shared" si="0"/>
        <v>100</v>
      </c>
      <c r="T12" s="3180" t="s">
        <v>14</v>
      </c>
      <c r="U12" s="3181">
        <f t="shared" si="1"/>
        <v>100</v>
      </c>
      <c r="V12" s="3180" t="s">
        <v>14</v>
      </c>
      <c r="W12" s="3181">
        <f t="shared" si="2"/>
        <v>100</v>
      </c>
      <c r="X12" s="3182"/>
      <c r="Y12" s="3962"/>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1"/>
      <c r="Q13" s="3193">
        <f t="shared" si="6"/>
        <v>111</v>
      </c>
      <c r="R13" s="3180" t="s">
        <v>14</v>
      </c>
      <c r="S13" s="3181">
        <f t="shared" si="0"/>
        <v>100</v>
      </c>
      <c r="T13" s="3180" t="s">
        <v>14</v>
      </c>
      <c r="U13" s="3181">
        <f t="shared" si="1"/>
        <v>100</v>
      </c>
      <c r="V13" s="3180" t="s">
        <v>14</v>
      </c>
      <c r="W13" s="3181">
        <f t="shared" si="2"/>
        <v>100</v>
      </c>
      <c r="X13" s="3182"/>
      <c r="Y13" s="3962"/>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1"/>
      <c r="Q14" s="3193">
        <f t="shared" si="6"/>
        <v>111</v>
      </c>
      <c r="R14" s="3180" t="s">
        <v>14</v>
      </c>
      <c r="S14" s="3181">
        <f t="shared" si="0"/>
        <v>100</v>
      </c>
      <c r="T14" s="3180" t="s">
        <v>14</v>
      </c>
      <c r="U14" s="3181">
        <f t="shared" si="1"/>
        <v>100</v>
      </c>
      <c r="V14" s="3180" t="s">
        <v>14</v>
      </c>
      <c r="W14" s="3181">
        <f t="shared" si="2"/>
        <v>100</v>
      </c>
      <c r="X14" s="3182"/>
      <c r="Y14" s="3962"/>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3657</v>
      </c>
      <c r="H15" s="3222">
        <f>SUMIF(76:76,G16,77:77)-SUMIF(76:76,C16,77:77)+100</f>
        <v>100</v>
      </c>
      <c r="I15" s="3224" t="str">
        <f>G15</f>
        <v>估价对象附近有领展购物广场（中关村店）、新中关购物中心等商场，周边商业氛围较成熟，人流量较大，商业繁华度较好</v>
      </c>
      <c r="J15" s="3222">
        <f>SUMIF(76:76,I16,77:77)-SUMIF(76:76,C16,77:77)+100</f>
        <v>100</v>
      </c>
      <c r="K15" s="3225">
        <v>2</v>
      </c>
      <c r="L15" s="3213"/>
      <c r="M15" s="3166"/>
      <c r="N15" s="3166"/>
      <c r="O15" s="3166"/>
      <c r="P15" s="3976" t="s">
        <v>1691</v>
      </c>
      <c r="Q15" s="3226" t="str">
        <f t="shared" si="6"/>
        <v>商业繁华度</v>
      </c>
      <c r="R15" s="3227" t="s">
        <v>14</v>
      </c>
      <c r="S15" s="3228">
        <f t="shared" si="0"/>
        <v>100</v>
      </c>
      <c r="T15" s="3227" t="s">
        <v>14</v>
      </c>
      <c r="U15" s="3228">
        <f t="shared" si="1"/>
        <v>100</v>
      </c>
      <c r="V15" s="3227" t="s">
        <v>14</v>
      </c>
      <c r="W15" s="3228">
        <f t="shared" si="2"/>
        <v>100</v>
      </c>
      <c r="X15" s="3171"/>
      <c r="Y15" s="3978" t="s">
        <v>1691</v>
      </c>
      <c r="Z15" s="3229" t="str">
        <f t="shared" si="7"/>
        <v>商业繁华度</v>
      </c>
      <c r="AA15" s="3229">
        <f t="shared" si="3"/>
        <v>1</v>
      </c>
      <c r="AB15" s="3229">
        <f t="shared" si="4"/>
        <v>1</v>
      </c>
      <c r="AC15" s="3229">
        <f t="shared" si="5"/>
        <v>1</v>
      </c>
    </row>
    <row r="16" spans="1:29" ht="15">
      <c r="A16" s="3202"/>
      <c r="B16" s="3286"/>
      <c r="C16" s="3234" t="s">
        <v>3516</v>
      </c>
      <c r="D16" s="3233"/>
      <c r="E16" s="3831" t="s">
        <v>3516</v>
      </c>
      <c r="F16" s="3435"/>
      <c r="G16" s="3234" t="s">
        <v>3516</v>
      </c>
      <c r="H16" s="3235"/>
      <c r="I16" s="3234" t="s">
        <v>3516</v>
      </c>
      <c r="J16" s="3233"/>
      <c r="K16" s="3236"/>
      <c r="L16" s="3213"/>
      <c r="M16" s="3166"/>
      <c r="N16" s="3166"/>
      <c r="O16" s="3166"/>
      <c r="P16" s="3977"/>
      <c r="Q16" s="3226"/>
      <c r="R16" s="3227"/>
      <c r="S16" s="3228"/>
      <c r="T16" s="3227"/>
      <c r="U16" s="3228"/>
      <c r="V16" s="3227"/>
      <c r="W16" s="3228"/>
      <c r="X16" s="3171"/>
      <c r="Y16" s="3979"/>
      <c r="Z16" s="3229"/>
      <c r="AA16" s="3229">
        <v>1</v>
      </c>
      <c r="AB16" s="3229">
        <v>1</v>
      </c>
      <c r="AC16" s="3229">
        <v>1</v>
      </c>
    </row>
    <row r="17" spans="1:29" ht="214.5" customHeight="1">
      <c r="A17" s="3202"/>
      <c r="B17" s="3436" t="s">
        <v>1259</v>
      </c>
      <c r="C17" s="3437"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3648</v>
      </c>
      <c r="F17" s="3438">
        <f>SUMIF(78:78,E18,79:79)-SUMIF(78:78,C18,79:79)+100</f>
        <v>100</v>
      </c>
      <c r="G17" s="3239" t="s">
        <v>3658</v>
      </c>
      <c r="H17" s="3241">
        <f>SUMIF(78:78,G18,79:79)-SUMIF(78:78,C18,79:79)+100</f>
        <v>100</v>
      </c>
      <c r="I17" s="3240" t="str">
        <f>G17</f>
        <v>估价对象周边估价对象紧邻城市支路—丹棱街，临近地铁10号线苏州街站、地铁16号线万泉河桥站，周围有26路、302路、374路、424路、450路等十余条公交线路，公共交通交便捷；周边停车充足，综合评价交通便捷度好</v>
      </c>
      <c r="J17" s="3241">
        <f>SUMIF(78:78,I18,79:79)-SUMIF(78:78,C18,79:79)+100</f>
        <v>100</v>
      </c>
      <c r="K17" s="3225">
        <v>2</v>
      </c>
      <c r="L17" s="3213"/>
      <c r="M17" s="3166"/>
      <c r="N17" s="3166"/>
      <c r="O17" s="3166"/>
      <c r="P17" s="3977"/>
      <c r="Q17" s="3226" t="str">
        <f>B17</f>
        <v>交通便捷度</v>
      </c>
      <c r="R17" s="3227" t="s">
        <v>14</v>
      </c>
      <c r="S17" s="3228">
        <f>F17</f>
        <v>100</v>
      </c>
      <c r="T17" s="3227" t="s">
        <v>14</v>
      </c>
      <c r="U17" s="3228">
        <f>H17</f>
        <v>100</v>
      </c>
      <c r="V17" s="3227" t="s">
        <v>14</v>
      </c>
      <c r="W17" s="3228">
        <f>J17</f>
        <v>100</v>
      </c>
      <c r="X17" s="3171"/>
      <c r="Y17" s="3979"/>
      <c r="Z17" s="3229" t="str">
        <f>Q17</f>
        <v>交通便捷度</v>
      </c>
      <c r="AA17" s="3229">
        <f t="shared" si="3"/>
        <v>1</v>
      </c>
      <c r="AB17" s="3229">
        <f t="shared" si="4"/>
        <v>1</v>
      </c>
      <c r="AC17" s="3229">
        <f t="shared" si="5"/>
        <v>1</v>
      </c>
    </row>
    <row r="18" spans="1:29" ht="15">
      <c r="A18" s="3202"/>
      <c r="B18" s="3439"/>
      <c r="C18" s="3244" t="s">
        <v>3517</v>
      </c>
      <c r="D18" s="3235"/>
      <c r="E18" s="3243" t="s">
        <v>3517</v>
      </c>
      <c r="F18" s="3438"/>
      <c r="G18" s="3244" t="s">
        <v>3517</v>
      </c>
      <c r="H18" s="3233"/>
      <c r="I18" s="3243" t="s">
        <v>3517</v>
      </c>
      <c r="J18" s="3233"/>
      <c r="K18" s="3236"/>
      <c r="L18" s="3213"/>
      <c r="M18" s="3166"/>
      <c r="N18" s="3166"/>
      <c r="O18" s="3166"/>
      <c r="P18" s="3977"/>
      <c r="Q18" s="3226"/>
      <c r="R18" s="3227"/>
      <c r="S18" s="3228"/>
      <c r="T18" s="3227"/>
      <c r="U18" s="3228"/>
      <c r="V18" s="3227"/>
      <c r="W18" s="3228"/>
      <c r="X18" s="3171"/>
      <c r="Y18" s="3979"/>
      <c r="Z18" s="3229"/>
      <c r="AA18" s="3229">
        <v>1</v>
      </c>
      <c r="AB18" s="3229">
        <v>1</v>
      </c>
      <c r="AC18" s="3229">
        <v>1</v>
      </c>
    </row>
    <row r="19" spans="1:29" ht="333" customHeight="1">
      <c r="A19" s="3202"/>
      <c r="B19" s="3436" t="s">
        <v>1778</v>
      </c>
      <c r="C19" s="3437"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440">
        <f>SUMIF(80:80,E20,81:81)-SUMIF(80:80,C20,81:81)+100</f>
        <v>100</v>
      </c>
      <c r="G19" s="3837" t="s">
        <v>3659</v>
      </c>
      <c r="H19" s="3235">
        <f>SUMIF(80:80,G20,81:81)-SUMIF(80:80,C20,81:81)+100</f>
        <v>100</v>
      </c>
      <c r="I19" s="3246"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77"/>
      <c r="Q19" s="3226" t="str">
        <f>B19</f>
        <v>公共配套设施</v>
      </c>
      <c r="R19" s="3227" t="s">
        <v>14</v>
      </c>
      <c r="S19" s="3228">
        <f>F19</f>
        <v>100</v>
      </c>
      <c r="T19" s="3227" t="s">
        <v>14</v>
      </c>
      <c r="U19" s="3228">
        <f>H19</f>
        <v>100</v>
      </c>
      <c r="V19" s="3227" t="s">
        <v>14</v>
      </c>
      <c r="W19" s="3228">
        <f>J19</f>
        <v>100</v>
      </c>
      <c r="X19" s="3171"/>
      <c r="Y19" s="3979"/>
      <c r="Z19" s="3229" t="str">
        <f>Q19</f>
        <v>公共配套设施</v>
      </c>
      <c r="AA19" s="3229">
        <f t="shared" si="3"/>
        <v>1</v>
      </c>
      <c r="AB19" s="3229">
        <f t="shared" si="4"/>
        <v>1</v>
      </c>
      <c r="AC19" s="3229">
        <f t="shared" si="5"/>
        <v>1</v>
      </c>
    </row>
    <row r="20" spans="1:29" ht="15">
      <c r="A20" s="3202"/>
      <c r="B20" s="3439"/>
      <c r="C20" s="3234" t="s">
        <v>3517</v>
      </c>
      <c r="D20" s="3233"/>
      <c r="E20" s="3232" t="s">
        <v>3517</v>
      </c>
      <c r="F20" s="3435"/>
      <c r="G20" s="3234" t="s">
        <v>3517</v>
      </c>
      <c r="H20" s="3233"/>
      <c r="I20" s="3232" t="s">
        <v>3517</v>
      </c>
      <c r="J20" s="3233"/>
      <c r="K20" s="3236"/>
      <c r="L20" s="3213"/>
      <c r="M20" s="3166"/>
      <c r="N20" s="3166"/>
      <c r="O20" s="3166"/>
      <c r="P20" s="3977"/>
      <c r="Q20" s="3226"/>
      <c r="R20" s="3227"/>
      <c r="S20" s="3228"/>
      <c r="T20" s="3227"/>
      <c r="U20" s="3228"/>
      <c r="V20" s="3227"/>
      <c r="W20" s="3228"/>
      <c r="X20" s="3171"/>
      <c r="Y20" s="3979"/>
      <c r="Z20" s="3229"/>
      <c r="AA20" s="3229">
        <v>1</v>
      </c>
      <c r="AB20" s="3229">
        <v>1</v>
      </c>
      <c r="AC20" s="3229">
        <v>1</v>
      </c>
    </row>
    <row r="21" spans="1:29" ht="15">
      <c r="A21" s="3202"/>
      <c r="B21" s="3441" t="s">
        <v>1779</v>
      </c>
      <c r="C21" s="3437" t="str">
        <f>估价对象房地状况!C8</f>
        <v>七通</v>
      </c>
      <c r="D21" s="3241">
        <v>100</v>
      </c>
      <c r="E21" s="3246"/>
      <c r="F21" s="3440">
        <f>SUMIF(82:82,E22,83:83)-SUMIF(82:82,C22,83:83)+100</f>
        <v>100</v>
      </c>
      <c r="G21" s="3245"/>
      <c r="H21" s="3235">
        <f>SUMIF(82:82,G22,83:83)-SUMIF(82:82,C22,83:83)+100</f>
        <v>100</v>
      </c>
      <c r="I21" s="3246"/>
      <c r="J21" s="3235">
        <f>SUMIF(82:82,I22,83:83)-SUMIF(82:82,C22,83:83)+100</f>
        <v>100</v>
      </c>
      <c r="K21" s="3225">
        <v>2</v>
      </c>
      <c r="L21" s="3213"/>
      <c r="M21" s="3166"/>
      <c r="N21" s="3166"/>
      <c r="O21" s="3166"/>
      <c r="P21" s="3977"/>
      <c r="Q21" s="3226" t="str">
        <f>B21</f>
        <v>基础设施水平</v>
      </c>
      <c r="R21" s="3227" t="s">
        <v>14</v>
      </c>
      <c r="S21" s="3228">
        <f>F21</f>
        <v>100</v>
      </c>
      <c r="T21" s="3227" t="s">
        <v>14</v>
      </c>
      <c r="U21" s="3228">
        <f>H21</f>
        <v>100</v>
      </c>
      <c r="V21" s="3227" t="s">
        <v>14</v>
      </c>
      <c r="W21" s="3228">
        <f>J21</f>
        <v>100</v>
      </c>
      <c r="X21" s="3171"/>
      <c r="Y21" s="3979"/>
      <c r="Z21" s="3229" t="str">
        <f>Q21</f>
        <v>基础设施水平</v>
      </c>
      <c r="AA21" s="3229">
        <f t="shared" ref="AA21" si="8">D21/F21</f>
        <v>1</v>
      </c>
      <c r="AB21" s="3229">
        <f t="shared" ref="AB21" si="9">D21/H21</f>
        <v>1</v>
      </c>
      <c r="AC21" s="3229">
        <f t="shared" ref="AC21" si="10">D21/J21</f>
        <v>1</v>
      </c>
    </row>
    <row r="22" spans="1:29" ht="15">
      <c r="A22" s="3202"/>
      <c r="B22" s="3441"/>
      <c r="C22" s="3244" t="s">
        <v>3514</v>
      </c>
      <c r="D22" s="3233"/>
      <c r="E22" s="3234" t="s">
        <v>3514</v>
      </c>
      <c r="F22" s="3435"/>
      <c r="G22" s="3234" t="s">
        <v>3514</v>
      </c>
      <c r="H22" s="3233"/>
      <c r="I22" s="3234" t="s">
        <v>3514</v>
      </c>
      <c r="J22" s="3233"/>
      <c r="K22" s="3248"/>
      <c r="L22" s="3213"/>
      <c r="M22" s="3166"/>
      <c r="N22" s="3166"/>
      <c r="O22" s="3166"/>
      <c r="P22" s="3977"/>
      <c r="Q22" s="3226"/>
      <c r="R22" s="3227"/>
      <c r="S22" s="3228"/>
      <c r="T22" s="3227"/>
      <c r="U22" s="3228"/>
      <c r="V22" s="3227"/>
      <c r="W22" s="3228"/>
      <c r="X22" s="3171"/>
      <c r="Y22" s="3979"/>
      <c r="Z22" s="3229"/>
      <c r="AA22" s="3229">
        <v>1</v>
      </c>
      <c r="AB22" s="3229">
        <v>1</v>
      </c>
      <c r="AC22" s="3229">
        <v>1</v>
      </c>
    </row>
    <row r="23" spans="1:29" ht="128.25">
      <c r="A23" s="3202"/>
      <c r="B23" s="3436" t="s">
        <v>1261</v>
      </c>
      <c r="C23" s="3437" t="str">
        <f>估价对象房地状况!C9</f>
        <v xml:space="preserve">自然环境：万泉河等自然景观；
人文环境：中国人民大学等人文场所；
综合评价自然及人文环境状况较好。
</v>
      </c>
      <c r="D23" s="3235">
        <v>100</v>
      </c>
      <c r="E23" s="3833" t="s">
        <v>3650</v>
      </c>
      <c r="F23" s="3438">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77"/>
      <c r="Q23" s="3226" t="str">
        <f>B23</f>
        <v>自然及人文环境</v>
      </c>
      <c r="R23" s="3227" t="s">
        <v>14</v>
      </c>
      <c r="S23" s="3228">
        <f>F23</f>
        <v>100</v>
      </c>
      <c r="T23" s="3227" t="s">
        <v>14</v>
      </c>
      <c r="U23" s="3228">
        <f>H23</f>
        <v>100</v>
      </c>
      <c r="V23" s="3227" t="s">
        <v>14</v>
      </c>
      <c r="W23" s="3228">
        <f>J23</f>
        <v>100</v>
      </c>
      <c r="X23" s="3171"/>
      <c r="Y23" s="3979"/>
      <c r="Z23" s="3229" t="str">
        <f>Q23</f>
        <v>自然及人文环境</v>
      </c>
      <c r="AA23" s="3229">
        <f t="shared" si="3"/>
        <v>1</v>
      </c>
      <c r="AB23" s="3229">
        <f t="shared" si="4"/>
        <v>1</v>
      </c>
      <c r="AC23" s="3229">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77"/>
      <c r="Q24" s="3226"/>
      <c r="R24" s="3227"/>
      <c r="S24" s="3228"/>
      <c r="T24" s="3227"/>
      <c r="U24" s="3228"/>
      <c r="V24" s="3227"/>
      <c r="W24" s="3228"/>
      <c r="X24" s="3171"/>
      <c r="Y24" s="3979"/>
      <c r="Z24" s="3229"/>
      <c r="AA24" s="3229">
        <v>1</v>
      </c>
      <c r="AB24" s="3229">
        <v>1</v>
      </c>
      <c r="AC24" s="3229">
        <v>1</v>
      </c>
    </row>
    <row r="25" spans="1:29" ht="15">
      <c r="A25" s="3202"/>
      <c r="B25" s="3195" t="s">
        <v>1780</v>
      </c>
      <c r="C25" s="3252" t="s">
        <v>3530</v>
      </c>
      <c r="D25" s="3212">
        <v>100</v>
      </c>
      <c r="E25" s="3835" t="s">
        <v>3530</v>
      </c>
      <c r="F25" s="3261">
        <f>SUMIF(86:86,E25,87:87)-SUMIF(86:86,C25,87:87)+100</f>
        <v>100</v>
      </c>
      <c r="G25" s="3835" t="s">
        <v>3530</v>
      </c>
      <c r="H25" s="3212">
        <f>SUMIF(86:86,G25,87:87)-SUMIF(86:86,C25,87:87)+100</f>
        <v>100</v>
      </c>
      <c r="I25" s="3252" t="s">
        <v>3529</v>
      </c>
      <c r="J25" s="3212">
        <f>SUMIF(86:86,I25,87:87)-SUMIF(86:86,C25,87:87)+100</f>
        <v>102</v>
      </c>
      <c r="K25" s="3203">
        <v>2</v>
      </c>
      <c r="L25" s="3213"/>
      <c r="M25" s="3166"/>
      <c r="N25" s="3166"/>
      <c r="O25" s="3166"/>
      <c r="P25" s="3977"/>
      <c r="Q25" s="3226" t="str">
        <f t="shared" ref="Q25:Q46" si="11">B25</f>
        <v>临街状况</v>
      </c>
      <c r="R25" s="3227" t="s">
        <v>14</v>
      </c>
      <c r="S25" s="3228">
        <f>F25</f>
        <v>100</v>
      </c>
      <c r="T25" s="3227" t="s">
        <v>14</v>
      </c>
      <c r="U25" s="3228">
        <f>H25</f>
        <v>100</v>
      </c>
      <c r="V25" s="3227" t="s">
        <v>14</v>
      </c>
      <c r="W25" s="3228">
        <f>J25</f>
        <v>102</v>
      </c>
      <c r="X25" s="3171"/>
      <c r="Y25" s="3979"/>
      <c r="Z25" s="3229" t="str">
        <f>Q25</f>
        <v>临街状况</v>
      </c>
      <c r="AA25" s="3229">
        <f t="shared" si="3"/>
        <v>1</v>
      </c>
      <c r="AB25" s="3229">
        <f t="shared" si="4"/>
        <v>1</v>
      </c>
      <c r="AC25" s="3229">
        <f t="shared" si="5"/>
        <v>0.98039215686274506</v>
      </c>
    </row>
    <row r="26" spans="1:29" ht="15">
      <c r="A26" s="3202"/>
      <c r="B26" s="3442" t="s">
        <v>1781</v>
      </c>
      <c r="C26" s="3250" t="s">
        <v>3634</v>
      </c>
      <c r="D26" s="3212">
        <v>100</v>
      </c>
      <c r="E26" s="3250" t="s">
        <v>3547</v>
      </c>
      <c r="F26" s="3261">
        <f>SUMIF(88:88,E26,89:89)-SUMIF(88:88,C26,89:89)+100</f>
        <v>100</v>
      </c>
      <c r="G26" s="3250" t="s">
        <v>3547</v>
      </c>
      <c r="H26" s="3212">
        <f>SUMIF(88:88,G26,89:89)-SUMIF(88:88,C26,89:89)+100</f>
        <v>100</v>
      </c>
      <c r="I26" s="3250" t="s">
        <v>3520</v>
      </c>
      <c r="J26" s="3212">
        <f>SUMIF(88:88,I26,89:89)-SUMIF(88:88,C26,89:89)+100</f>
        <v>103</v>
      </c>
      <c r="K26" s="3210"/>
      <c r="L26" s="3213"/>
      <c r="M26" s="3166"/>
      <c r="N26" s="3166"/>
      <c r="O26" s="3166"/>
      <c r="P26" s="3977"/>
      <c r="Q26" s="3226" t="str">
        <f t="shared" si="11"/>
        <v>平面位置/可视性</v>
      </c>
      <c r="R26" s="3227" t="s">
        <v>14</v>
      </c>
      <c r="S26" s="3228">
        <f>F26</f>
        <v>100</v>
      </c>
      <c r="T26" s="3227" t="s">
        <v>14</v>
      </c>
      <c r="U26" s="3228">
        <f>H26</f>
        <v>100</v>
      </c>
      <c r="V26" s="3227" t="s">
        <v>14</v>
      </c>
      <c r="W26" s="3228">
        <f>J26</f>
        <v>103</v>
      </c>
      <c r="X26" s="3171"/>
      <c r="Y26" s="3979"/>
      <c r="Z26" s="3229" t="str">
        <f>Q26</f>
        <v>平面位置/可视性</v>
      </c>
      <c r="AA26" s="3229">
        <f t="shared" si="3"/>
        <v>1</v>
      </c>
      <c r="AB26" s="3229">
        <f t="shared" si="4"/>
        <v>1</v>
      </c>
      <c r="AC26" s="3229">
        <f t="shared" si="5"/>
        <v>0.970873786407767</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77"/>
      <c r="Q27" s="3193" t="str">
        <f t="shared" si="11"/>
        <v>人流量</v>
      </c>
      <c r="R27" s="3180" t="s">
        <v>14</v>
      </c>
      <c r="S27" s="3181">
        <f>F27</f>
        <v>100</v>
      </c>
      <c r="T27" s="3180" t="s">
        <v>14</v>
      </c>
      <c r="U27" s="3181">
        <f>H27</f>
        <v>100</v>
      </c>
      <c r="V27" s="3180" t="s">
        <v>14</v>
      </c>
      <c r="W27" s="3181">
        <f>J27</f>
        <v>100</v>
      </c>
      <c r="X27" s="3182"/>
      <c r="Y27" s="3979"/>
      <c r="Z27" s="3183" t="str">
        <f>Q27</f>
        <v>人流量</v>
      </c>
      <c r="AA27" s="3229">
        <f>D27/F27</f>
        <v>1</v>
      </c>
      <c r="AB27" s="3229">
        <f>D27/H27</f>
        <v>1</v>
      </c>
      <c r="AC27" s="3229">
        <f>D27/J27</f>
        <v>1</v>
      </c>
    </row>
    <row r="28" spans="1:29" ht="15">
      <c r="A28" s="3202"/>
      <c r="B28" s="3195" t="s">
        <v>1783</v>
      </c>
      <c r="C28" s="3252" t="s">
        <v>3519</v>
      </c>
      <c r="D28" s="3212">
        <v>100</v>
      </c>
      <c r="E28" s="3252" t="s">
        <v>3652</v>
      </c>
      <c r="F28" s="3261">
        <f>SUMIF(92:92,E28,93:93)-SUMIF(92:92,C28,93:93)+100</f>
        <v>90</v>
      </c>
      <c r="G28" s="3252" t="s">
        <v>3652</v>
      </c>
      <c r="H28" s="3212">
        <f>SUMIF(92:92,G28,93:93)-SUMIF(92:92,C28,93:93)+100</f>
        <v>90</v>
      </c>
      <c r="I28" s="3252" t="s">
        <v>3519</v>
      </c>
      <c r="J28" s="3212">
        <f>SUMIF(92:92,I28,93:93)-SUMIF(92:92,C28,93:93)+100</f>
        <v>100</v>
      </c>
      <c r="K28" s="3210"/>
      <c r="L28" s="3213"/>
      <c r="M28" s="3166"/>
      <c r="N28" s="3166"/>
      <c r="O28" s="3166"/>
      <c r="P28" s="3977"/>
      <c r="Q28" s="3226" t="str">
        <f t="shared" si="11"/>
        <v>楼层</v>
      </c>
      <c r="R28" s="3227" t="s">
        <v>14</v>
      </c>
      <c r="S28" s="3228">
        <f t="shared" ref="S28:S46" si="12">F28</f>
        <v>90</v>
      </c>
      <c r="T28" s="3227" t="s">
        <v>14</v>
      </c>
      <c r="U28" s="3228">
        <f t="shared" ref="U28:U46" si="13">H28</f>
        <v>90</v>
      </c>
      <c r="V28" s="3227" t="s">
        <v>14</v>
      </c>
      <c r="W28" s="3228">
        <f t="shared" ref="W28:W46" si="14">J28</f>
        <v>100</v>
      </c>
      <c r="X28" s="3171"/>
      <c r="Y28" s="3979"/>
      <c r="Z28" s="3229" t="str">
        <f t="shared" ref="Z28:Z46" si="15">Q28</f>
        <v>楼层</v>
      </c>
      <c r="AA28" s="3229">
        <f t="shared" si="3"/>
        <v>1.1111111111111112</v>
      </c>
      <c r="AB28" s="3229">
        <f t="shared" si="4"/>
        <v>1.1111111111111112</v>
      </c>
      <c r="AC28" s="3229">
        <f t="shared" si="5"/>
        <v>1</v>
      </c>
    </row>
    <row r="29" spans="1:29" ht="15">
      <c r="A29" s="3202"/>
      <c r="B29" s="3274">
        <v>111</v>
      </c>
      <c r="C29" s="3211"/>
      <c r="D29" s="3212">
        <v>100</v>
      </c>
      <c r="E29" s="3211"/>
      <c r="F29" s="3261">
        <f>SUMIF(94:94,E29,95:95)-SUMIF(94:94,C29,95:95)+100</f>
        <v>100</v>
      </c>
      <c r="G29" s="3211"/>
      <c r="H29" s="3212">
        <f>SUMIF(94:94,G29,95:95)-SUMIF(94:94,C29,95:95)+100</f>
        <v>100</v>
      </c>
      <c r="I29" s="3211"/>
      <c r="J29" s="3212">
        <f>SUMIF(94:94,I29,95:95)-SUMIF(94:94,C29,95:95)+100</f>
        <v>100</v>
      </c>
      <c r="K29" s="3210"/>
      <c r="L29" s="3213"/>
      <c r="M29" s="3166"/>
      <c r="N29" s="3166"/>
      <c r="O29" s="3166"/>
      <c r="P29" s="3977"/>
      <c r="Q29" s="3226">
        <f t="shared" si="11"/>
        <v>111</v>
      </c>
      <c r="R29" s="3227" t="s">
        <v>14</v>
      </c>
      <c r="S29" s="3228">
        <f t="shared" si="12"/>
        <v>100</v>
      </c>
      <c r="T29" s="3227" t="s">
        <v>14</v>
      </c>
      <c r="U29" s="3228">
        <f t="shared" si="13"/>
        <v>100</v>
      </c>
      <c r="V29" s="3227" t="s">
        <v>14</v>
      </c>
      <c r="W29" s="3228">
        <f t="shared" si="14"/>
        <v>100</v>
      </c>
      <c r="X29" s="3171"/>
      <c r="Y29" s="3979"/>
      <c r="Z29" s="3229">
        <f t="shared" si="15"/>
        <v>111</v>
      </c>
      <c r="AA29" s="3229">
        <f t="shared" si="3"/>
        <v>1</v>
      </c>
      <c r="AB29" s="3229">
        <f t="shared" si="4"/>
        <v>1</v>
      </c>
      <c r="AC29" s="3229">
        <f t="shared" si="5"/>
        <v>1</v>
      </c>
    </row>
    <row r="30" spans="1:29" ht="15">
      <c r="A30" s="3202"/>
      <c r="B30" s="3274">
        <v>111</v>
      </c>
      <c r="C30" s="3211"/>
      <c r="D30" s="3212">
        <v>100</v>
      </c>
      <c r="E30" s="3211"/>
      <c r="F30" s="3261">
        <f>SUMIF(96:96,E30,97:97)-SUMIF(96:96,C30,97:97)+100</f>
        <v>100</v>
      </c>
      <c r="G30" s="3211"/>
      <c r="H30" s="3212">
        <f>SUMIF(96:96,G30,97:97)-SUMIF(96:96,C30,97:97)+100</f>
        <v>100</v>
      </c>
      <c r="I30" s="3211"/>
      <c r="J30" s="3212">
        <f>SUMIF(96:96,I30,97:97)-SUMIF(96:96,C30,97:97)+100</f>
        <v>100</v>
      </c>
      <c r="K30" s="3210"/>
      <c r="L30" s="3213"/>
      <c r="M30" s="3166"/>
      <c r="N30" s="3166"/>
      <c r="O30" s="3166"/>
      <c r="P30" s="3977"/>
      <c r="Q30" s="3226">
        <f t="shared" si="11"/>
        <v>111</v>
      </c>
      <c r="R30" s="3227" t="s">
        <v>14</v>
      </c>
      <c r="S30" s="3228">
        <f t="shared" si="12"/>
        <v>100</v>
      </c>
      <c r="T30" s="3227" t="s">
        <v>14</v>
      </c>
      <c r="U30" s="3228">
        <f t="shared" si="13"/>
        <v>100</v>
      </c>
      <c r="V30" s="3227" t="s">
        <v>14</v>
      </c>
      <c r="W30" s="3228">
        <f t="shared" si="14"/>
        <v>100</v>
      </c>
      <c r="X30" s="3171"/>
      <c r="Y30" s="3979"/>
      <c r="Z30" s="3229">
        <f t="shared" si="15"/>
        <v>111</v>
      </c>
      <c r="AA30" s="3229">
        <f t="shared" si="3"/>
        <v>1</v>
      </c>
      <c r="AB30" s="3229">
        <f t="shared" si="4"/>
        <v>1</v>
      </c>
      <c r="AC30" s="3229">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77"/>
      <c r="Q31" s="3226">
        <f t="shared" si="11"/>
        <v>111</v>
      </c>
      <c r="R31" s="3227" t="s">
        <v>14</v>
      </c>
      <c r="S31" s="3228">
        <f t="shared" si="12"/>
        <v>100</v>
      </c>
      <c r="T31" s="3227" t="s">
        <v>14</v>
      </c>
      <c r="U31" s="3228">
        <f t="shared" si="13"/>
        <v>100</v>
      </c>
      <c r="V31" s="3227" t="s">
        <v>14</v>
      </c>
      <c r="W31" s="3228">
        <f t="shared" si="14"/>
        <v>100</v>
      </c>
      <c r="X31" s="3171"/>
      <c r="Y31" s="3979"/>
      <c r="Z31" s="3229">
        <f t="shared" si="15"/>
        <v>111</v>
      </c>
      <c r="AA31" s="3229">
        <f t="shared" si="3"/>
        <v>1</v>
      </c>
      <c r="AB31" s="3229">
        <f t="shared" si="4"/>
        <v>1</v>
      </c>
      <c r="AC31" s="3229">
        <f t="shared" si="5"/>
        <v>1</v>
      </c>
    </row>
    <row r="32" spans="1:29" ht="15">
      <c r="A32" s="3219" t="s">
        <v>1694</v>
      </c>
      <c r="B32" s="3188" t="s">
        <v>1784</v>
      </c>
      <c r="C32" s="3259" t="s">
        <v>3576</v>
      </c>
      <c r="D32" s="3260">
        <v>100</v>
      </c>
      <c r="E32" s="3259" t="s">
        <v>3576</v>
      </c>
      <c r="F32" s="3261">
        <f>SUMIF(100:100,E32,101:101)-SUMIF(100:100,C32,101:101)+100</f>
        <v>100</v>
      </c>
      <c r="G32" s="3259" t="s">
        <v>3661</v>
      </c>
      <c r="H32" s="3212">
        <f>SUMIF(100:100,G32,101:101)-SUMIF(100:100,C32,101:101)+100</f>
        <v>99</v>
      </c>
      <c r="I32" s="3259" t="s">
        <v>3661</v>
      </c>
      <c r="J32" s="3260">
        <f>SUMIF(100:100,I32,101:101)-SUMIF(100:100,C32,101:101)+100</f>
        <v>99</v>
      </c>
      <c r="K32" s="3203">
        <v>1</v>
      </c>
      <c r="L32" s="3213"/>
      <c r="M32" s="3166"/>
      <c r="N32" s="3166"/>
      <c r="O32" s="3166"/>
      <c r="P32" s="3980" t="s">
        <v>1696</v>
      </c>
      <c r="Q32" s="3226" t="str">
        <f t="shared" si="11"/>
        <v>商业类型</v>
      </c>
      <c r="R32" s="3227" t="s">
        <v>14</v>
      </c>
      <c r="S32" s="3228">
        <f t="shared" si="12"/>
        <v>100</v>
      </c>
      <c r="T32" s="3227" t="s">
        <v>14</v>
      </c>
      <c r="U32" s="3228">
        <f t="shared" si="13"/>
        <v>99</v>
      </c>
      <c r="V32" s="3227" t="s">
        <v>14</v>
      </c>
      <c r="W32" s="3228">
        <f t="shared" si="14"/>
        <v>99</v>
      </c>
      <c r="X32" s="3171"/>
      <c r="Y32" s="3983" t="s">
        <v>1696</v>
      </c>
      <c r="Z32" s="3229" t="str">
        <f t="shared" si="15"/>
        <v>商业类型</v>
      </c>
      <c r="AA32" s="3229">
        <f t="shared" si="3"/>
        <v>1</v>
      </c>
      <c r="AB32" s="3229">
        <f t="shared" si="4"/>
        <v>1.0101010101010102</v>
      </c>
      <c r="AC32" s="3229">
        <f t="shared" si="5"/>
        <v>1.0101010101010102</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1"/>
      <c r="Q33" s="3265" t="str">
        <f t="shared" si="11"/>
        <v>项目建筑规模</v>
      </c>
      <c r="R33" s="3266" t="s">
        <v>14</v>
      </c>
      <c r="S33" s="3267">
        <f t="shared" si="12"/>
        <v>100</v>
      </c>
      <c r="T33" s="3266" t="s">
        <v>14</v>
      </c>
      <c r="U33" s="3267">
        <f t="shared" si="13"/>
        <v>100</v>
      </c>
      <c r="V33" s="3266" t="s">
        <v>14</v>
      </c>
      <c r="W33" s="3267">
        <f t="shared" si="14"/>
        <v>100</v>
      </c>
      <c r="X33" s="3268"/>
      <c r="Y33" s="3983"/>
      <c r="Z33" s="3269" t="str">
        <f t="shared" si="15"/>
        <v>项目建筑规模</v>
      </c>
      <c r="AA33" s="3229">
        <f t="shared" si="3"/>
        <v>1</v>
      </c>
      <c r="AB33" s="3229">
        <f t="shared" si="4"/>
        <v>1</v>
      </c>
      <c r="AC33" s="3229">
        <f t="shared" si="5"/>
        <v>1</v>
      </c>
    </row>
    <row r="34" spans="1:29" ht="15">
      <c r="A34" s="3271"/>
      <c r="B34" s="3195" t="s">
        <v>1698</v>
      </c>
      <c r="C34" s="3272" t="s">
        <v>3568</v>
      </c>
      <c r="D34" s="3212">
        <v>100</v>
      </c>
      <c r="E34" s="3272" t="s">
        <v>3568</v>
      </c>
      <c r="F34" s="3261">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81"/>
      <c r="Q34" s="3226" t="str">
        <f t="shared" si="11"/>
        <v>建筑结构</v>
      </c>
      <c r="R34" s="3227" t="s">
        <v>14</v>
      </c>
      <c r="S34" s="3228">
        <f t="shared" si="12"/>
        <v>100</v>
      </c>
      <c r="T34" s="3227" t="s">
        <v>14</v>
      </c>
      <c r="U34" s="3228">
        <f t="shared" si="13"/>
        <v>100</v>
      </c>
      <c r="V34" s="3227" t="s">
        <v>14</v>
      </c>
      <c r="W34" s="3228">
        <f t="shared" si="14"/>
        <v>100</v>
      </c>
      <c r="X34" s="3171"/>
      <c r="Y34" s="3983"/>
      <c r="Z34" s="3229" t="str">
        <f t="shared" si="15"/>
        <v>建筑结构</v>
      </c>
      <c r="AA34" s="3229">
        <f t="shared" si="3"/>
        <v>1</v>
      </c>
      <c r="AB34" s="3229">
        <f t="shared" si="4"/>
        <v>1</v>
      </c>
      <c r="AC34" s="3229">
        <f t="shared" si="5"/>
        <v>1</v>
      </c>
    </row>
    <row r="35" spans="1:29" ht="15">
      <c r="A35" s="3271"/>
      <c r="B35" s="3195" t="s">
        <v>1785</v>
      </c>
      <c r="C35" s="3272" t="s">
        <v>3556</v>
      </c>
      <c r="D35" s="3212">
        <v>100</v>
      </c>
      <c r="E35" s="3272" t="s">
        <v>3556</v>
      </c>
      <c r="F35" s="3261">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81"/>
      <c r="Q35" s="3226" t="str">
        <f t="shared" si="11"/>
        <v>公共部分装修</v>
      </c>
      <c r="R35" s="3227" t="s">
        <v>14</v>
      </c>
      <c r="S35" s="3228">
        <f t="shared" si="12"/>
        <v>100</v>
      </c>
      <c r="T35" s="3227" t="s">
        <v>14</v>
      </c>
      <c r="U35" s="3228">
        <f t="shared" si="13"/>
        <v>100</v>
      </c>
      <c r="V35" s="3227" t="s">
        <v>14</v>
      </c>
      <c r="W35" s="3228">
        <f t="shared" si="14"/>
        <v>100</v>
      </c>
      <c r="X35" s="3171"/>
      <c r="Y35" s="3983"/>
      <c r="Z35" s="3229" t="str">
        <f t="shared" si="15"/>
        <v>公共部分装修</v>
      </c>
      <c r="AA35" s="3229">
        <f t="shared" si="3"/>
        <v>1</v>
      </c>
      <c r="AB35" s="3229">
        <f t="shared" si="4"/>
        <v>1</v>
      </c>
      <c r="AC35" s="3229">
        <f t="shared" si="5"/>
        <v>1</v>
      </c>
    </row>
    <row r="36" spans="1:29" ht="15">
      <c r="A36" s="3271"/>
      <c r="B36" s="3195" t="s">
        <v>1786</v>
      </c>
      <c r="C36" s="3263">
        <v>0.67</v>
      </c>
      <c r="D36" s="3212">
        <v>100</v>
      </c>
      <c r="E36" s="3263">
        <v>0.67</v>
      </c>
      <c r="F36" s="3261">
        <f>LOOKUP(E36,110:110,111:111)-LOOKUP(C36,110:110,111:111)+100</f>
        <v>100</v>
      </c>
      <c r="G36" s="3263">
        <v>0.77</v>
      </c>
      <c r="H36" s="3261">
        <f>LOOKUP(G36,110:110,111:111)-LOOKUP(C36,110:110,111:111)+100</f>
        <v>100</v>
      </c>
      <c r="I36" s="3263">
        <v>0.68</v>
      </c>
      <c r="J36" s="3212">
        <f>LOOKUP(I36,110:110,111:111)-LOOKUP(C36,110:110,111:111)+100</f>
        <v>100</v>
      </c>
      <c r="K36" s="3203"/>
      <c r="L36" s="3213"/>
      <c r="M36" s="3166"/>
      <c r="N36" s="3166"/>
      <c r="O36" s="3166"/>
      <c r="P36" s="3981"/>
      <c r="Q36" s="3226" t="str">
        <f t="shared" si="11"/>
        <v>成新度</v>
      </c>
      <c r="R36" s="3227" t="s">
        <v>14</v>
      </c>
      <c r="S36" s="3228">
        <f t="shared" si="12"/>
        <v>100</v>
      </c>
      <c r="T36" s="3227" t="s">
        <v>14</v>
      </c>
      <c r="U36" s="3228">
        <f t="shared" si="13"/>
        <v>100</v>
      </c>
      <c r="V36" s="3227" t="s">
        <v>14</v>
      </c>
      <c r="W36" s="3228">
        <f t="shared" si="14"/>
        <v>100</v>
      </c>
      <c r="X36" s="3171"/>
      <c r="Y36" s="3983"/>
      <c r="Z36" s="3229" t="str">
        <f t="shared" si="15"/>
        <v>成新度</v>
      </c>
      <c r="AA36" s="3229">
        <f t="shared" si="3"/>
        <v>1</v>
      </c>
      <c r="AB36" s="3229">
        <f t="shared" si="4"/>
        <v>1</v>
      </c>
      <c r="AC36" s="3229">
        <f t="shared" si="5"/>
        <v>1</v>
      </c>
    </row>
    <row r="37" spans="1:29" s="3185" customFormat="1" ht="15">
      <c r="A37" s="3273"/>
      <c r="B37" s="3195" t="s">
        <v>1787</v>
      </c>
      <c r="C37" s="3272" t="s">
        <v>3563</v>
      </c>
      <c r="D37" s="3197">
        <v>100</v>
      </c>
      <c r="E37" s="3272" t="s">
        <v>3563</v>
      </c>
      <c r="F37" s="3261">
        <f>SUMIF(112:112,E37,113:113)-SUMIF(112:112,C37,113:113)+100</f>
        <v>100</v>
      </c>
      <c r="G37" s="3272" t="s">
        <v>3514</v>
      </c>
      <c r="H37" s="3212">
        <f>SUMIF(112:112,G37,113:113)-SUMIF(112:112,C37,113:113)+100</f>
        <v>101</v>
      </c>
      <c r="I37" s="3272" t="s">
        <v>3514</v>
      </c>
      <c r="J37" s="3212">
        <f>SUMIF(112:112,I37,113:113)-SUMIF(112:112,C37,113:113)+100</f>
        <v>101</v>
      </c>
      <c r="K37" s="4296">
        <v>1</v>
      </c>
      <c r="L37" s="3178"/>
      <c r="M37" s="3179"/>
      <c r="N37" s="3179"/>
      <c r="O37" s="3179"/>
      <c r="P37" s="3981"/>
      <c r="Q37" s="3193" t="str">
        <f t="shared" si="11"/>
        <v>市政基础设施</v>
      </c>
      <c r="R37" s="3180" t="s">
        <v>14</v>
      </c>
      <c r="S37" s="3181">
        <f t="shared" si="12"/>
        <v>100</v>
      </c>
      <c r="T37" s="3180" t="s">
        <v>14</v>
      </c>
      <c r="U37" s="3181">
        <f t="shared" si="13"/>
        <v>101</v>
      </c>
      <c r="V37" s="3180" t="s">
        <v>14</v>
      </c>
      <c r="W37" s="3181">
        <f t="shared" si="14"/>
        <v>101</v>
      </c>
      <c r="X37" s="3182"/>
      <c r="Y37" s="3983"/>
      <c r="Z37" s="3183" t="str">
        <f t="shared" si="15"/>
        <v>市政基础设施</v>
      </c>
      <c r="AA37" s="3183">
        <f t="shared" si="3"/>
        <v>1</v>
      </c>
      <c r="AB37" s="3183">
        <f t="shared" si="4"/>
        <v>0.99009900990099009</v>
      </c>
      <c r="AC37" s="3183">
        <f t="shared" si="5"/>
        <v>0.99009900990099009</v>
      </c>
    </row>
    <row r="38" spans="1:29" ht="15">
      <c r="A38" s="3271"/>
      <c r="B38" s="3195" t="s">
        <v>1788</v>
      </c>
      <c r="C38" s="3272" t="s">
        <v>3641</v>
      </c>
      <c r="D38" s="3212">
        <v>100</v>
      </c>
      <c r="E38" s="3272" t="s">
        <v>3641</v>
      </c>
      <c r="F38" s="3261">
        <f>SUMIF(114:114,E38,115:115)-SUMIF(114:114,C38,115:115)+100</f>
        <v>100</v>
      </c>
      <c r="G38" s="4294" t="s">
        <v>3677</v>
      </c>
      <c r="H38" s="4295">
        <f>SUMIF(114:114,G38,115:115)-SUMIF(114:114,C38,115:115)+100</f>
        <v>103</v>
      </c>
      <c r="I38" s="4294" t="s">
        <v>3677</v>
      </c>
      <c r="J38" s="4295">
        <f>SUMIF(114:114,I38,115:115)-SUMIF(114:114,C38,115:115)+100</f>
        <v>103</v>
      </c>
      <c r="K38" s="4296">
        <v>3</v>
      </c>
      <c r="L38" s="3213"/>
      <c r="M38" s="3166"/>
      <c r="N38" s="3166"/>
      <c r="O38" s="3166"/>
      <c r="P38" s="3981" t="s">
        <v>1696</v>
      </c>
      <c r="Q38" s="3226" t="str">
        <f t="shared" si="11"/>
        <v>业态</v>
      </c>
      <c r="R38" s="3227" t="s">
        <v>14</v>
      </c>
      <c r="S38" s="3228">
        <f t="shared" si="12"/>
        <v>100</v>
      </c>
      <c r="T38" s="3227" t="s">
        <v>14</v>
      </c>
      <c r="U38" s="3228">
        <f t="shared" si="13"/>
        <v>103</v>
      </c>
      <c r="V38" s="3227" t="s">
        <v>14</v>
      </c>
      <c r="W38" s="3228">
        <f t="shared" si="14"/>
        <v>103</v>
      </c>
      <c r="X38" s="3171"/>
      <c r="Y38" s="3983" t="s">
        <v>1696</v>
      </c>
      <c r="Z38" s="3229" t="str">
        <f t="shared" si="15"/>
        <v>业态</v>
      </c>
      <c r="AA38" s="3229">
        <f t="shared" si="3"/>
        <v>1</v>
      </c>
      <c r="AB38" s="3229">
        <f t="shared" si="4"/>
        <v>0.970873786407767</v>
      </c>
      <c r="AC38" s="3229">
        <f t="shared" si="5"/>
        <v>0.970873786407767</v>
      </c>
    </row>
    <row r="39" spans="1:29" ht="15">
      <c r="A39" s="3271"/>
      <c r="B39" s="3195" t="s">
        <v>1789</v>
      </c>
      <c r="C39" s="3272" t="s">
        <v>3643</v>
      </c>
      <c r="D39" s="3212">
        <v>100</v>
      </c>
      <c r="E39" s="3272" t="s">
        <v>3643</v>
      </c>
      <c r="F39" s="3261">
        <f>SUMIF(116:116,E39,117:117)-SUMIF(116:116,C39,117:117)+100</f>
        <v>100</v>
      </c>
      <c r="G39" s="3272" t="s">
        <v>3643</v>
      </c>
      <c r="H39" s="3212">
        <f>SUMIF(116:116,G39,117:117)-SUMIF(116:116,C39,117:117)+100</f>
        <v>100</v>
      </c>
      <c r="I39" s="3272" t="s">
        <v>3643</v>
      </c>
      <c r="J39" s="3212">
        <f>SUMIF(116:116,I39,117:117)-SUMIF(116:116,C39,117:117)+100</f>
        <v>100</v>
      </c>
      <c r="K39" s="3203">
        <v>2</v>
      </c>
      <c r="L39" s="3213"/>
      <c r="M39" s="3166"/>
      <c r="N39" s="3166"/>
      <c r="O39" s="3166"/>
      <c r="P39" s="3981"/>
      <c r="Q39" s="3226" t="str">
        <f t="shared" si="11"/>
        <v>层高</v>
      </c>
      <c r="R39" s="3227" t="s">
        <v>14</v>
      </c>
      <c r="S39" s="3228">
        <f t="shared" si="12"/>
        <v>100</v>
      </c>
      <c r="T39" s="3227" t="s">
        <v>14</v>
      </c>
      <c r="U39" s="3228">
        <f t="shared" si="13"/>
        <v>100</v>
      </c>
      <c r="V39" s="3227" t="s">
        <v>14</v>
      </c>
      <c r="W39" s="3228">
        <f t="shared" si="14"/>
        <v>100</v>
      </c>
      <c r="X39" s="3171"/>
      <c r="Y39" s="3983"/>
      <c r="Z39" s="3229" t="str">
        <f t="shared" si="15"/>
        <v>层高</v>
      </c>
      <c r="AA39" s="3229">
        <f t="shared" si="3"/>
        <v>1</v>
      </c>
      <c r="AB39" s="3229">
        <f t="shared" si="4"/>
        <v>1</v>
      </c>
      <c r="AC39" s="3229">
        <f t="shared" si="5"/>
        <v>1</v>
      </c>
    </row>
    <row r="40" spans="1:29" ht="15">
      <c r="A40" s="3271"/>
      <c r="B40" s="3195" t="s">
        <v>1790</v>
      </c>
      <c r="C40" s="3443">
        <v>343.31</v>
      </c>
      <c r="D40" s="3212">
        <v>100</v>
      </c>
      <c r="E40" s="3443">
        <f>案例!F6</f>
        <v>386</v>
      </c>
      <c r="F40" s="3261">
        <f>SUMIF(118:118,E40,119:119)-SUMIF(118:118,C40,119:119)+100</f>
        <v>100</v>
      </c>
      <c r="G40" s="3443">
        <f>案例!F7</f>
        <v>485</v>
      </c>
      <c r="H40" s="3212">
        <f>SUMIF(118:118,G40,119:119)-SUMIF(118:118,C40,119:119)+100</f>
        <v>100</v>
      </c>
      <c r="I40" s="3443">
        <f>案例!F8</f>
        <v>420</v>
      </c>
      <c r="J40" s="3212">
        <f>SUMIF(118:118,I40,119:119)-SUMIF(118:118,C40,119:119)+100</f>
        <v>100</v>
      </c>
      <c r="K40" s="3210"/>
      <c r="L40" s="3213"/>
      <c r="M40" s="3166"/>
      <c r="N40" s="3166"/>
      <c r="O40" s="3166"/>
      <c r="P40" s="3981"/>
      <c r="Q40" s="3226" t="str">
        <f t="shared" si="11"/>
        <v>单套建筑面积</v>
      </c>
      <c r="R40" s="3227" t="s">
        <v>14</v>
      </c>
      <c r="S40" s="3228">
        <f t="shared" si="12"/>
        <v>100</v>
      </c>
      <c r="T40" s="3227" t="s">
        <v>14</v>
      </c>
      <c r="U40" s="3228">
        <f t="shared" si="13"/>
        <v>100</v>
      </c>
      <c r="V40" s="3227" t="s">
        <v>14</v>
      </c>
      <c r="W40" s="3228">
        <f t="shared" si="14"/>
        <v>100</v>
      </c>
      <c r="X40" s="3171"/>
      <c r="Y40" s="3983"/>
      <c r="Z40" s="3229" t="str">
        <f t="shared" si="15"/>
        <v>单套建筑面积</v>
      </c>
      <c r="AA40" s="3229">
        <f t="shared" si="3"/>
        <v>1</v>
      </c>
      <c r="AB40" s="3229">
        <f t="shared" si="4"/>
        <v>1</v>
      </c>
      <c r="AC40" s="3229">
        <f t="shared" si="5"/>
        <v>1</v>
      </c>
    </row>
    <row r="41" spans="1:29" s="3270" customFormat="1" ht="15">
      <c r="A41" s="3262"/>
      <c r="B41" s="3261" t="s">
        <v>1791</v>
      </c>
      <c r="C41" s="3252" t="s">
        <v>3516</v>
      </c>
      <c r="D41" s="3212">
        <v>100</v>
      </c>
      <c r="E41" s="3252" t="s">
        <v>3516</v>
      </c>
      <c r="F41" s="3261">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81"/>
      <c r="Q41" s="3265" t="str">
        <f t="shared" si="11"/>
        <v>进深比</v>
      </c>
      <c r="R41" s="3266" t="s">
        <v>14</v>
      </c>
      <c r="S41" s="3267">
        <f t="shared" si="12"/>
        <v>100</v>
      </c>
      <c r="T41" s="3266" t="s">
        <v>14</v>
      </c>
      <c r="U41" s="3267">
        <f t="shared" si="13"/>
        <v>100</v>
      </c>
      <c r="V41" s="3266" t="s">
        <v>14</v>
      </c>
      <c r="W41" s="3267">
        <f t="shared" si="14"/>
        <v>100</v>
      </c>
      <c r="X41" s="3268"/>
      <c r="Y41" s="3983"/>
      <c r="Z41" s="3269" t="str">
        <f t="shared" si="15"/>
        <v>进深比</v>
      </c>
      <c r="AA41" s="3229">
        <f t="shared" si="3"/>
        <v>1</v>
      </c>
      <c r="AB41" s="3229">
        <f t="shared" si="4"/>
        <v>1</v>
      </c>
      <c r="AC41" s="3229">
        <f t="shared" si="5"/>
        <v>1</v>
      </c>
    </row>
    <row r="42" spans="1:29" ht="15">
      <c r="A42" s="3271"/>
      <c r="B42" s="3195" t="s">
        <v>1792</v>
      </c>
      <c r="C42" s="3272" t="s">
        <v>3556</v>
      </c>
      <c r="D42" s="3212">
        <v>100</v>
      </c>
      <c r="E42" s="3272" t="s">
        <v>3556</v>
      </c>
      <c r="F42" s="3261">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81"/>
      <c r="Q42" s="3226" t="str">
        <f t="shared" si="11"/>
        <v>内部装修</v>
      </c>
      <c r="R42" s="3227" t="s">
        <v>14</v>
      </c>
      <c r="S42" s="3228">
        <f t="shared" si="12"/>
        <v>100</v>
      </c>
      <c r="T42" s="3227" t="s">
        <v>14</v>
      </c>
      <c r="U42" s="3228">
        <f t="shared" si="13"/>
        <v>100</v>
      </c>
      <c r="V42" s="3227" t="s">
        <v>14</v>
      </c>
      <c r="W42" s="3228">
        <f t="shared" si="14"/>
        <v>100</v>
      </c>
      <c r="X42" s="3171"/>
      <c r="Y42" s="3983"/>
      <c r="Z42" s="3229" t="str">
        <f t="shared" si="15"/>
        <v>内部装修</v>
      </c>
      <c r="AA42" s="3229">
        <f t="shared" si="3"/>
        <v>1</v>
      </c>
      <c r="AB42" s="3229">
        <f t="shared" si="4"/>
        <v>1</v>
      </c>
      <c r="AC42" s="3229">
        <f t="shared" si="5"/>
        <v>1</v>
      </c>
    </row>
    <row r="43" spans="1:29" ht="15">
      <c r="A43" s="3271"/>
      <c r="B43" s="3195" t="s">
        <v>1707</v>
      </c>
      <c r="C43" s="3272" t="s">
        <v>3516</v>
      </c>
      <c r="D43" s="3212">
        <v>100</v>
      </c>
      <c r="E43" s="3272" t="s">
        <v>3516</v>
      </c>
      <c r="F43" s="3261">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81"/>
      <c r="Q43" s="3226" t="str">
        <f t="shared" si="11"/>
        <v>内部装修维护情况</v>
      </c>
      <c r="R43" s="3227" t="s">
        <v>14</v>
      </c>
      <c r="S43" s="3228">
        <f t="shared" si="12"/>
        <v>100</v>
      </c>
      <c r="T43" s="3227" t="s">
        <v>14</v>
      </c>
      <c r="U43" s="3228">
        <f t="shared" si="13"/>
        <v>100</v>
      </c>
      <c r="V43" s="3227" t="s">
        <v>14</v>
      </c>
      <c r="W43" s="3228">
        <f t="shared" si="14"/>
        <v>100</v>
      </c>
      <c r="X43" s="3171"/>
      <c r="Y43" s="3983"/>
      <c r="Z43" s="3229" t="str">
        <f t="shared" si="15"/>
        <v>内部装修维护情况</v>
      </c>
      <c r="AA43" s="3229">
        <f t="shared" si="3"/>
        <v>1</v>
      </c>
      <c r="AB43" s="3229">
        <f t="shared" si="4"/>
        <v>1</v>
      </c>
      <c r="AC43" s="3229">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1"/>
      <c r="Q44" s="3193" t="str">
        <f t="shared" si="11"/>
        <v>使用限制</v>
      </c>
      <c r="R44" s="3180" t="s">
        <v>14</v>
      </c>
      <c r="S44" s="3181">
        <f t="shared" si="12"/>
        <v>100</v>
      </c>
      <c r="T44" s="3180" t="s">
        <v>14</v>
      </c>
      <c r="U44" s="3181">
        <f t="shared" si="13"/>
        <v>100</v>
      </c>
      <c r="V44" s="3180" t="s">
        <v>14</v>
      </c>
      <c r="W44" s="3181">
        <f t="shared" si="14"/>
        <v>100</v>
      </c>
      <c r="X44" s="3182"/>
      <c r="Y44" s="3983"/>
      <c r="Z44" s="3183" t="str">
        <f t="shared" si="15"/>
        <v>使用限制</v>
      </c>
      <c r="AA44" s="3183">
        <f t="shared" si="3"/>
        <v>1</v>
      </c>
      <c r="AB44" s="3183">
        <f t="shared" si="4"/>
        <v>1</v>
      </c>
      <c r="AC44" s="3183">
        <f t="shared" si="5"/>
        <v>1</v>
      </c>
    </row>
    <row r="45" spans="1:29" ht="15">
      <c r="A45" s="3271"/>
      <c r="B45" s="3830" t="s">
        <v>3644</v>
      </c>
      <c r="C45" s="3211">
        <v>2003</v>
      </c>
      <c r="D45" s="3212">
        <v>100</v>
      </c>
      <c r="E45" s="3211">
        <v>2003</v>
      </c>
      <c r="F45" s="3261">
        <f>SUMIF(128:128,E45,129:129)-SUMIF(128:128,C45,129:129)+100</f>
        <v>100</v>
      </c>
      <c r="G45" s="3211">
        <v>2009</v>
      </c>
      <c r="H45" s="3212">
        <f>SUMIF(128:128,G45,129:129)-SUMIF(128:128,C45,129:129)+100</f>
        <v>106</v>
      </c>
      <c r="I45" s="3211">
        <v>2004</v>
      </c>
      <c r="J45" s="3212">
        <f>SUMIF(128:128,I45,129:129)-SUMIF(128:128,C45,129:129)+100</f>
        <v>101</v>
      </c>
      <c r="K45" s="3210"/>
      <c r="L45" s="3213"/>
      <c r="M45" s="3166"/>
      <c r="N45" s="3166"/>
      <c r="O45" s="3166"/>
      <c r="P45" s="3981"/>
      <c r="Q45" s="3226" t="str">
        <f t="shared" si="11"/>
        <v>建成年代</v>
      </c>
      <c r="R45" s="3227" t="s">
        <v>14</v>
      </c>
      <c r="S45" s="3228">
        <f t="shared" si="12"/>
        <v>100</v>
      </c>
      <c r="T45" s="3227" t="s">
        <v>14</v>
      </c>
      <c r="U45" s="3228">
        <f t="shared" si="13"/>
        <v>106</v>
      </c>
      <c r="V45" s="3227" t="s">
        <v>14</v>
      </c>
      <c r="W45" s="3228">
        <f t="shared" si="14"/>
        <v>101</v>
      </c>
      <c r="X45" s="3171"/>
      <c r="Y45" s="3983"/>
      <c r="Z45" s="3229" t="str">
        <f t="shared" si="15"/>
        <v>建成年代</v>
      </c>
      <c r="AA45" s="3229">
        <f t="shared" si="3"/>
        <v>1</v>
      </c>
      <c r="AB45" s="3229">
        <f t="shared" si="4"/>
        <v>0.94339622641509435</v>
      </c>
      <c r="AC45" s="3229">
        <f t="shared" si="5"/>
        <v>0.99009900990099009</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2"/>
      <c r="Q46" s="3226">
        <f t="shared" si="11"/>
        <v>111</v>
      </c>
      <c r="R46" s="3227" t="s">
        <v>14</v>
      </c>
      <c r="S46" s="3228">
        <f t="shared" si="12"/>
        <v>100</v>
      </c>
      <c r="T46" s="3227" t="s">
        <v>14</v>
      </c>
      <c r="U46" s="3228">
        <f t="shared" si="13"/>
        <v>100</v>
      </c>
      <c r="V46" s="3227" t="s">
        <v>14</v>
      </c>
      <c r="W46" s="3228">
        <f t="shared" si="14"/>
        <v>100</v>
      </c>
      <c r="X46" s="3171"/>
      <c r="Y46" s="3984"/>
      <c r="Z46" s="3229">
        <f t="shared" si="15"/>
        <v>111</v>
      </c>
      <c r="AA46" s="3229">
        <f t="shared" si="3"/>
        <v>1</v>
      </c>
      <c r="AB46" s="3229">
        <f t="shared" si="4"/>
        <v>1</v>
      </c>
      <c r="AC46" s="3229">
        <f t="shared" si="5"/>
        <v>1</v>
      </c>
    </row>
    <row r="47" spans="1:29" ht="15">
      <c r="A47" s="3277" t="s">
        <v>1708</v>
      </c>
      <c r="B47" s="3278"/>
      <c r="C47" s="3279" t="s">
        <v>0</v>
      </c>
      <c r="D47" s="3280"/>
      <c r="E47" s="3281">
        <f>案例!H6</f>
        <v>5.84</v>
      </c>
      <c r="F47" s="3282"/>
      <c r="G47" s="3283">
        <f>案例!H7</f>
        <v>6.41</v>
      </c>
      <c r="H47" s="3284"/>
      <c r="I47" s="3281">
        <f>案例!H8</f>
        <v>7.4</v>
      </c>
      <c r="J47" s="3284"/>
      <c r="K47" s="3228"/>
      <c r="L47" s="3285"/>
      <c r="M47" s="3299"/>
      <c r="N47" s="3166"/>
      <c r="O47" s="3299"/>
      <c r="P47" s="3985" t="str">
        <f>A47</f>
        <v>成交单价（元/平方米）</v>
      </c>
      <c r="Q47" s="3985"/>
      <c r="R47" s="3946">
        <f>E47</f>
        <v>5.84</v>
      </c>
      <c r="S47" s="3946"/>
      <c r="T47" s="3946">
        <f>G47</f>
        <v>6.41</v>
      </c>
      <c r="U47" s="3946"/>
      <c r="V47" s="3946">
        <f>I47</f>
        <v>7.4</v>
      </c>
      <c r="W47" s="3946"/>
      <c r="X47" s="3309"/>
      <c r="Y47" s="3287"/>
      <c r="Z47" s="3309"/>
      <c r="AA47" s="3309"/>
      <c r="AB47" s="3309"/>
      <c r="AC47" s="3309"/>
    </row>
    <row r="48" spans="1:29" ht="15.75" thickBot="1">
      <c r="A48" s="3288" t="s">
        <v>1793</v>
      </c>
      <c r="B48" s="3289"/>
      <c r="C48" s="3290">
        <f>R49</f>
        <v>6.6</v>
      </c>
      <c r="D48" s="3291" t="s">
        <v>2138</v>
      </c>
      <c r="E48" s="3292">
        <f>R48</f>
        <v>6.5</v>
      </c>
      <c r="F48" s="3293"/>
      <c r="G48" s="3290">
        <f>T48</f>
        <v>6.5</v>
      </c>
      <c r="H48" s="3293"/>
      <c r="I48" s="3292">
        <f>V48</f>
        <v>6.8</v>
      </c>
      <c r="J48" s="3293"/>
      <c r="K48" s="3294">
        <f>F48+H48+J48</f>
        <v>0</v>
      </c>
      <c r="L48" s="3285"/>
      <c r="M48" s="3299"/>
      <c r="N48" s="3166"/>
      <c r="O48" s="3299"/>
      <c r="P48" s="3985" t="str">
        <f>A48</f>
        <v>比较价值（元/平方米）</v>
      </c>
      <c r="Q48" s="3985"/>
      <c r="R48" s="3946">
        <f>IF(F1="售价",ROUND(PRODUCT(R47,AA7:AA46),0),ROUND(PRODUCT(R47,AA7:AA46),1))</f>
        <v>6.5</v>
      </c>
      <c r="S48" s="3946"/>
      <c r="T48" s="3946">
        <f>IF(F1="售价",ROUND(PRODUCT(T47,AB7:AB46),0),ROUND(PRODUCT(T47,AB7:AB46),1))</f>
        <v>6.5</v>
      </c>
      <c r="U48" s="3946"/>
      <c r="V48" s="3946">
        <f>IF(F1="售价",ROUND(PRODUCT(V47,AC7:AC46),0),ROUND(PRODUCT(V47,AC7:AC46),1))</f>
        <v>6.8</v>
      </c>
      <c r="W48" s="3946"/>
      <c r="X48" s="3309"/>
      <c r="Y48" s="3309"/>
      <c r="Z48" s="3309"/>
      <c r="AA48" s="3309"/>
      <c r="AB48" s="3309"/>
      <c r="AC48" s="3309"/>
    </row>
    <row r="49" spans="1:29" ht="15.75" thickBot="1">
      <c r="A49" s="3295" t="s">
        <v>1794</v>
      </c>
      <c r="B49" s="3296"/>
      <c r="C49" s="3173">
        <f>R49</f>
        <v>6.6</v>
      </c>
      <c r="D49" s="3173"/>
      <c r="E49" s="3173"/>
      <c r="F49" s="3173"/>
      <c r="G49" s="3173"/>
      <c r="H49" s="3173"/>
      <c r="I49" s="3173"/>
      <c r="J49" s="3173"/>
      <c r="K49" s="3226"/>
      <c r="L49" s="3285"/>
      <c r="M49" s="3299"/>
      <c r="N49" s="3166"/>
      <c r="O49" s="3299"/>
      <c r="P49" s="3986" t="str">
        <f>A49</f>
        <v>估价对象XX用房的比较价值（楼面单价，元/平方米）</v>
      </c>
      <c r="Q49" s="3987"/>
      <c r="R49" s="3988">
        <f>IF(F1="售价",ROUND(IF(D48="简单平均",AVERAGE(R48:V48),R48*F48+T48*H48+V48*J48),0),ROUND(IF(D48="简单平均",AVERAGE(R48:V48),R48*F48+T48*H48+V48*J48),1))</f>
        <v>6.6</v>
      </c>
      <c r="S49" s="3988"/>
      <c r="T49" s="3988"/>
      <c r="U49" s="3988"/>
      <c r="V49" s="3988"/>
      <c r="W49" s="3988"/>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1795</v>
      </c>
      <c r="D52" s="3302"/>
      <c r="E52" s="3227">
        <f>IF(E47&lt;E48,E48/E47-1,E47/E48-1)</f>
        <v>0.1130136986301371</v>
      </c>
      <c r="F52" s="3303" t="str">
        <f>IF(OR(E52&gt;=0.3,E52&lt;=-0.3),"超过30%","")</f>
        <v/>
      </c>
      <c r="G52" s="3227">
        <f>IF(G47&lt;G48,G48/G47-1,G47/G48-1)</f>
        <v>1.4040561622464809E-2</v>
      </c>
      <c r="H52" s="3303" t="str">
        <f>IF(OR(G52&gt;=0.3,G52&lt;=-0.3),"超过30%","")</f>
        <v/>
      </c>
      <c r="I52" s="3227">
        <f>IF(I47&lt;I48,I48/I47-1,I47/I48-1)</f>
        <v>8.8235294117647189E-2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1796</v>
      </c>
      <c r="D53" s="3304"/>
      <c r="E53" s="3227">
        <f>IF(E48&lt;G48,G48/E48-1,E48/G48-1)</f>
        <v>0</v>
      </c>
      <c r="F53" s="3303" t="str">
        <f>IF(OR(E53&gt;=0.2,E53&lt;=-0.2),"超过20%","")</f>
        <v/>
      </c>
      <c r="G53" s="3227">
        <f>IF(G48&lt;I48,I48/G48-1,G48/I48-1)</f>
        <v>4.6153846153846212E-2</v>
      </c>
      <c r="H53" s="3303" t="str">
        <f>IF(OR(G53&gt;=0.2,G53&lt;=-0.2),"超过20%","")</f>
        <v/>
      </c>
      <c r="I53" s="3227">
        <f>IF(I48&lt;E48,E48/I48-1,I48/E48-1)</f>
        <v>4.6153846153846212E-2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1797</v>
      </c>
      <c r="D54" s="3304"/>
      <c r="E54" s="3227">
        <f>IF(E47&lt;G47,G47/E47-1,E47/G47-1)</f>
        <v>9.760273972602751E-2</v>
      </c>
      <c r="F54" s="3303" t="str">
        <f>IF(OR(E54&gt;=0.3,E54&lt;=-0.3),"超过30%","")</f>
        <v/>
      </c>
      <c r="G54" s="3227">
        <f>IF(G47&lt;I47,I47/G47-1,G47/I47-1)</f>
        <v>0.15444617784711401</v>
      </c>
      <c r="H54" s="3303" t="str">
        <f>IF(OR(G54&gt;=0.3,G54&lt;=-0.3),"超过30%","")</f>
        <v/>
      </c>
      <c r="I54" s="3227">
        <f>IF(I47&lt;E47,E47/I47-1,I47/E47-1)</f>
        <v>0.26712328767123306</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1798</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1776</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393" t="s">
        <v>1799</v>
      </c>
      <c r="D82" s="3393" t="s">
        <v>1800</v>
      </c>
      <c r="E82" s="3393" t="s">
        <v>1801</v>
      </c>
      <c r="F82" s="3393" t="s">
        <v>1802</v>
      </c>
      <c r="G82" s="3393"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393"/>
      <c r="I83" s="3393"/>
      <c r="J83" s="3393"/>
      <c r="K83" s="3393"/>
      <c r="L83" s="3393"/>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193">
        <v>0.5</v>
      </c>
      <c r="D110" s="3193">
        <v>0.6</v>
      </c>
      <c r="E110" s="3193">
        <v>0.7</v>
      </c>
      <c r="F110" s="3193">
        <v>0.8</v>
      </c>
      <c r="G110" s="3193">
        <v>0.9</v>
      </c>
      <c r="H110" s="3193">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99</v>
      </c>
      <c r="E113" s="3362">
        <f t="shared" ref="E113:M113" si="27">D113-$K37</f>
        <v>98</v>
      </c>
      <c r="F113" s="3362">
        <f t="shared" si="27"/>
        <v>97</v>
      </c>
      <c r="G113" s="3362">
        <f t="shared" si="27"/>
        <v>96</v>
      </c>
      <c r="H113" s="3362">
        <f t="shared" si="27"/>
        <v>95</v>
      </c>
      <c r="I113" s="3362">
        <f t="shared" si="27"/>
        <v>94</v>
      </c>
      <c r="J113" s="3362">
        <f t="shared" si="27"/>
        <v>93</v>
      </c>
      <c r="K113" s="3362">
        <f t="shared" si="27"/>
        <v>92</v>
      </c>
      <c r="L113" s="3362">
        <f t="shared" si="27"/>
        <v>91</v>
      </c>
      <c r="M113" s="3362">
        <f t="shared" si="27"/>
        <v>90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97</v>
      </c>
      <c r="E115" s="3362">
        <f t="shared" si="28"/>
        <v>94</v>
      </c>
      <c r="F115" s="3362">
        <f t="shared" si="28"/>
        <v>91</v>
      </c>
      <c r="G115" s="3362">
        <f t="shared" si="28"/>
        <v>88</v>
      </c>
      <c r="H115" s="3362">
        <f t="shared" si="28"/>
        <v>85</v>
      </c>
      <c r="I115" s="3362">
        <f t="shared" si="28"/>
        <v>82</v>
      </c>
      <c r="J115" s="3362">
        <f t="shared" si="28"/>
        <v>79</v>
      </c>
      <c r="K115" s="3362">
        <f t="shared" si="28"/>
        <v>76</v>
      </c>
      <c r="L115" s="3362">
        <f t="shared" si="28"/>
        <v>73</v>
      </c>
      <c r="M115" s="3363">
        <f t="shared" si="28"/>
        <v>70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386</v>
      </c>
      <c r="D118" s="3457">
        <f>G40</f>
        <v>485</v>
      </c>
      <c r="E118" s="3457">
        <f>I40</f>
        <v>420</v>
      </c>
      <c r="F118" s="3457">
        <f>C40</f>
        <v>343.31</v>
      </c>
      <c r="G118" s="3457" t="s">
        <v>3553</v>
      </c>
      <c r="H118" s="3366" t="s">
        <v>3665</v>
      </c>
      <c r="I118" s="3366" t="s">
        <v>3666</v>
      </c>
      <c r="J118" s="3366" t="s">
        <v>3667</v>
      </c>
      <c r="K118" s="3366"/>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100</v>
      </c>
      <c r="D119" s="3346">
        <v>100</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3552</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C43 E43 G43 I43" xr:uid="{00000000-0002-0000-1100-000001000000}">
      <formula1>内部装修维护情况</formula1>
    </dataValidation>
    <dataValidation type="list" allowBlank="1" showInputMessage="1" showErrorMessage="1" sqref="E20 I20 G20 C20" xr:uid="{00000000-0002-0000-1100-000002000000}">
      <formula1>公共配套设施</formula1>
    </dataValidation>
    <dataValidation type="list" allowBlank="1" showInputMessage="1" showErrorMessage="1" sqref="E18 G18 I18 C18" xr:uid="{00000000-0002-0000-1100-000003000000}">
      <formula1>交通便捷度</formula1>
    </dataValidation>
    <dataValidation type="list" allowBlank="1" showInputMessage="1" showErrorMessage="1" sqref="E24 G24 I24 C24" xr:uid="{00000000-0002-0000-1100-000004000000}">
      <formula1>环境</formula1>
    </dataValidation>
    <dataValidation type="list" allowBlank="1" showInputMessage="1" showErrorMessage="1" sqref="C25 E25 G25 I25" xr:uid="{00000000-0002-0000-1100-000005000000}">
      <formula1>商业临街状况</formula1>
    </dataValidation>
    <dataValidation type="list" allowBlank="1" showInputMessage="1" showErrorMessage="1" sqref="C27 E27 G27 I27" xr:uid="{00000000-0002-0000-1100-000006000000}">
      <formula1>商业人流量</formula1>
    </dataValidation>
    <dataValidation type="list" allowBlank="1" showInputMessage="1" showErrorMessage="1" sqref="C28 E28 G28 I28" xr:uid="{00000000-0002-0000-1100-000007000000}">
      <formula1>商业楼层</formula1>
    </dataValidation>
    <dataValidation type="list" allowBlank="1" showInputMessage="1" showErrorMessage="1" sqref="C32 E32 G32 I32" xr:uid="{00000000-0002-0000-1100-000008000000}">
      <formula1>商业类型</formula1>
    </dataValidation>
    <dataValidation type="list" allowBlank="1" showInputMessage="1" showErrorMessage="1" sqref="C34 E34 G34 I34" xr:uid="{00000000-0002-0000-1100-000009000000}">
      <formula1>商业建筑结构</formula1>
    </dataValidation>
    <dataValidation type="list" allowBlank="1" showInputMessage="1" showErrorMessage="1" sqref="C35 E35 G35 I35" xr:uid="{00000000-0002-0000-1100-00000A000000}">
      <formula1>商业公共部分装修</formula1>
    </dataValidation>
    <dataValidation type="list" allowBlank="1" showInputMessage="1" showErrorMessage="1" sqref="C37 E37 G37 I37" xr:uid="{00000000-0002-0000-1100-00000B000000}">
      <formula1>商业基础设施水平</formula1>
    </dataValidation>
    <dataValidation type="list" allowBlank="1" showInputMessage="1" showErrorMessage="1" sqref="C41 E41 G41 I41" xr:uid="{00000000-0002-0000-1100-00000C000000}">
      <formula1>商业进深比</formula1>
    </dataValidation>
    <dataValidation type="list" allowBlank="1" showInputMessage="1" showErrorMessage="1" sqref="C42 E42 G42 I42" xr:uid="{00000000-0002-0000-1100-00000D000000}">
      <formula1>商业内部装修</formula1>
    </dataValidation>
    <dataValidation type="list" allowBlank="1" showInputMessage="1" showErrorMessage="1" sqref="E9 G9 I9" xr:uid="{00000000-0002-0000-1100-00000E000000}">
      <formula1>商业用途</formula1>
    </dataValidation>
    <dataValidation type="list" allowBlank="1" showInputMessage="1" showErrorMessage="1" sqref="C38 E38 G38 I38" xr:uid="{00000000-0002-0000-1100-00000F000000}">
      <formula1>商业业态</formula1>
    </dataValidation>
    <dataValidation type="list" allowBlank="1" showInputMessage="1" showErrorMessage="1" sqref="C39 E39 G39 I39" xr:uid="{00000000-0002-0000-1100-000010000000}">
      <formula1>商业层高</formula1>
    </dataValidation>
    <dataValidation type="list" allowBlank="1" showInputMessage="1" showErrorMessage="1" sqref="C8 E8 G8 I8" xr:uid="{00000000-0002-0000-1100-000011000000}">
      <formula1>商业交易情况</formula1>
    </dataValidation>
    <dataValidation type="list" allowBlank="1" showInputMessage="1" showErrorMessage="1" sqref="C16 E16 G16 I16" xr:uid="{00000000-0002-0000-1100-000012000000}">
      <formula1>商业繁华度</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F1" xr:uid="{00000000-0002-0000-1100-000014000000}">
      <formula1>"售价,租金"</formula1>
    </dataValidation>
    <dataValidation type="list" allowBlank="1" showInputMessage="1" showErrorMessage="1" sqref="C2" xr:uid="{00000000-0002-0000-1100-000015000000}">
      <formula1>"需扣减承租人权益,——"</formula1>
    </dataValidation>
    <dataValidation type="list" allowBlank="1" showInputMessage="1" showErrorMessage="1" sqref="F2" xr:uid="{00000000-0002-0000-1100-000016000000}">
      <formula1>估价方法</formula1>
    </dataValidation>
    <dataValidation type="list" allowBlank="1" showInputMessage="1" showErrorMessage="1" sqref="D48" xr:uid="{00000000-0002-0000-1100-000017000000}">
      <formula1>"简单平均,加权平均"</formula1>
    </dataValidation>
    <dataValidation type="list" allowBlank="1" showInputMessage="1" showErrorMessage="1" sqref="E1" xr:uid="{00000000-0002-0000-1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AC131"/>
  <sheetViews>
    <sheetView view="pageBreakPreview" topLeftCell="A28" zoomScale="80" zoomScaleNormal="70" zoomScaleSheetLayoutView="80" workbookViewId="0">
      <selection activeCell="H48" sqref="H48"/>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3581</v>
      </c>
      <c r="G1" s="3139" t="s">
        <v>1663</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685</v>
      </c>
      <c r="B2" s="3145">
        <f>IF(E1="项目模式",IF(C2="——",ROUND(C49*D3/10000,0),ROUND(C49*D3/10000,0)-D2),IF(E1="单套模式",IF(C2="——",ROUND(C49*D3/10000,4),ROUND(C49*D3/10000,4)-D2)))</f>
        <v>962.77859999999998</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686</v>
      </c>
      <c r="B3" s="3157">
        <f>IF(C2="——",C49,ROUND(B2*10000/D3,0))</f>
        <v>28044</v>
      </c>
      <c r="C3" s="3158" t="s">
        <v>1665</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1666</v>
      </c>
      <c r="B4" s="3163"/>
      <c r="C4" s="3963" t="s">
        <v>1667</v>
      </c>
      <c r="D4" s="3964"/>
      <c r="E4" s="3965" t="s">
        <v>1668</v>
      </c>
      <c r="F4" s="3966"/>
      <c r="G4" s="3963" t="s">
        <v>1669</v>
      </c>
      <c r="H4" s="3964"/>
      <c r="I4" s="3963" t="s">
        <v>1670</v>
      </c>
      <c r="J4" s="3964"/>
      <c r="K4" s="3164" t="s">
        <v>1671</v>
      </c>
      <c r="L4" s="3165"/>
      <c r="M4" s="3166"/>
      <c r="N4" s="3166"/>
      <c r="O4" s="3166"/>
      <c r="P4" s="3967" t="s">
        <v>1672</v>
      </c>
      <c r="Q4" s="3968"/>
      <c r="R4" s="3949" t="s">
        <v>1668</v>
      </c>
      <c r="S4" s="3950"/>
      <c r="T4" s="3949" t="s">
        <v>1669</v>
      </c>
      <c r="U4" s="3950"/>
      <c r="V4" s="3946" t="s">
        <v>1670</v>
      </c>
      <c r="W4" s="3946"/>
      <c r="X4" s="3816"/>
      <c r="Y4" s="3949" t="s">
        <v>1672</v>
      </c>
      <c r="Z4" s="3950"/>
      <c r="AA4" s="3943" t="s">
        <v>1668</v>
      </c>
      <c r="AB4" s="3946" t="s">
        <v>1669</v>
      </c>
      <c r="AC4" s="3943" t="s">
        <v>1670</v>
      </c>
    </row>
    <row r="5" spans="1:29" ht="15">
      <c r="A5" s="3169"/>
      <c r="B5" s="3170"/>
      <c r="C5" s="3955" t="s">
        <v>3627</v>
      </c>
      <c r="D5" s="3956"/>
      <c r="E5" s="3953" t="str">
        <f>案例!B9</f>
        <v>中关村广场购物中心</v>
      </c>
      <c r="F5" s="3954"/>
      <c r="G5" s="3955" t="str">
        <f>案例!B10</f>
        <v>新中关购物中心</v>
      </c>
      <c r="H5" s="3956"/>
      <c r="I5" s="3955" t="str">
        <f>案例!B11</f>
        <v>新中关购物中心</v>
      </c>
      <c r="J5" s="3956"/>
      <c r="K5" s="3164"/>
      <c r="L5" s="3165"/>
      <c r="M5" s="3166"/>
      <c r="N5" s="3166"/>
      <c r="O5" s="3166"/>
      <c r="P5" s="3969"/>
      <c r="Q5" s="3970"/>
      <c r="R5" s="3951"/>
      <c r="S5" s="3952"/>
      <c r="T5" s="3951"/>
      <c r="U5" s="3952"/>
      <c r="V5" s="3946"/>
      <c r="W5" s="3946"/>
      <c r="X5" s="3816"/>
      <c r="Y5" s="3951"/>
      <c r="Z5" s="3952"/>
      <c r="AA5" s="3944"/>
      <c r="AB5" s="3946"/>
      <c r="AC5" s="3944"/>
    </row>
    <row r="6" spans="1:29" ht="15.75" thickBot="1">
      <c r="A6" s="3172"/>
      <c r="B6" s="3173"/>
      <c r="C6" s="3957" t="s">
        <v>3628</v>
      </c>
      <c r="D6" s="3958"/>
      <c r="E6" s="3959" t="str">
        <f>案例!C9</f>
        <v>中关村大街15号</v>
      </c>
      <c r="F6" s="3960"/>
      <c r="G6" s="3957" t="str">
        <f>案例!C10</f>
        <v>中关村大街19号</v>
      </c>
      <c r="H6" s="3958"/>
      <c r="I6" s="3957" t="str">
        <f>案例!C11</f>
        <v>中关村大街19号</v>
      </c>
      <c r="J6" s="3958"/>
      <c r="K6" s="3164" t="s">
        <v>1678</v>
      </c>
      <c r="L6" s="3165"/>
      <c r="M6" s="3166"/>
      <c r="N6" s="3166"/>
      <c r="O6" s="3166"/>
      <c r="P6" s="3971"/>
      <c r="Q6" s="3972"/>
      <c r="R6" s="3951"/>
      <c r="S6" s="3952"/>
      <c r="T6" s="3973"/>
      <c r="U6" s="3974"/>
      <c r="V6" s="3946"/>
      <c r="W6" s="3946"/>
      <c r="X6" s="3816"/>
      <c r="Y6" s="3973"/>
      <c r="Z6" s="3974"/>
      <c r="AA6" s="3945"/>
      <c r="AB6" s="3946"/>
      <c r="AC6" s="3945"/>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47" t="s">
        <v>1680</v>
      </c>
      <c r="Q7" s="3975"/>
      <c r="R7" s="3818" t="s">
        <v>14</v>
      </c>
      <c r="S7" s="3819">
        <f t="shared" ref="S7:S15" si="0">F7</f>
        <v>100</v>
      </c>
      <c r="T7" s="3818" t="s">
        <v>14</v>
      </c>
      <c r="U7" s="3819">
        <f t="shared" ref="U7:U15" si="1">H7</f>
        <v>100</v>
      </c>
      <c r="V7" s="3818" t="s">
        <v>14</v>
      </c>
      <c r="W7" s="3819">
        <f t="shared" ref="W7:W15" si="2">J7</f>
        <v>100</v>
      </c>
      <c r="X7" s="3182"/>
      <c r="Y7" s="3947" t="s">
        <v>1680</v>
      </c>
      <c r="Z7" s="3948"/>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47" t="s">
        <v>1683</v>
      </c>
      <c r="Q8" s="3948"/>
      <c r="R8" s="3818" t="s">
        <v>14</v>
      </c>
      <c r="S8" s="3819">
        <f t="shared" si="0"/>
        <v>100</v>
      </c>
      <c r="T8" s="3818" t="s">
        <v>14</v>
      </c>
      <c r="U8" s="3819">
        <f t="shared" si="1"/>
        <v>100</v>
      </c>
      <c r="V8" s="3818" t="s">
        <v>14</v>
      </c>
      <c r="W8" s="3819">
        <f t="shared" si="2"/>
        <v>100</v>
      </c>
      <c r="X8" s="3182"/>
      <c r="Y8" s="3947" t="s">
        <v>1683</v>
      </c>
      <c r="Z8" s="3948"/>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1" t="s">
        <v>1686</v>
      </c>
      <c r="Q9" s="3820" t="str">
        <f t="shared" ref="Q9:Q15" si="6">B9</f>
        <v>用途</v>
      </c>
      <c r="R9" s="3818" t="s">
        <v>14</v>
      </c>
      <c r="S9" s="3819">
        <f t="shared" si="0"/>
        <v>100</v>
      </c>
      <c r="T9" s="3818" t="s">
        <v>14</v>
      </c>
      <c r="U9" s="3819">
        <f t="shared" si="1"/>
        <v>100</v>
      </c>
      <c r="V9" s="3818" t="s">
        <v>14</v>
      </c>
      <c r="W9" s="3819">
        <f t="shared" si="2"/>
        <v>100</v>
      </c>
      <c r="X9" s="3182"/>
      <c r="Y9" s="3962"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1"/>
      <c r="Q10" s="3820" t="str">
        <f t="shared" si="6"/>
        <v>土地使用年限（年）</v>
      </c>
      <c r="R10" s="3818" t="s">
        <v>14</v>
      </c>
      <c r="S10" s="3819">
        <f t="shared" si="0"/>
        <v>100</v>
      </c>
      <c r="T10" s="3818" t="s">
        <v>14</v>
      </c>
      <c r="U10" s="3819">
        <f t="shared" si="1"/>
        <v>100</v>
      </c>
      <c r="V10" s="3818" t="s">
        <v>14</v>
      </c>
      <c r="W10" s="3819">
        <f t="shared" si="2"/>
        <v>100</v>
      </c>
      <c r="X10" s="3182"/>
      <c r="Y10" s="3962"/>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1"/>
      <c r="Q11" s="3820" t="str">
        <f t="shared" si="6"/>
        <v>容积率</v>
      </c>
      <c r="R11" s="3818" t="s">
        <v>14</v>
      </c>
      <c r="S11" s="3819">
        <f t="shared" si="0"/>
        <v>100</v>
      </c>
      <c r="T11" s="3818" t="s">
        <v>14</v>
      </c>
      <c r="U11" s="3819">
        <f t="shared" si="1"/>
        <v>100</v>
      </c>
      <c r="V11" s="3818" t="s">
        <v>14</v>
      </c>
      <c r="W11" s="3819">
        <f t="shared" si="2"/>
        <v>100</v>
      </c>
      <c r="X11" s="3182"/>
      <c r="Y11" s="3962"/>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1"/>
      <c r="Q12" s="3820">
        <f t="shared" si="6"/>
        <v>111</v>
      </c>
      <c r="R12" s="3818" t="s">
        <v>14</v>
      </c>
      <c r="S12" s="3819">
        <f t="shared" si="0"/>
        <v>100</v>
      </c>
      <c r="T12" s="3818" t="s">
        <v>14</v>
      </c>
      <c r="U12" s="3819">
        <f t="shared" si="1"/>
        <v>100</v>
      </c>
      <c r="V12" s="3818" t="s">
        <v>14</v>
      </c>
      <c r="W12" s="3819">
        <f t="shared" si="2"/>
        <v>100</v>
      </c>
      <c r="X12" s="3182"/>
      <c r="Y12" s="3962"/>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1"/>
      <c r="Q13" s="3820">
        <f t="shared" si="6"/>
        <v>111</v>
      </c>
      <c r="R13" s="3818" t="s">
        <v>14</v>
      </c>
      <c r="S13" s="3819">
        <f t="shared" si="0"/>
        <v>100</v>
      </c>
      <c r="T13" s="3818" t="s">
        <v>14</v>
      </c>
      <c r="U13" s="3819">
        <f t="shared" si="1"/>
        <v>100</v>
      </c>
      <c r="V13" s="3818" t="s">
        <v>14</v>
      </c>
      <c r="W13" s="3819">
        <f t="shared" si="2"/>
        <v>100</v>
      </c>
      <c r="X13" s="3182"/>
      <c r="Y13" s="3962"/>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1"/>
      <c r="Q14" s="3820">
        <f t="shared" si="6"/>
        <v>111</v>
      </c>
      <c r="R14" s="3818" t="s">
        <v>14</v>
      </c>
      <c r="S14" s="3819">
        <f t="shared" si="0"/>
        <v>100</v>
      </c>
      <c r="T14" s="3818" t="s">
        <v>14</v>
      </c>
      <c r="U14" s="3819">
        <f t="shared" si="1"/>
        <v>100</v>
      </c>
      <c r="V14" s="3818" t="s">
        <v>14</v>
      </c>
      <c r="W14" s="3819">
        <f t="shared" si="2"/>
        <v>100</v>
      </c>
      <c r="X14" s="3182"/>
      <c r="Y14" s="3962"/>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3670</v>
      </c>
      <c r="H15" s="3222">
        <f>SUMIF(76:76,G16,77:77)-SUMIF(76:76,C16,77:77)+100</f>
        <v>100</v>
      </c>
      <c r="I15" s="3836" t="s">
        <v>3670</v>
      </c>
      <c r="J15" s="3222">
        <f>SUMIF(76:76,I16,77:77)-SUMIF(76:76,C16,77:77)+100</f>
        <v>100</v>
      </c>
      <c r="K15" s="3225">
        <v>2</v>
      </c>
      <c r="L15" s="3213"/>
      <c r="M15" s="3166"/>
      <c r="N15" s="3166"/>
      <c r="O15" s="3166"/>
      <c r="P15" s="3976" t="s">
        <v>1691</v>
      </c>
      <c r="Q15" s="3827" t="str">
        <f t="shared" si="6"/>
        <v>商业繁华度</v>
      </c>
      <c r="R15" s="3227" t="s">
        <v>14</v>
      </c>
      <c r="S15" s="3228">
        <f t="shared" si="0"/>
        <v>100</v>
      </c>
      <c r="T15" s="3227" t="s">
        <v>14</v>
      </c>
      <c r="U15" s="3228">
        <f t="shared" si="1"/>
        <v>100</v>
      </c>
      <c r="V15" s="3227" t="s">
        <v>14</v>
      </c>
      <c r="W15" s="3228">
        <f t="shared" si="2"/>
        <v>100</v>
      </c>
      <c r="X15" s="3816"/>
      <c r="Y15" s="3978" t="s">
        <v>1691</v>
      </c>
      <c r="Z15" s="3817" t="str">
        <f t="shared" si="7"/>
        <v>商业繁华度</v>
      </c>
      <c r="AA15" s="3817">
        <f t="shared" si="3"/>
        <v>1</v>
      </c>
      <c r="AB15" s="3817">
        <f t="shared" si="4"/>
        <v>1</v>
      </c>
      <c r="AC15" s="3817">
        <f t="shared" si="5"/>
        <v>1</v>
      </c>
    </row>
    <row r="16" spans="1:29" ht="15">
      <c r="A16" s="3202"/>
      <c r="B16" s="3286"/>
      <c r="C16" s="3234" t="s">
        <v>3516</v>
      </c>
      <c r="D16" s="3233"/>
      <c r="E16" s="3831" t="s">
        <v>3516</v>
      </c>
      <c r="F16" s="3824"/>
      <c r="G16" s="3234" t="s">
        <v>3516</v>
      </c>
      <c r="H16" s="3235"/>
      <c r="I16" s="3234" t="s">
        <v>3516</v>
      </c>
      <c r="J16" s="3233"/>
      <c r="K16" s="3236"/>
      <c r="L16" s="3213"/>
      <c r="M16" s="3166"/>
      <c r="N16" s="3166"/>
      <c r="O16" s="3166"/>
      <c r="P16" s="3977"/>
      <c r="Q16" s="3827"/>
      <c r="R16" s="3227"/>
      <c r="S16" s="3228"/>
      <c r="T16" s="3227"/>
      <c r="U16" s="3228"/>
      <c r="V16" s="3227"/>
      <c r="W16" s="3228"/>
      <c r="X16" s="3816"/>
      <c r="Y16" s="3979"/>
      <c r="Z16" s="3817"/>
      <c r="AA16" s="3817">
        <v>1</v>
      </c>
      <c r="AB16" s="3817">
        <v>1</v>
      </c>
      <c r="AC16" s="3817">
        <v>1</v>
      </c>
    </row>
    <row r="17" spans="1:29" ht="214.5" customHeight="1">
      <c r="A17" s="3202"/>
      <c r="B17" s="3436" t="s">
        <v>1259</v>
      </c>
      <c r="C17" s="3825"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t="s">
        <v>3671</v>
      </c>
      <c r="F17" s="3823">
        <f>SUMIF(78:78,E18,79:79)-SUMIF(78:78,C18,79:79)+100</f>
        <v>100</v>
      </c>
      <c r="G17" s="3239" t="s">
        <v>3671</v>
      </c>
      <c r="H17" s="3241">
        <f>SUMIF(78:78,G18,79:79)-SUMIF(78:78,C18,79:79)+100</f>
        <v>100</v>
      </c>
      <c r="I17" s="3239" t="s">
        <v>3671</v>
      </c>
      <c r="J17" s="3241">
        <f>SUMIF(78:78,I18,79:79)-SUMIF(78:78,C18,79:79)+100</f>
        <v>100</v>
      </c>
      <c r="K17" s="3225">
        <v>2</v>
      </c>
      <c r="L17" s="3213"/>
      <c r="M17" s="3166"/>
      <c r="N17" s="3166"/>
      <c r="O17" s="3166"/>
      <c r="P17" s="3977"/>
      <c r="Q17" s="3827" t="str">
        <f>B17</f>
        <v>交通便捷度</v>
      </c>
      <c r="R17" s="3227" t="s">
        <v>14</v>
      </c>
      <c r="S17" s="3228">
        <f>F17</f>
        <v>100</v>
      </c>
      <c r="T17" s="3227" t="s">
        <v>14</v>
      </c>
      <c r="U17" s="3228">
        <f>H17</f>
        <v>100</v>
      </c>
      <c r="V17" s="3227" t="s">
        <v>14</v>
      </c>
      <c r="W17" s="3228">
        <f>J17</f>
        <v>100</v>
      </c>
      <c r="X17" s="3816"/>
      <c r="Y17" s="3979"/>
      <c r="Z17" s="3817" t="str">
        <f>Q17</f>
        <v>交通便捷度</v>
      </c>
      <c r="AA17" s="3817">
        <f t="shared" si="3"/>
        <v>1</v>
      </c>
      <c r="AB17" s="3817">
        <f t="shared" si="4"/>
        <v>1</v>
      </c>
      <c r="AC17" s="3817">
        <f t="shared" si="5"/>
        <v>1</v>
      </c>
    </row>
    <row r="18" spans="1:29" ht="15">
      <c r="A18" s="3202"/>
      <c r="B18" s="3439"/>
      <c r="C18" s="3244" t="s">
        <v>3517</v>
      </c>
      <c r="D18" s="3235"/>
      <c r="E18" s="3243" t="s">
        <v>3517</v>
      </c>
      <c r="F18" s="3823"/>
      <c r="G18" s="3244" t="s">
        <v>3517</v>
      </c>
      <c r="H18" s="3233"/>
      <c r="I18" s="3243" t="s">
        <v>3517</v>
      </c>
      <c r="J18" s="3233"/>
      <c r="K18" s="3236"/>
      <c r="L18" s="3213"/>
      <c r="M18" s="3166"/>
      <c r="N18" s="3166"/>
      <c r="O18" s="3166"/>
      <c r="P18" s="3977"/>
      <c r="Q18" s="3827"/>
      <c r="R18" s="3227"/>
      <c r="S18" s="3228"/>
      <c r="T18" s="3227"/>
      <c r="U18" s="3228"/>
      <c r="V18" s="3227"/>
      <c r="W18" s="3228"/>
      <c r="X18" s="3816"/>
      <c r="Y18" s="3979"/>
      <c r="Z18" s="3817"/>
      <c r="AA18" s="3817">
        <v>1</v>
      </c>
      <c r="AB18" s="3817">
        <v>1</v>
      </c>
      <c r="AC18" s="3817">
        <v>1</v>
      </c>
    </row>
    <row r="19" spans="1:29" ht="333" customHeight="1">
      <c r="A19" s="3202"/>
      <c r="B19" s="3436" t="s">
        <v>1778</v>
      </c>
      <c r="C19" s="3825"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822">
        <f>SUMIF(80:80,E20,81:81)-SUMIF(80:80,C20,81:81)+100</f>
        <v>100</v>
      </c>
      <c r="G19" s="3837" t="s">
        <v>3672</v>
      </c>
      <c r="H19" s="3235">
        <f>SUMIF(80:80,G20,81:81)-SUMIF(80:80,C20,81:81)+100</f>
        <v>100</v>
      </c>
      <c r="I19" s="3246"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77"/>
      <c r="Q19" s="3827" t="str">
        <f>B19</f>
        <v>公共配套设施</v>
      </c>
      <c r="R19" s="3227" t="s">
        <v>14</v>
      </c>
      <c r="S19" s="3228">
        <f>F19</f>
        <v>100</v>
      </c>
      <c r="T19" s="3227" t="s">
        <v>14</v>
      </c>
      <c r="U19" s="3228">
        <f>H19</f>
        <v>100</v>
      </c>
      <c r="V19" s="3227" t="s">
        <v>14</v>
      </c>
      <c r="W19" s="3228">
        <f>J19</f>
        <v>100</v>
      </c>
      <c r="X19" s="3816"/>
      <c r="Y19" s="3979"/>
      <c r="Z19" s="3817" t="str">
        <f>Q19</f>
        <v>公共配套设施</v>
      </c>
      <c r="AA19" s="3817">
        <f t="shared" si="3"/>
        <v>1</v>
      </c>
      <c r="AB19" s="3817">
        <f t="shared" si="4"/>
        <v>1</v>
      </c>
      <c r="AC19" s="3817">
        <f t="shared" si="5"/>
        <v>1</v>
      </c>
    </row>
    <row r="20" spans="1:29" ht="15">
      <c r="A20" s="3202"/>
      <c r="B20" s="3439"/>
      <c r="C20" s="3234" t="s">
        <v>3517</v>
      </c>
      <c r="D20" s="3233"/>
      <c r="E20" s="3232" t="s">
        <v>3517</v>
      </c>
      <c r="F20" s="3824"/>
      <c r="G20" s="3234" t="s">
        <v>3517</v>
      </c>
      <c r="H20" s="3233"/>
      <c r="I20" s="3232" t="s">
        <v>3517</v>
      </c>
      <c r="J20" s="3233"/>
      <c r="K20" s="3236"/>
      <c r="L20" s="3213"/>
      <c r="M20" s="3166"/>
      <c r="N20" s="3166"/>
      <c r="O20" s="3166"/>
      <c r="P20" s="3977"/>
      <c r="Q20" s="3827"/>
      <c r="R20" s="3227"/>
      <c r="S20" s="3228"/>
      <c r="T20" s="3227"/>
      <c r="U20" s="3228"/>
      <c r="V20" s="3227"/>
      <c r="W20" s="3228"/>
      <c r="X20" s="3816"/>
      <c r="Y20" s="3979"/>
      <c r="Z20" s="3817"/>
      <c r="AA20" s="3817">
        <v>1</v>
      </c>
      <c r="AB20" s="3817">
        <v>1</v>
      </c>
      <c r="AC20" s="3817">
        <v>1</v>
      </c>
    </row>
    <row r="21" spans="1:29" ht="15">
      <c r="A21" s="3202"/>
      <c r="B21" s="3441" t="s">
        <v>1779</v>
      </c>
      <c r="C21" s="3825" t="str">
        <f>估价对象房地状况!C8</f>
        <v>七通</v>
      </c>
      <c r="D21" s="3241">
        <v>100</v>
      </c>
      <c r="E21" s="3246"/>
      <c r="F21" s="3822">
        <f>SUMIF(82:82,E22,83:83)-SUMIF(82:82,C22,83:83)+100</f>
        <v>100</v>
      </c>
      <c r="G21" s="3245"/>
      <c r="H21" s="3235">
        <f>SUMIF(82:82,G22,83:83)-SUMIF(82:82,C22,83:83)+100</f>
        <v>100</v>
      </c>
      <c r="I21" s="3246"/>
      <c r="J21" s="3235">
        <f>SUMIF(82:82,I22,83:83)-SUMIF(82:82,C22,83:83)+100</f>
        <v>100</v>
      </c>
      <c r="K21" s="3225">
        <v>2</v>
      </c>
      <c r="L21" s="3213"/>
      <c r="M21" s="3166"/>
      <c r="N21" s="3166"/>
      <c r="O21" s="3166"/>
      <c r="P21" s="3977"/>
      <c r="Q21" s="3827" t="str">
        <f>B21</f>
        <v>基础设施水平</v>
      </c>
      <c r="R21" s="3227" t="s">
        <v>14</v>
      </c>
      <c r="S21" s="3228">
        <f>F21</f>
        <v>100</v>
      </c>
      <c r="T21" s="3227" t="s">
        <v>14</v>
      </c>
      <c r="U21" s="3228">
        <f>H21</f>
        <v>100</v>
      </c>
      <c r="V21" s="3227" t="s">
        <v>14</v>
      </c>
      <c r="W21" s="3228">
        <f>J21</f>
        <v>100</v>
      </c>
      <c r="X21" s="3816"/>
      <c r="Y21" s="3979"/>
      <c r="Z21" s="3817" t="str">
        <f>Q21</f>
        <v>基础设施水平</v>
      </c>
      <c r="AA21" s="3817">
        <f t="shared" ref="AA21" si="8">D21/F21</f>
        <v>1</v>
      </c>
      <c r="AB21" s="3817">
        <f t="shared" ref="AB21" si="9">D21/H21</f>
        <v>1</v>
      </c>
      <c r="AC21" s="3817">
        <f t="shared" ref="AC21" si="10">D21/J21</f>
        <v>1</v>
      </c>
    </row>
    <row r="22" spans="1:29" ht="15">
      <c r="A22" s="3202"/>
      <c r="B22" s="3441"/>
      <c r="C22" s="3244" t="s">
        <v>3514</v>
      </c>
      <c r="D22" s="3233"/>
      <c r="E22" s="3234" t="s">
        <v>3514</v>
      </c>
      <c r="F22" s="3824"/>
      <c r="G22" s="3234" t="s">
        <v>3514</v>
      </c>
      <c r="H22" s="3233"/>
      <c r="I22" s="3234" t="s">
        <v>3514</v>
      </c>
      <c r="J22" s="3233"/>
      <c r="K22" s="3248"/>
      <c r="L22" s="3213"/>
      <c r="M22" s="3166"/>
      <c r="N22" s="3166"/>
      <c r="O22" s="3166"/>
      <c r="P22" s="3977"/>
      <c r="Q22" s="3827"/>
      <c r="R22" s="3227"/>
      <c r="S22" s="3228"/>
      <c r="T22" s="3227"/>
      <c r="U22" s="3228"/>
      <c r="V22" s="3227"/>
      <c r="W22" s="3228"/>
      <c r="X22" s="3816"/>
      <c r="Y22" s="3979"/>
      <c r="Z22" s="3817"/>
      <c r="AA22" s="3817">
        <v>1</v>
      </c>
      <c r="AB22" s="3817">
        <v>1</v>
      </c>
      <c r="AC22" s="3817">
        <v>1</v>
      </c>
    </row>
    <row r="23" spans="1:29" ht="128.25">
      <c r="A23" s="3202"/>
      <c r="B23" s="3436" t="s">
        <v>1261</v>
      </c>
      <c r="C23" s="3825" t="str">
        <f>估价对象房地状况!C9</f>
        <v xml:space="preserve">自然环境：万泉河等自然景观；
人文环境：中国人民大学等人文场所；
综合评价自然及人文环境状况较好。
</v>
      </c>
      <c r="D23" s="3235">
        <v>100</v>
      </c>
      <c r="E23" s="3833" t="s">
        <v>3650</v>
      </c>
      <c r="F23" s="3823">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77"/>
      <c r="Q23" s="3827" t="str">
        <f>B23</f>
        <v>自然及人文环境</v>
      </c>
      <c r="R23" s="3227" t="s">
        <v>14</v>
      </c>
      <c r="S23" s="3228">
        <f>F23</f>
        <v>100</v>
      </c>
      <c r="T23" s="3227" t="s">
        <v>14</v>
      </c>
      <c r="U23" s="3228">
        <f>H23</f>
        <v>100</v>
      </c>
      <c r="V23" s="3227" t="s">
        <v>14</v>
      </c>
      <c r="W23" s="3228">
        <f>J23</f>
        <v>100</v>
      </c>
      <c r="X23" s="3816"/>
      <c r="Y23" s="3979"/>
      <c r="Z23" s="3817" t="str">
        <f>Q23</f>
        <v>自然及人文环境</v>
      </c>
      <c r="AA23" s="3817">
        <f t="shared" si="3"/>
        <v>1</v>
      </c>
      <c r="AB23" s="3817">
        <f t="shared" si="4"/>
        <v>1</v>
      </c>
      <c r="AC23" s="3817">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77"/>
      <c r="Q24" s="3827"/>
      <c r="R24" s="3227"/>
      <c r="S24" s="3228"/>
      <c r="T24" s="3227"/>
      <c r="U24" s="3228"/>
      <c r="V24" s="3227"/>
      <c r="W24" s="3228"/>
      <c r="X24" s="3816"/>
      <c r="Y24" s="3979"/>
      <c r="Z24" s="3817"/>
      <c r="AA24" s="3817">
        <v>1</v>
      </c>
      <c r="AB24" s="3817">
        <v>1</v>
      </c>
      <c r="AC24" s="3817">
        <v>1</v>
      </c>
    </row>
    <row r="25" spans="1:29" ht="15">
      <c r="A25" s="3202"/>
      <c r="B25" s="3195" t="s">
        <v>1780</v>
      </c>
      <c r="C25" s="3252" t="s">
        <v>3530</v>
      </c>
      <c r="D25" s="3212">
        <v>100</v>
      </c>
      <c r="E25" s="3835" t="s">
        <v>3530</v>
      </c>
      <c r="F25" s="3828">
        <f>SUMIF(86:86,E25,87:87)-SUMIF(86:86,C25,87:87)+100</f>
        <v>100</v>
      </c>
      <c r="G25" s="3835" t="s">
        <v>3530</v>
      </c>
      <c r="H25" s="3212">
        <f>SUMIF(86:86,G25,87:87)-SUMIF(86:86,C25,87:87)+100</f>
        <v>100</v>
      </c>
      <c r="I25" s="3252" t="s">
        <v>3530</v>
      </c>
      <c r="J25" s="3212">
        <f>SUMIF(86:86,I25,87:87)-SUMIF(86:86,C25,87:87)+100</f>
        <v>100</v>
      </c>
      <c r="K25" s="3203">
        <v>2</v>
      </c>
      <c r="L25" s="3213"/>
      <c r="M25" s="3166"/>
      <c r="N25" s="3166"/>
      <c r="O25" s="3166"/>
      <c r="P25" s="3977"/>
      <c r="Q25" s="3827" t="str">
        <f t="shared" ref="Q25:Q46" si="11">B25</f>
        <v>临街状况</v>
      </c>
      <c r="R25" s="3227" t="s">
        <v>14</v>
      </c>
      <c r="S25" s="3228">
        <f>F25</f>
        <v>100</v>
      </c>
      <c r="T25" s="3227" t="s">
        <v>14</v>
      </c>
      <c r="U25" s="3228">
        <f>H25</f>
        <v>100</v>
      </c>
      <c r="V25" s="3227" t="s">
        <v>14</v>
      </c>
      <c r="W25" s="3228">
        <f>J25</f>
        <v>100</v>
      </c>
      <c r="X25" s="3816"/>
      <c r="Y25" s="3979"/>
      <c r="Z25" s="3817" t="str">
        <f>Q25</f>
        <v>临街状况</v>
      </c>
      <c r="AA25" s="3817">
        <f t="shared" si="3"/>
        <v>1</v>
      </c>
      <c r="AB25" s="3817">
        <f t="shared" si="4"/>
        <v>1</v>
      </c>
      <c r="AC25" s="3817">
        <f t="shared" si="5"/>
        <v>1</v>
      </c>
    </row>
    <row r="26" spans="1:29" ht="15">
      <c r="A26" s="3202"/>
      <c r="B26" s="3442" t="s">
        <v>1781</v>
      </c>
      <c r="C26" s="3250" t="s">
        <v>3634</v>
      </c>
      <c r="D26" s="3212">
        <v>100</v>
      </c>
      <c r="E26" s="3250" t="s">
        <v>3521</v>
      </c>
      <c r="F26" s="3828">
        <f>SUMIF(88:88,E26,89:89)-SUMIF(88:88,C26,89:89)+100</f>
        <v>100</v>
      </c>
      <c r="G26" s="3250" t="s">
        <v>3520</v>
      </c>
      <c r="H26" s="3212">
        <f>SUMIF(88:88,G26,89:89)-SUMIF(88:88,C26,89:89)+100</f>
        <v>103</v>
      </c>
      <c r="I26" s="3250" t="s">
        <v>3521</v>
      </c>
      <c r="J26" s="3212">
        <f>SUMIF(88:88,I26,89:89)-SUMIF(88:88,C26,89:89)+100</f>
        <v>100</v>
      </c>
      <c r="K26" s="3210"/>
      <c r="L26" s="3213"/>
      <c r="M26" s="3166"/>
      <c r="N26" s="3166"/>
      <c r="O26" s="3166"/>
      <c r="P26" s="3977"/>
      <c r="Q26" s="3827" t="str">
        <f t="shared" si="11"/>
        <v>平面位置/可视性</v>
      </c>
      <c r="R26" s="3227" t="s">
        <v>14</v>
      </c>
      <c r="S26" s="3228">
        <f>F26</f>
        <v>100</v>
      </c>
      <c r="T26" s="3227" t="s">
        <v>14</v>
      </c>
      <c r="U26" s="3228">
        <f>H26</f>
        <v>103</v>
      </c>
      <c r="V26" s="3227" t="s">
        <v>14</v>
      </c>
      <c r="W26" s="3228">
        <f>J26</f>
        <v>100</v>
      </c>
      <c r="X26" s="3816"/>
      <c r="Y26" s="3979"/>
      <c r="Z26" s="3817" t="str">
        <f>Q26</f>
        <v>平面位置/可视性</v>
      </c>
      <c r="AA26" s="3817">
        <f t="shared" si="3"/>
        <v>1</v>
      </c>
      <c r="AB26" s="3817">
        <f t="shared" si="4"/>
        <v>0.970873786407767</v>
      </c>
      <c r="AC26" s="3817">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77"/>
      <c r="Q27" s="3820" t="str">
        <f t="shared" si="11"/>
        <v>人流量</v>
      </c>
      <c r="R27" s="3818" t="s">
        <v>14</v>
      </c>
      <c r="S27" s="3819">
        <f>F27</f>
        <v>100</v>
      </c>
      <c r="T27" s="3818" t="s">
        <v>14</v>
      </c>
      <c r="U27" s="3819">
        <f>H27</f>
        <v>100</v>
      </c>
      <c r="V27" s="3818" t="s">
        <v>14</v>
      </c>
      <c r="W27" s="3819">
        <f>J27</f>
        <v>100</v>
      </c>
      <c r="X27" s="3182"/>
      <c r="Y27" s="3979"/>
      <c r="Z27" s="3183" t="str">
        <f>Q27</f>
        <v>人流量</v>
      </c>
      <c r="AA27" s="3817">
        <f>D27/F27</f>
        <v>1</v>
      </c>
      <c r="AB27" s="3817">
        <f>D27/H27</f>
        <v>1</v>
      </c>
      <c r="AC27" s="3817">
        <f>D27/J27</f>
        <v>1</v>
      </c>
    </row>
    <row r="28" spans="1:29" ht="15">
      <c r="A28" s="3202"/>
      <c r="B28" s="3195" t="s">
        <v>1783</v>
      </c>
      <c r="C28" s="3252" t="s">
        <v>3519</v>
      </c>
      <c r="D28" s="3212">
        <v>100</v>
      </c>
      <c r="E28" s="3252" t="s">
        <v>3519</v>
      </c>
      <c r="F28" s="3828">
        <f>SUMIF(92:92,E28,93:93)-SUMIF(92:92,C28,93:93)+100</f>
        <v>100</v>
      </c>
      <c r="G28" s="3252" t="s">
        <v>3519</v>
      </c>
      <c r="H28" s="3212">
        <f>SUMIF(92:92,G28,93:93)-SUMIF(92:92,C28,93:93)+100</f>
        <v>100</v>
      </c>
      <c r="I28" s="3252" t="s">
        <v>3519</v>
      </c>
      <c r="J28" s="3212">
        <f>SUMIF(92:92,I28,93:93)-SUMIF(92:92,C28,93:93)+100</f>
        <v>100</v>
      </c>
      <c r="K28" s="3210"/>
      <c r="L28" s="3213"/>
      <c r="M28" s="3166"/>
      <c r="N28" s="3166"/>
      <c r="O28" s="3166"/>
      <c r="P28" s="3977"/>
      <c r="Q28" s="3827" t="str">
        <f t="shared" si="11"/>
        <v>楼层</v>
      </c>
      <c r="R28" s="3227" t="s">
        <v>14</v>
      </c>
      <c r="S28" s="3228">
        <f t="shared" ref="S28:S46" si="12">F28</f>
        <v>100</v>
      </c>
      <c r="T28" s="3227" t="s">
        <v>14</v>
      </c>
      <c r="U28" s="3228">
        <f t="shared" ref="U28:U46" si="13">H28</f>
        <v>100</v>
      </c>
      <c r="V28" s="3227" t="s">
        <v>14</v>
      </c>
      <c r="W28" s="3228">
        <f t="shared" ref="W28:W46" si="14">J28</f>
        <v>100</v>
      </c>
      <c r="X28" s="3816"/>
      <c r="Y28" s="3979"/>
      <c r="Z28" s="3817" t="str">
        <f t="shared" ref="Z28:Z46" si="15">Q28</f>
        <v>楼层</v>
      </c>
      <c r="AA28" s="3817">
        <f t="shared" si="3"/>
        <v>1</v>
      </c>
      <c r="AB28" s="3817">
        <f t="shared" si="4"/>
        <v>1</v>
      </c>
      <c r="AC28" s="3817">
        <f t="shared" si="5"/>
        <v>1</v>
      </c>
    </row>
    <row r="29" spans="1:29" ht="15">
      <c r="A29" s="3202"/>
      <c r="B29" s="3274">
        <v>111</v>
      </c>
      <c r="C29" s="3211"/>
      <c r="D29" s="3212">
        <v>100</v>
      </c>
      <c r="E29" s="3211"/>
      <c r="F29" s="3828">
        <f>SUMIF(94:94,E29,95:95)-SUMIF(94:94,C29,95:95)+100</f>
        <v>100</v>
      </c>
      <c r="G29" s="3211"/>
      <c r="H29" s="3212">
        <f>SUMIF(94:94,G29,95:95)-SUMIF(94:94,C29,95:95)+100</f>
        <v>100</v>
      </c>
      <c r="I29" s="3211"/>
      <c r="J29" s="3212">
        <f>SUMIF(94:94,I29,95:95)-SUMIF(94:94,C29,95:95)+100</f>
        <v>100</v>
      </c>
      <c r="K29" s="3210"/>
      <c r="L29" s="3213"/>
      <c r="M29" s="3166"/>
      <c r="N29" s="3166"/>
      <c r="O29" s="3166"/>
      <c r="P29" s="3977"/>
      <c r="Q29" s="3827">
        <f t="shared" si="11"/>
        <v>111</v>
      </c>
      <c r="R29" s="3227" t="s">
        <v>14</v>
      </c>
      <c r="S29" s="3228">
        <f t="shared" si="12"/>
        <v>100</v>
      </c>
      <c r="T29" s="3227" t="s">
        <v>14</v>
      </c>
      <c r="U29" s="3228">
        <f t="shared" si="13"/>
        <v>100</v>
      </c>
      <c r="V29" s="3227" t="s">
        <v>14</v>
      </c>
      <c r="W29" s="3228">
        <f t="shared" si="14"/>
        <v>100</v>
      </c>
      <c r="X29" s="3816"/>
      <c r="Y29" s="3979"/>
      <c r="Z29" s="3817">
        <f t="shared" si="15"/>
        <v>111</v>
      </c>
      <c r="AA29" s="3817">
        <f t="shared" si="3"/>
        <v>1</v>
      </c>
      <c r="AB29" s="3817">
        <f t="shared" si="4"/>
        <v>1</v>
      </c>
      <c r="AC29" s="3817">
        <f t="shared" si="5"/>
        <v>1</v>
      </c>
    </row>
    <row r="30" spans="1:29" ht="15">
      <c r="A30" s="3202"/>
      <c r="B30" s="3274">
        <v>111</v>
      </c>
      <c r="C30" s="3211"/>
      <c r="D30" s="3212">
        <v>100</v>
      </c>
      <c r="E30" s="3211"/>
      <c r="F30" s="3828">
        <f>SUMIF(96:96,E30,97:97)-SUMIF(96:96,C30,97:97)+100</f>
        <v>100</v>
      </c>
      <c r="G30" s="3211"/>
      <c r="H30" s="3212">
        <f>SUMIF(96:96,G30,97:97)-SUMIF(96:96,C30,97:97)+100</f>
        <v>100</v>
      </c>
      <c r="I30" s="3211"/>
      <c r="J30" s="3212">
        <f>SUMIF(96:96,I30,97:97)-SUMIF(96:96,C30,97:97)+100</f>
        <v>100</v>
      </c>
      <c r="K30" s="3210"/>
      <c r="L30" s="3213"/>
      <c r="M30" s="3166"/>
      <c r="N30" s="3166"/>
      <c r="O30" s="3166"/>
      <c r="P30" s="3977"/>
      <c r="Q30" s="3827">
        <f t="shared" si="11"/>
        <v>111</v>
      </c>
      <c r="R30" s="3227" t="s">
        <v>14</v>
      </c>
      <c r="S30" s="3228">
        <f t="shared" si="12"/>
        <v>100</v>
      </c>
      <c r="T30" s="3227" t="s">
        <v>14</v>
      </c>
      <c r="U30" s="3228">
        <f t="shared" si="13"/>
        <v>100</v>
      </c>
      <c r="V30" s="3227" t="s">
        <v>14</v>
      </c>
      <c r="W30" s="3228">
        <f t="shared" si="14"/>
        <v>100</v>
      </c>
      <c r="X30" s="3816"/>
      <c r="Y30" s="3979"/>
      <c r="Z30" s="3817">
        <f t="shared" si="15"/>
        <v>111</v>
      </c>
      <c r="AA30" s="3817">
        <f t="shared" si="3"/>
        <v>1</v>
      </c>
      <c r="AB30" s="3817">
        <f t="shared" si="4"/>
        <v>1</v>
      </c>
      <c r="AC30" s="3817">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77"/>
      <c r="Q31" s="3827">
        <f t="shared" si="11"/>
        <v>111</v>
      </c>
      <c r="R31" s="3227" t="s">
        <v>14</v>
      </c>
      <c r="S31" s="3228">
        <f t="shared" si="12"/>
        <v>100</v>
      </c>
      <c r="T31" s="3227" t="s">
        <v>14</v>
      </c>
      <c r="U31" s="3228">
        <f t="shared" si="13"/>
        <v>100</v>
      </c>
      <c r="V31" s="3227" t="s">
        <v>14</v>
      </c>
      <c r="W31" s="3228">
        <f t="shared" si="14"/>
        <v>100</v>
      </c>
      <c r="X31" s="3816"/>
      <c r="Y31" s="3979"/>
      <c r="Z31" s="3817">
        <f t="shared" si="15"/>
        <v>111</v>
      </c>
      <c r="AA31" s="3817">
        <f t="shared" si="3"/>
        <v>1</v>
      </c>
      <c r="AB31" s="3817">
        <f t="shared" si="4"/>
        <v>1</v>
      </c>
      <c r="AC31" s="3817">
        <f t="shared" si="5"/>
        <v>1</v>
      </c>
    </row>
    <row r="32" spans="1:29" ht="15">
      <c r="A32" s="3219" t="s">
        <v>1694</v>
      </c>
      <c r="B32" s="3188" t="s">
        <v>1784</v>
      </c>
      <c r="C32" s="3259" t="s">
        <v>3576</v>
      </c>
      <c r="D32" s="3821">
        <v>100</v>
      </c>
      <c r="E32" s="3259" t="s">
        <v>3576</v>
      </c>
      <c r="F32" s="3828">
        <f>SUMIF(100:100,E32,101:101)-SUMIF(100:100,C32,101:101)+100</f>
        <v>100</v>
      </c>
      <c r="G32" s="3259" t="s">
        <v>3576</v>
      </c>
      <c r="H32" s="3212">
        <f>SUMIF(100:100,G32,101:101)-SUMIF(100:100,C32,101:101)+100</f>
        <v>100</v>
      </c>
      <c r="I32" s="3259" t="s">
        <v>3576</v>
      </c>
      <c r="J32" s="3821">
        <f>SUMIF(100:100,I32,101:101)-SUMIF(100:100,C32,101:101)+100</f>
        <v>100</v>
      </c>
      <c r="K32" s="3203">
        <v>1</v>
      </c>
      <c r="L32" s="3213"/>
      <c r="M32" s="3166"/>
      <c r="N32" s="3166"/>
      <c r="O32" s="3166"/>
      <c r="P32" s="3980" t="s">
        <v>1696</v>
      </c>
      <c r="Q32" s="3827" t="str">
        <f t="shared" si="11"/>
        <v>商业类型</v>
      </c>
      <c r="R32" s="3227" t="s">
        <v>14</v>
      </c>
      <c r="S32" s="3228">
        <f t="shared" si="12"/>
        <v>100</v>
      </c>
      <c r="T32" s="3227" t="s">
        <v>14</v>
      </c>
      <c r="U32" s="3228">
        <f t="shared" si="13"/>
        <v>100</v>
      </c>
      <c r="V32" s="3227" t="s">
        <v>14</v>
      </c>
      <c r="W32" s="3228">
        <f t="shared" si="14"/>
        <v>100</v>
      </c>
      <c r="X32" s="3816"/>
      <c r="Y32" s="3983" t="s">
        <v>1696</v>
      </c>
      <c r="Z32" s="3817" t="str">
        <f t="shared" si="15"/>
        <v>商业类型</v>
      </c>
      <c r="AA32" s="3817">
        <f t="shared" si="3"/>
        <v>1</v>
      </c>
      <c r="AB32" s="3817">
        <f t="shared" si="4"/>
        <v>1</v>
      </c>
      <c r="AC32" s="3817">
        <f t="shared" si="5"/>
        <v>1</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1"/>
      <c r="Q33" s="3265" t="str">
        <f t="shared" si="11"/>
        <v>项目建筑规模</v>
      </c>
      <c r="R33" s="3266" t="s">
        <v>14</v>
      </c>
      <c r="S33" s="3267">
        <f t="shared" si="12"/>
        <v>100</v>
      </c>
      <c r="T33" s="3266" t="s">
        <v>14</v>
      </c>
      <c r="U33" s="3267">
        <f t="shared" si="13"/>
        <v>100</v>
      </c>
      <c r="V33" s="3266" t="s">
        <v>14</v>
      </c>
      <c r="W33" s="3267">
        <f t="shared" si="14"/>
        <v>100</v>
      </c>
      <c r="X33" s="3268"/>
      <c r="Y33" s="3983"/>
      <c r="Z33" s="3269" t="str">
        <f t="shared" si="15"/>
        <v>项目建筑规模</v>
      </c>
      <c r="AA33" s="3817">
        <f t="shared" si="3"/>
        <v>1</v>
      </c>
      <c r="AB33" s="3817">
        <f t="shared" si="4"/>
        <v>1</v>
      </c>
      <c r="AC33" s="3817">
        <f t="shared" si="5"/>
        <v>1</v>
      </c>
    </row>
    <row r="34" spans="1:29" ht="15">
      <c r="A34" s="3271"/>
      <c r="B34" s="3195" t="s">
        <v>1698</v>
      </c>
      <c r="C34" s="3272" t="s">
        <v>3568</v>
      </c>
      <c r="D34" s="3212">
        <v>100</v>
      </c>
      <c r="E34" s="3272" t="s">
        <v>3568</v>
      </c>
      <c r="F34" s="3828">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81"/>
      <c r="Q34" s="3827" t="str">
        <f t="shared" si="11"/>
        <v>建筑结构</v>
      </c>
      <c r="R34" s="3227" t="s">
        <v>14</v>
      </c>
      <c r="S34" s="3228">
        <f t="shared" si="12"/>
        <v>100</v>
      </c>
      <c r="T34" s="3227" t="s">
        <v>14</v>
      </c>
      <c r="U34" s="3228">
        <f t="shared" si="13"/>
        <v>100</v>
      </c>
      <c r="V34" s="3227" t="s">
        <v>14</v>
      </c>
      <c r="W34" s="3228">
        <f t="shared" si="14"/>
        <v>100</v>
      </c>
      <c r="X34" s="3816"/>
      <c r="Y34" s="3983"/>
      <c r="Z34" s="3817" t="str">
        <f t="shared" si="15"/>
        <v>建筑结构</v>
      </c>
      <c r="AA34" s="3817">
        <f t="shared" si="3"/>
        <v>1</v>
      </c>
      <c r="AB34" s="3817">
        <f t="shared" si="4"/>
        <v>1</v>
      </c>
      <c r="AC34" s="3817">
        <f t="shared" si="5"/>
        <v>1</v>
      </c>
    </row>
    <row r="35" spans="1:29" ht="15">
      <c r="A35" s="3271"/>
      <c r="B35" s="3195" t="s">
        <v>1785</v>
      </c>
      <c r="C35" s="3272" t="s">
        <v>3556</v>
      </c>
      <c r="D35" s="3212">
        <v>100</v>
      </c>
      <c r="E35" s="3272" t="s">
        <v>3556</v>
      </c>
      <c r="F35" s="3828">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81"/>
      <c r="Q35" s="3827" t="str">
        <f t="shared" si="11"/>
        <v>公共部分装修</v>
      </c>
      <c r="R35" s="3227" t="s">
        <v>14</v>
      </c>
      <c r="S35" s="3228">
        <f t="shared" si="12"/>
        <v>100</v>
      </c>
      <c r="T35" s="3227" t="s">
        <v>14</v>
      </c>
      <c r="U35" s="3228">
        <f t="shared" si="13"/>
        <v>100</v>
      </c>
      <c r="V35" s="3227" t="s">
        <v>14</v>
      </c>
      <c r="W35" s="3228">
        <f t="shared" si="14"/>
        <v>100</v>
      </c>
      <c r="X35" s="3816"/>
      <c r="Y35" s="3983"/>
      <c r="Z35" s="3817" t="str">
        <f t="shared" si="15"/>
        <v>公共部分装修</v>
      </c>
      <c r="AA35" s="3817">
        <f t="shared" si="3"/>
        <v>1</v>
      </c>
      <c r="AB35" s="3817">
        <f t="shared" si="4"/>
        <v>1</v>
      </c>
      <c r="AC35" s="3817">
        <f t="shared" si="5"/>
        <v>1</v>
      </c>
    </row>
    <row r="36" spans="1:29" ht="15">
      <c r="A36" s="3271"/>
      <c r="B36" s="3195" t="s">
        <v>1786</v>
      </c>
      <c r="C36" s="3263">
        <v>0.67</v>
      </c>
      <c r="D36" s="3212">
        <v>100</v>
      </c>
      <c r="E36" s="3263">
        <v>0.67</v>
      </c>
      <c r="F36" s="3828">
        <f>LOOKUP(E36,110:110,111:111)-LOOKUP(C36,110:110,111:111)+100</f>
        <v>100</v>
      </c>
      <c r="G36" s="3263">
        <v>0.72</v>
      </c>
      <c r="H36" s="3828">
        <f>LOOKUP(G36,110:110,111:111)-LOOKUP(C36,110:110,111:111)+100</f>
        <v>100</v>
      </c>
      <c r="I36" s="3263">
        <v>0.72</v>
      </c>
      <c r="J36" s="3212">
        <f>LOOKUP(I36,110:110,111:111)-LOOKUP(C36,110:110,111:111)+100</f>
        <v>100</v>
      </c>
      <c r="K36" s="3203"/>
      <c r="L36" s="3213"/>
      <c r="M36" s="3166"/>
      <c r="N36" s="3166"/>
      <c r="O36" s="3166"/>
      <c r="P36" s="3981"/>
      <c r="Q36" s="3827" t="str">
        <f t="shared" si="11"/>
        <v>成新度</v>
      </c>
      <c r="R36" s="3227" t="s">
        <v>14</v>
      </c>
      <c r="S36" s="3228">
        <f t="shared" si="12"/>
        <v>100</v>
      </c>
      <c r="T36" s="3227" t="s">
        <v>14</v>
      </c>
      <c r="U36" s="3228">
        <f t="shared" si="13"/>
        <v>100</v>
      </c>
      <c r="V36" s="3227" t="s">
        <v>14</v>
      </c>
      <c r="W36" s="3228">
        <f t="shared" si="14"/>
        <v>100</v>
      </c>
      <c r="X36" s="3816"/>
      <c r="Y36" s="3983"/>
      <c r="Z36" s="3817" t="str">
        <f t="shared" si="15"/>
        <v>成新度</v>
      </c>
      <c r="AA36" s="3817">
        <f t="shared" si="3"/>
        <v>1</v>
      </c>
      <c r="AB36" s="3817">
        <f t="shared" si="4"/>
        <v>1</v>
      </c>
      <c r="AC36" s="3817">
        <f t="shared" si="5"/>
        <v>1</v>
      </c>
    </row>
    <row r="37" spans="1:29" s="3185" customFormat="1" ht="15">
      <c r="A37" s="3273"/>
      <c r="B37" s="3195" t="s">
        <v>1787</v>
      </c>
      <c r="C37" s="3272" t="s">
        <v>3563</v>
      </c>
      <c r="D37" s="3197">
        <v>100</v>
      </c>
      <c r="E37" s="3272" t="s">
        <v>3563</v>
      </c>
      <c r="F37" s="3828">
        <f>SUMIF(112:112,E37,113:113)-SUMIF(112:112,C37,113:113)+100</f>
        <v>100</v>
      </c>
      <c r="G37" s="3272" t="s">
        <v>3563</v>
      </c>
      <c r="H37" s="3212">
        <f>SUMIF(112:112,G37,113:113)-SUMIF(112:112,C37,113:113)+100</f>
        <v>100</v>
      </c>
      <c r="I37" s="3272" t="s">
        <v>3563</v>
      </c>
      <c r="J37" s="3212">
        <f>SUMIF(112:112,I37,113:113)-SUMIF(112:112,C37,113:113)+100</f>
        <v>100</v>
      </c>
      <c r="K37" s="3203">
        <v>3</v>
      </c>
      <c r="L37" s="3178"/>
      <c r="M37" s="3179"/>
      <c r="N37" s="3179"/>
      <c r="O37" s="3179"/>
      <c r="P37" s="3981"/>
      <c r="Q37" s="3820" t="str">
        <f t="shared" si="11"/>
        <v>市政基础设施</v>
      </c>
      <c r="R37" s="3818" t="s">
        <v>14</v>
      </c>
      <c r="S37" s="3819">
        <f t="shared" si="12"/>
        <v>100</v>
      </c>
      <c r="T37" s="3818" t="s">
        <v>14</v>
      </c>
      <c r="U37" s="3819">
        <f t="shared" si="13"/>
        <v>100</v>
      </c>
      <c r="V37" s="3818" t="s">
        <v>14</v>
      </c>
      <c r="W37" s="3819">
        <f t="shared" si="14"/>
        <v>100</v>
      </c>
      <c r="X37" s="3182"/>
      <c r="Y37" s="3983"/>
      <c r="Z37" s="3183" t="str">
        <f t="shared" si="15"/>
        <v>市政基础设施</v>
      </c>
      <c r="AA37" s="3183">
        <f t="shared" si="3"/>
        <v>1</v>
      </c>
      <c r="AB37" s="3183">
        <f t="shared" si="4"/>
        <v>1</v>
      </c>
      <c r="AC37" s="3183">
        <f t="shared" si="5"/>
        <v>1</v>
      </c>
    </row>
    <row r="38" spans="1:29" ht="15">
      <c r="A38" s="3271"/>
      <c r="B38" s="3195" t="s">
        <v>1788</v>
      </c>
      <c r="C38" s="3272" t="s">
        <v>3641</v>
      </c>
      <c r="D38" s="3212">
        <v>100</v>
      </c>
      <c r="E38" s="3272" t="s">
        <v>3641</v>
      </c>
      <c r="F38" s="3828">
        <f>SUMIF(114:114,E38,115:115)-SUMIF(114:114,C38,115:115)+100</f>
        <v>100</v>
      </c>
      <c r="G38" s="3272" t="s">
        <v>3641</v>
      </c>
      <c r="H38" s="3212">
        <f>SUMIF(114:114,G38,115:115)-SUMIF(114:114,C38,115:115)+100</f>
        <v>100</v>
      </c>
      <c r="I38" s="3272" t="s">
        <v>3641</v>
      </c>
      <c r="J38" s="3212">
        <f>SUMIF(114:114,I38,115:115)-SUMIF(114:114,C38,115:115)+100</f>
        <v>100</v>
      </c>
      <c r="K38" s="3203">
        <v>10</v>
      </c>
      <c r="L38" s="3213"/>
      <c r="M38" s="3166"/>
      <c r="N38" s="3166"/>
      <c r="O38" s="3166"/>
      <c r="P38" s="3981" t="s">
        <v>1696</v>
      </c>
      <c r="Q38" s="3827" t="str">
        <f t="shared" si="11"/>
        <v>业态</v>
      </c>
      <c r="R38" s="3227" t="s">
        <v>14</v>
      </c>
      <c r="S38" s="3228">
        <f t="shared" si="12"/>
        <v>100</v>
      </c>
      <c r="T38" s="3227" t="s">
        <v>14</v>
      </c>
      <c r="U38" s="3228">
        <f t="shared" si="13"/>
        <v>100</v>
      </c>
      <c r="V38" s="3227" t="s">
        <v>14</v>
      </c>
      <c r="W38" s="3228">
        <f t="shared" si="14"/>
        <v>100</v>
      </c>
      <c r="X38" s="3816"/>
      <c r="Y38" s="3983" t="s">
        <v>1696</v>
      </c>
      <c r="Z38" s="3817" t="str">
        <f t="shared" si="15"/>
        <v>业态</v>
      </c>
      <c r="AA38" s="3817">
        <f t="shared" si="3"/>
        <v>1</v>
      </c>
      <c r="AB38" s="3817">
        <f t="shared" si="4"/>
        <v>1</v>
      </c>
      <c r="AC38" s="3817">
        <f t="shared" si="5"/>
        <v>1</v>
      </c>
    </row>
    <row r="39" spans="1:29" ht="15">
      <c r="A39" s="3271"/>
      <c r="B39" s="3195" t="s">
        <v>1789</v>
      </c>
      <c r="C39" s="3272" t="s">
        <v>3643</v>
      </c>
      <c r="D39" s="3212">
        <v>100</v>
      </c>
      <c r="E39" s="3272" t="s">
        <v>3541</v>
      </c>
      <c r="F39" s="3828">
        <f>SUMIF(116:116,E39,117:117)-SUMIF(116:116,C39,117:117)+100</f>
        <v>102</v>
      </c>
      <c r="G39" s="3272" t="s">
        <v>3643</v>
      </c>
      <c r="H39" s="3212">
        <f>SUMIF(116:116,G39,117:117)-SUMIF(116:116,C39,117:117)+100</f>
        <v>100</v>
      </c>
      <c r="I39" s="3272" t="s">
        <v>3643</v>
      </c>
      <c r="J39" s="3212">
        <f>SUMIF(116:116,I39,117:117)-SUMIF(116:116,C39,117:117)+100</f>
        <v>100</v>
      </c>
      <c r="K39" s="3203">
        <v>1</v>
      </c>
      <c r="L39" s="3213"/>
      <c r="M39" s="3166"/>
      <c r="N39" s="3166"/>
      <c r="O39" s="3166"/>
      <c r="P39" s="3981"/>
      <c r="Q39" s="3827" t="str">
        <f t="shared" si="11"/>
        <v>层高</v>
      </c>
      <c r="R39" s="3227" t="s">
        <v>14</v>
      </c>
      <c r="S39" s="3228">
        <f t="shared" si="12"/>
        <v>102</v>
      </c>
      <c r="T39" s="3227" t="s">
        <v>14</v>
      </c>
      <c r="U39" s="3228">
        <f t="shared" si="13"/>
        <v>100</v>
      </c>
      <c r="V39" s="3227" t="s">
        <v>14</v>
      </c>
      <c r="W39" s="3228">
        <f t="shared" si="14"/>
        <v>100</v>
      </c>
      <c r="X39" s="3816"/>
      <c r="Y39" s="3983"/>
      <c r="Z39" s="3817" t="str">
        <f t="shared" si="15"/>
        <v>层高</v>
      </c>
      <c r="AA39" s="3817">
        <f t="shared" si="3"/>
        <v>0.98039215686274506</v>
      </c>
      <c r="AB39" s="3817">
        <f t="shared" si="4"/>
        <v>1</v>
      </c>
      <c r="AC39" s="3817">
        <f t="shared" si="5"/>
        <v>1</v>
      </c>
    </row>
    <row r="40" spans="1:29" ht="15">
      <c r="A40" s="3271"/>
      <c r="B40" s="3195" t="s">
        <v>1790</v>
      </c>
      <c r="C40" s="3443">
        <v>343.31</v>
      </c>
      <c r="D40" s="3212">
        <v>100</v>
      </c>
      <c r="E40" s="3443">
        <f>案例!F9</f>
        <v>267.39</v>
      </c>
      <c r="F40" s="3828">
        <f>SUMIF(118:118,E40,119:119)-SUMIF(118:118,C40,119:119)+100</f>
        <v>98</v>
      </c>
      <c r="G40" s="3443">
        <f>案例!F10</f>
        <v>164.78</v>
      </c>
      <c r="H40" s="3212">
        <f>SUMIF(118:118,G40,119:119)-SUMIF(118:118,C40,119:119)+100</f>
        <v>98</v>
      </c>
      <c r="I40" s="3443">
        <f>案例!F11</f>
        <v>300</v>
      </c>
      <c r="J40" s="3212">
        <f>SUMIF(118:118,I40,119:119)-SUMIF(118:118,C40,119:119)+100</f>
        <v>100</v>
      </c>
      <c r="K40" s="3210"/>
      <c r="L40" s="3213"/>
      <c r="M40" s="3166"/>
      <c r="N40" s="3166"/>
      <c r="O40" s="3166"/>
      <c r="P40" s="3981"/>
      <c r="Q40" s="3827" t="str">
        <f t="shared" si="11"/>
        <v>单套建筑面积</v>
      </c>
      <c r="R40" s="3227" t="s">
        <v>14</v>
      </c>
      <c r="S40" s="3228">
        <f t="shared" si="12"/>
        <v>98</v>
      </c>
      <c r="T40" s="3227" t="s">
        <v>14</v>
      </c>
      <c r="U40" s="3228">
        <f t="shared" si="13"/>
        <v>98</v>
      </c>
      <c r="V40" s="3227" t="s">
        <v>14</v>
      </c>
      <c r="W40" s="3228">
        <f t="shared" si="14"/>
        <v>100</v>
      </c>
      <c r="X40" s="3816"/>
      <c r="Y40" s="3983"/>
      <c r="Z40" s="3817" t="str">
        <f t="shared" si="15"/>
        <v>单套建筑面积</v>
      </c>
      <c r="AA40" s="3817">
        <f t="shared" si="3"/>
        <v>1.0204081632653061</v>
      </c>
      <c r="AB40" s="3817">
        <f t="shared" si="4"/>
        <v>1.0204081632653061</v>
      </c>
      <c r="AC40" s="3817">
        <f t="shared" si="5"/>
        <v>1</v>
      </c>
    </row>
    <row r="41" spans="1:29" s="3270" customFormat="1" ht="15">
      <c r="A41" s="3262"/>
      <c r="B41" s="3828" t="s">
        <v>1791</v>
      </c>
      <c r="C41" s="3252" t="s">
        <v>3516</v>
      </c>
      <c r="D41" s="3212">
        <v>100</v>
      </c>
      <c r="E41" s="3252" t="s">
        <v>3516</v>
      </c>
      <c r="F41" s="3828">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81"/>
      <c r="Q41" s="3265" t="str">
        <f t="shared" si="11"/>
        <v>进深比</v>
      </c>
      <c r="R41" s="3266" t="s">
        <v>14</v>
      </c>
      <c r="S41" s="3267">
        <f t="shared" si="12"/>
        <v>100</v>
      </c>
      <c r="T41" s="3266" t="s">
        <v>14</v>
      </c>
      <c r="U41" s="3267">
        <f t="shared" si="13"/>
        <v>100</v>
      </c>
      <c r="V41" s="3266" t="s">
        <v>14</v>
      </c>
      <c r="W41" s="3267">
        <f t="shared" si="14"/>
        <v>100</v>
      </c>
      <c r="X41" s="3268"/>
      <c r="Y41" s="3983"/>
      <c r="Z41" s="3269" t="str">
        <f t="shared" si="15"/>
        <v>进深比</v>
      </c>
      <c r="AA41" s="3817">
        <f t="shared" si="3"/>
        <v>1</v>
      </c>
      <c r="AB41" s="3817">
        <f t="shared" si="4"/>
        <v>1</v>
      </c>
      <c r="AC41" s="3817">
        <f t="shared" si="5"/>
        <v>1</v>
      </c>
    </row>
    <row r="42" spans="1:29" ht="15">
      <c r="A42" s="3271"/>
      <c r="B42" s="3195" t="s">
        <v>1792</v>
      </c>
      <c r="C42" s="3272" t="s">
        <v>3556</v>
      </c>
      <c r="D42" s="3212">
        <v>100</v>
      </c>
      <c r="E42" s="3272" t="s">
        <v>3556</v>
      </c>
      <c r="F42" s="3828">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81"/>
      <c r="Q42" s="3827" t="str">
        <f t="shared" si="11"/>
        <v>内部装修</v>
      </c>
      <c r="R42" s="3227" t="s">
        <v>14</v>
      </c>
      <c r="S42" s="3228">
        <f t="shared" si="12"/>
        <v>100</v>
      </c>
      <c r="T42" s="3227" t="s">
        <v>14</v>
      </c>
      <c r="U42" s="3228">
        <f t="shared" si="13"/>
        <v>100</v>
      </c>
      <c r="V42" s="3227" t="s">
        <v>14</v>
      </c>
      <c r="W42" s="3228">
        <f t="shared" si="14"/>
        <v>100</v>
      </c>
      <c r="X42" s="3816"/>
      <c r="Y42" s="3983"/>
      <c r="Z42" s="3817" t="str">
        <f t="shared" si="15"/>
        <v>内部装修</v>
      </c>
      <c r="AA42" s="3817">
        <f t="shared" si="3"/>
        <v>1</v>
      </c>
      <c r="AB42" s="3817">
        <f t="shared" si="4"/>
        <v>1</v>
      </c>
      <c r="AC42" s="3817">
        <f t="shared" si="5"/>
        <v>1</v>
      </c>
    </row>
    <row r="43" spans="1:29" ht="15">
      <c r="A43" s="3271"/>
      <c r="B43" s="3195" t="s">
        <v>1707</v>
      </c>
      <c r="C43" s="3272" t="s">
        <v>3516</v>
      </c>
      <c r="D43" s="3212">
        <v>100</v>
      </c>
      <c r="E43" s="3272" t="s">
        <v>3516</v>
      </c>
      <c r="F43" s="3828">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81"/>
      <c r="Q43" s="3827" t="str">
        <f t="shared" si="11"/>
        <v>内部装修维护情况</v>
      </c>
      <c r="R43" s="3227" t="s">
        <v>14</v>
      </c>
      <c r="S43" s="3228">
        <f t="shared" si="12"/>
        <v>100</v>
      </c>
      <c r="T43" s="3227" t="s">
        <v>14</v>
      </c>
      <c r="U43" s="3228">
        <f t="shared" si="13"/>
        <v>100</v>
      </c>
      <c r="V43" s="3227" t="s">
        <v>14</v>
      </c>
      <c r="W43" s="3228">
        <f t="shared" si="14"/>
        <v>100</v>
      </c>
      <c r="X43" s="3816"/>
      <c r="Y43" s="3983"/>
      <c r="Z43" s="3817" t="str">
        <f t="shared" si="15"/>
        <v>内部装修维护情况</v>
      </c>
      <c r="AA43" s="3817">
        <f t="shared" si="3"/>
        <v>1</v>
      </c>
      <c r="AB43" s="3817">
        <f t="shared" si="4"/>
        <v>1</v>
      </c>
      <c r="AC43" s="3817">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1"/>
      <c r="Q44" s="3820" t="str">
        <f t="shared" si="11"/>
        <v>使用限制</v>
      </c>
      <c r="R44" s="3818" t="s">
        <v>14</v>
      </c>
      <c r="S44" s="3819">
        <f t="shared" si="12"/>
        <v>100</v>
      </c>
      <c r="T44" s="3818" t="s">
        <v>14</v>
      </c>
      <c r="U44" s="3819">
        <f t="shared" si="13"/>
        <v>100</v>
      </c>
      <c r="V44" s="3818" t="s">
        <v>14</v>
      </c>
      <c r="W44" s="3819">
        <f t="shared" si="14"/>
        <v>100</v>
      </c>
      <c r="X44" s="3182"/>
      <c r="Y44" s="3983"/>
      <c r="Z44" s="3183" t="str">
        <f t="shared" si="15"/>
        <v>使用限制</v>
      </c>
      <c r="AA44" s="3183">
        <f t="shared" si="3"/>
        <v>1</v>
      </c>
      <c r="AB44" s="3183">
        <f t="shared" si="4"/>
        <v>1</v>
      </c>
      <c r="AC44" s="3183">
        <f t="shared" si="5"/>
        <v>1</v>
      </c>
    </row>
    <row r="45" spans="1:29" ht="15">
      <c r="A45" s="3271"/>
      <c r="B45" s="3830" t="s">
        <v>3644</v>
      </c>
      <c r="C45" s="3211">
        <v>2003</v>
      </c>
      <c r="D45" s="3212">
        <v>100</v>
      </c>
      <c r="E45" s="3211">
        <v>2006</v>
      </c>
      <c r="F45" s="3828">
        <f>SUMIF(128:128,E45,129:129)-SUMIF(128:128,C45,129:129)+100</f>
        <v>103</v>
      </c>
      <c r="G45" s="3211">
        <v>2006</v>
      </c>
      <c r="H45" s="3212">
        <f>SUMIF(128:128,G45,129:129)-SUMIF(128:128,C45,129:129)+100</f>
        <v>103</v>
      </c>
      <c r="I45" s="3211">
        <v>2006</v>
      </c>
      <c r="J45" s="3212">
        <f>SUMIF(128:128,I45,129:129)-SUMIF(128:128,C45,129:129)+100</f>
        <v>103</v>
      </c>
      <c r="K45" s="3210"/>
      <c r="L45" s="3213"/>
      <c r="M45" s="3166"/>
      <c r="N45" s="3166"/>
      <c r="O45" s="3166"/>
      <c r="P45" s="3981"/>
      <c r="Q45" s="3827" t="str">
        <f t="shared" si="11"/>
        <v>建成年代</v>
      </c>
      <c r="R45" s="3227" t="s">
        <v>14</v>
      </c>
      <c r="S45" s="3228">
        <f t="shared" si="12"/>
        <v>103</v>
      </c>
      <c r="T45" s="3227" t="s">
        <v>14</v>
      </c>
      <c r="U45" s="3228">
        <f t="shared" si="13"/>
        <v>103</v>
      </c>
      <c r="V45" s="3227" t="s">
        <v>14</v>
      </c>
      <c r="W45" s="3228">
        <f t="shared" si="14"/>
        <v>103</v>
      </c>
      <c r="X45" s="3816"/>
      <c r="Y45" s="3983"/>
      <c r="Z45" s="3817" t="str">
        <f t="shared" si="15"/>
        <v>建成年代</v>
      </c>
      <c r="AA45" s="3817">
        <f t="shared" si="3"/>
        <v>0.970873786407767</v>
      </c>
      <c r="AB45" s="3817">
        <f t="shared" si="4"/>
        <v>0.970873786407767</v>
      </c>
      <c r="AC45" s="3817">
        <f t="shared" si="5"/>
        <v>0.970873786407767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2"/>
      <c r="Q46" s="3827">
        <f t="shared" si="11"/>
        <v>111</v>
      </c>
      <c r="R46" s="3227" t="s">
        <v>14</v>
      </c>
      <c r="S46" s="3228">
        <f t="shared" si="12"/>
        <v>100</v>
      </c>
      <c r="T46" s="3227" t="s">
        <v>14</v>
      </c>
      <c r="U46" s="3228">
        <f t="shared" si="13"/>
        <v>100</v>
      </c>
      <c r="V46" s="3227" t="s">
        <v>14</v>
      </c>
      <c r="W46" s="3228">
        <f t="shared" si="14"/>
        <v>100</v>
      </c>
      <c r="X46" s="3816"/>
      <c r="Y46" s="3984"/>
      <c r="Z46" s="3817">
        <f t="shared" si="15"/>
        <v>111</v>
      </c>
      <c r="AA46" s="3817">
        <f t="shared" si="3"/>
        <v>1</v>
      </c>
      <c r="AB46" s="3817">
        <f t="shared" si="4"/>
        <v>1</v>
      </c>
      <c r="AC46" s="3817">
        <f t="shared" si="5"/>
        <v>1</v>
      </c>
    </row>
    <row r="47" spans="1:29" ht="15">
      <c r="A47" s="3277" t="s">
        <v>1708</v>
      </c>
      <c r="B47" s="3278"/>
      <c r="C47" s="3279" t="s">
        <v>0</v>
      </c>
      <c r="D47" s="3280"/>
      <c r="E47" s="3281">
        <f>案例!G9</f>
        <v>30218</v>
      </c>
      <c r="F47" s="3282"/>
      <c r="G47" s="3283">
        <f>案例!G10</f>
        <v>30040</v>
      </c>
      <c r="H47" s="3284"/>
      <c r="I47" s="3281">
        <f>案例!G11</f>
        <v>26667</v>
      </c>
      <c r="J47" s="3284"/>
      <c r="K47" s="3228"/>
      <c r="L47" s="3285"/>
      <c r="M47" s="3299"/>
      <c r="N47" s="3166"/>
      <c r="O47" s="3299"/>
      <c r="P47" s="3985" t="str">
        <f>A47</f>
        <v>成交单价（元/平方米）</v>
      </c>
      <c r="Q47" s="3985"/>
      <c r="R47" s="3946">
        <f>E47</f>
        <v>30218</v>
      </c>
      <c r="S47" s="3946"/>
      <c r="T47" s="3946">
        <f>G47</f>
        <v>30040</v>
      </c>
      <c r="U47" s="3946"/>
      <c r="V47" s="3946">
        <f>I47</f>
        <v>26667</v>
      </c>
      <c r="W47" s="3946"/>
      <c r="X47" s="3309"/>
      <c r="Y47" s="3287"/>
      <c r="Z47" s="3309"/>
      <c r="AA47" s="3309"/>
      <c r="AB47" s="3309"/>
      <c r="AC47" s="3309"/>
    </row>
    <row r="48" spans="1:29" ht="15.75" thickBot="1">
      <c r="A48" s="3288" t="s">
        <v>1709</v>
      </c>
      <c r="B48" s="3289"/>
      <c r="C48" s="3290">
        <f>R49</f>
        <v>28044</v>
      </c>
      <c r="D48" s="3291" t="s">
        <v>2138</v>
      </c>
      <c r="E48" s="3292">
        <f>R48</f>
        <v>29350</v>
      </c>
      <c r="F48" s="3293"/>
      <c r="G48" s="3290">
        <f>T48</f>
        <v>28893</v>
      </c>
      <c r="H48" s="3293"/>
      <c r="I48" s="3292">
        <f>V48</f>
        <v>25890</v>
      </c>
      <c r="J48" s="3293"/>
      <c r="K48" s="3294">
        <f>F48+H48+J48</f>
        <v>0</v>
      </c>
      <c r="L48" s="3285"/>
      <c r="M48" s="3299"/>
      <c r="N48" s="3166"/>
      <c r="O48" s="3299"/>
      <c r="P48" s="3985" t="str">
        <f>A48</f>
        <v>比较价值（元/平方米）</v>
      </c>
      <c r="Q48" s="3985"/>
      <c r="R48" s="3946">
        <f>IF(F1="售价",ROUND(PRODUCT(R47,AA7:AA46),0),ROUND(PRODUCT(R47,AA7:AA46),1))</f>
        <v>29350</v>
      </c>
      <c r="S48" s="3946"/>
      <c r="T48" s="3946">
        <f>IF(F1="售价",ROUND(PRODUCT(T47,AB7:AB46),0),ROUND(PRODUCT(T47,AB7:AB46),1))</f>
        <v>28893</v>
      </c>
      <c r="U48" s="3946"/>
      <c r="V48" s="3946">
        <f>IF(F1="售价",ROUND(PRODUCT(V47,AC7:AC46),0),ROUND(PRODUCT(V47,AC7:AC46),1))</f>
        <v>25890</v>
      </c>
      <c r="W48" s="3946"/>
      <c r="X48" s="3309"/>
      <c r="Y48" s="3309"/>
      <c r="Z48" s="3309"/>
      <c r="AA48" s="3309"/>
      <c r="AB48" s="3309"/>
      <c r="AC48" s="3309"/>
    </row>
    <row r="49" spans="1:29" ht="15.75" thickBot="1">
      <c r="A49" s="3295" t="s">
        <v>1710</v>
      </c>
      <c r="B49" s="3296"/>
      <c r="C49" s="3173">
        <f>R49</f>
        <v>28044</v>
      </c>
      <c r="D49" s="3173"/>
      <c r="E49" s="3173"/>
      <c r="F49" s="3173"/>
      <c r="G49" s="3173"/>
      <c r="H49" s="3173"/>
      <c r="I49" s="3173"/>
      <c r="J49" s="3173"/>
      <c r="K49" s="3827"/>
      <c r="L49" s="3285"/>
      <c r="M49" s="3299"/>
      <c r="N49" s="3166"/>
      <c r="O49" s="3299"/>
      <c r="P49" s="3986" t="str">
        <f>A49</f>
        <v>估价对象XX用房的比较价值（楼面单价，元/平方米）</v>
      </c>
      <c r="Q49" s="3987"/>
      <c r="R49" s="3988">
        <f>IF(F1="售价",ROUND(IF(D48="简单平均",AVERAGE(R48:V48),R48*F48+T48*H48+V48*J48),0),ROUND(IF(D48="简单平均",AVERAGE(R48:V48),R48*F48+T48*H48+V48*J48),1))</f>
        <v>28044</v>
      </c>
      <c r="S49" s="3988"/>
      <c r="T49" s="3988"/>
      <c r="U49" s="3988"/>
      <c r="V49" s="3988"/>
      <c r="W49" s="3988"/>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1711</v>
      </c>
      <c r="D52" s="3302"/>
      <c r="E52" s="3227">
        <f>IF(E47&lt;E48,E48/E47-1,E47/E48-1)</f>
        <v>2.9574105621805735E-2</v>
      </c>
      <c r="F52" s="3303" t="str">
        <f>IF(OR(E52&gt;=0.3,E52&lt;=-0.3),"超过30%","")</f>
        <v/>
      </c>
      <c r="G52" s="3227">
        <f>IF(G47&lt;G48,G48/G47-1,G47/G48-1)</f>
        <v>3.9698196795071361E-2</v>
      </c>
      <c r="H52" s="3303" t="str">
        <f>IF(OR(G52&gt;=0.3,G52&lt;=-0.3),"超过30%","")</f>
        <v/>
      </c>
      <c r="I52" s="3227">
        <f>IF(I47&lt;I48,I48/I47-1,I47/I48-1)</f>
        <v>3.0011587485515578E-2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1712</v>
      </c>
      <c r="D53" s="3304"/>
      <c r="E53" s="3227">
        <f>IF(E48&lt;G48,G48/E48-1,E48/G48-1)</f>
        <v>1.5816979891323246E-2</v>
      </c>
      <c r="F53" s="3303" t="str">
        <f>IF(OR(E53&gt;=0.2,E53&lt;=-0.2),"超过20%","")</f>
        <v/>
      </c>
      <c r="G53" s="3227">
        <f>IF(G48&lt;I48,I48/G48-1,G48/I48-1)</f>
        <v>0.11599073001158744</v>
      </c>
      <c r="H53" s="3303" t="str">
        <f>IF(OR(G53&gt;=0.2,G53&lt;=-0.2),"超过20%","")</f>
        <v/>
      </c>
      <c r="I53" s="3227">
        <f>IF(I48&lt;E48,E48/I48-1,I48/E48-1)</f>
        <v>0.13364233294708372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1713</v>
      </c>
      <c r="D54" s="3304"/>
      <c r="E54" s="3227">
        <f>IF(E47&lt;G47,G47/E47-1,E47/G47-1)</f>
        <v>5.9254327563249554E-3</v>
      </c>
      <c r="F54" s="3303" t="str">
        <f>IF(OR(E54&gt;=0.3,E54&lt;=-0.3),"超过30%","")</f>
        <v/>
      </c>
      <c r="G54" s="3227">
        <f>IF(G47&lt;I47,I47/G47-1,G47/I47-1)</f>
        <v>0.12648591892601346</v>
      </c>
      <c r="H54" s="3303" t="str">
        <f>IF(OR(G54&gt;=0.3,G54&lt;=-0.3),"超过30%","")</f>
        <v/>
      </c>
      <c r="I54" s="3227">
        <f>IF(I47&lt;E47,E47/I47-1,I47/E47-1)</f>
        <v>0.13316083548955637</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1714</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1718</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826" t="s">
        <v>1799</v>
      </c>
      <c r="D82" s="3826" t="s">
        <v>1800</v>
      </c>
      <c r="E82" s="3826" t="s">
        <v>1801</v>
      </c>
      <c r="F82" s="3826" t="s">
        <v>1802</v>
      </c>
      <c r="G82" s="3826"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826"/>
      <c r="I83" s="3826"/>
      <c r="J83" s="3826"/>
      <c r="K83" s="3826"/>
      <c r="L83" s="3826"/>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820">
        <v>0.5</v>
      </c>
      <c r="D110" s="3820">
        <v>0.6</v>
      </c>
      <c r="E110" s="3820">
        <v>0.7</v>
      </c>
      <c r="F110" s="3820">
        <v>0.8</v>
      </c>
      <c r="G110" s="3820">
        <v>0.9</v>
      </c>
      <c r="H110" s="3820">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97</v>
      </c>
      <c r="E113" s="3362">
        <f t="shared" ref="E113:M113" si="27">D113-$K37</f>
        <v>94</v>
      </c>
      <c r="F113" s="3362">
        <f t="shared" si="27"/>
        <v>91</v>
      </c>
      <c r="G113" s="3362">
        <f t="shared" si="27"/>
        <v>88</v>
      </c>
      <c r="H113" s="3362">
        <f t="shared" si="27"/>
        <v>85</v>
      </c>
      <c r="I113" s="3362">
        <f t="shared" si="27"/>
        <v>82</v>
      </c>
      <c r="J113" s="3362">
        <f t="shared" si="27"/>
        <v>79</v>
      </c>
      <c r="K113" s="3362">
        <f t="shared" si="27"/>
        <v>76</v>
      </c>
      <c r="L113" s="3362">
        <f t="shared" si="27"/>
        <v>73</v>
      </c>
      <c r="M113" s="3362">
        <f t="shared" si="27"/>
        <v>70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90</v>
      </c>
      <c r="E115" s="3362">
        <f t="shared" si="28"/>
        <v>80</v>
      </c>
      <c r="F115" s="3362">
        <f t="shared" si="28"/>
        <v>70</v>
      </c>
      <c r="G115" s="3362">
        <f t="shared" si="28"/>
        <v>60</v>
      </c>
      <c r="H115" s="3362">
        <f t="shared" si="28"/>
        <v>50</v>
      </c>
      <c r="I115" s="3362">
        <f t="shared" si="28"/>
        <v>40</v>
      </c>
      <c r="J115" s="3362">
        <f t="shared" si="28"/>
        <v>30</v>
      </c>
      <c r="K115" s="3362">
        <f t="shared" si="28"/>
        <v>20</v>
      </c>
      <c r="L115" s="3362">
        <f t="shared" si="28"/>
        <v>10</v>
      </c>
      <c r="M115" s="3363">
        <f t="shared" si="28"/>
        <v>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99</v>
      </c>
      <c r="E117" s="3362">
        <f>D117-$K39</f>
        <v>98</v>
      </c>
      <c r="F117" s="3362">
        <f>E117-$K39</f>
        <v>97</v>
      </c>
      <c r="G117" s="3362">
        <f>F117-$K39</f>
        <v>96</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267.39</v>
      </c>
      <c r="D118" s="3457">
        <f>G40</f>
        <v>164.78</v>
      </c>
      <c r="E118" s="3457">
        <f>I40</f>
        <v>300</v>
      </c>
      <c r="F118" s="3457">
        <f>C40</f>
        <v>343.31</v>
      </c>
      <c r="G118" s="3457" t="s">
        <v>3553</v>
      </c>
      <c r="H118" s="3366" t="s">
        <v>3676</v>
      </c>
      <c r="I118" s="3366" t="s">
        <v>3666</v>
      </c>
      <c r="J118" s="3366" t="s">
        <v>3667</v>
      </c>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98</v>
      </c>
      <c r="D119" s="3346">
        <v>98</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3551</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76" priority="20"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E1" xr:uid="{00000000-0002-0000-1200-000000000000}">
      <formula1>"项目模式,单套模式"</formula1>
    </dataValidation>
    <dataValidation type="list" allowBlank="1" showInputMessage="1" showErrorMessage="1" sqref="D48" xr:uid="{00000000-0002-0000-1200-000001000000}">
      <formula1>"简单平均,加权平均"</formula1>
    </dataValidation>
    <dataValidation type="list" allowBlank="1" showInputMessage="1" showErrorMessage="1" sqref="F2" xr:uid="{00000000-0002-0000-1200-000002000000}">
      <formula1>估价方法</formula1>
    </dataValidation>
    <dataValidation type="list" allowBlank="1" showInputMessage="1" showErrorMessage="1" sqref="C2" xr:uid="{00000000-0002-0000-1200-000003000000}">
      <formula1>"需扣减承租人权益,——"</formula1>
    </dataValidation>
    <dataValidation type="list" allowBlank="1" showInputMessage="1" showErrorMessage="1" sqref="F1" xr:uid="{00000000-0002-0000-1200-000004000000}">
      <formula1>"售价,租金"</formula1>
    </dataValidation>
    <dataValidation type="list" allowBlank="1" showInputMessage="1" showErrorMessage="1" sqref="C22 E22 G22 I22" xr:uid="{00000000-0002-0000-1200-000005000000}">
      <formula1>基础设施水平</formula1>
    </dataValidation>
    <dataValidation type="list" allowBlank="1" showInputMessage="1" showErrorMessage="1" sqref="C16 E16 G16 I16" xr:uid="{00000000-0002-0000-1200-000006000000}">
      <formula1>商业繁华度</formula1>
    </dataValidation>
    <dataValidation type="list" allowBlank="1" showInputMessage="1" showErrorMessage="1" sqref="C8 E8 G8 I8" xr:uid="{00000000-0002-0000-1200-000007000000}">
      <formula1>商业交易情况</formula1>
    </dataValidation>
    <dataValidation type="list" allowBlank="1" showInputMessage="1" showErrorMessage="1" sqref="C39 E39 G39 I39" xr:uid="{00000000-0002-0000-1200-000008000000}">
      <formula1>商业层高</formula1>
    </dataValidation>
    <dataValidation type="list" allowBlank="1" showInputMessage="1" showErrorMessage="1" sqref="C38 E38 G38 I38" xr:uid="{00000000-0002-0000-1200-000009000000}">
      <formula1>商业业态</formula1>
    </dataValidation>
    <dataValidation type="list" allowBlank="1" showInputMessage="1" showErrorMessage="1" sqref="E9 G9 I9" xr:uid="{00000000-0002-0000-1200-00000A000000}">
      <formula1>商业用途</formula1>
    </dataValidation>
    <dataValidation type="list" allowBlank="1" showInputMessage="1" showErrorMessage="1" sqref="C42 E42 G42 I42" xr:uid="{00000000-0002-0000-1200-00000B000000}">
      <formula1>商业内部装修</formula1>
    </dataValidation>
    <dataValidation type="list" allowBlank="1" showInputMessage="1" showErrorMessage="1" sqref="C41 E41 G41 I41" xr:uid="{00000000-0002-0000-1200-00000C000000}">
      <formula1>商业进深比</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35 E35 G35 I35" xr:uid="{00000000-0002-0000-1200-00000E000000}">
      <formula1>商业公共部分装修</formula1>
    </dataValidation>
    <dataValidation type="list" allowBlank="1" showInputMessage="1" showErrorMessage="1" sqref="C34 E34 G34 I34" xr:uid="{00000000-0002-0000-1200-00000F000000}">
      <formula1>商业建筑结构</formula1>
    </dataValidation>
    <dataValidation type="list" allowBlank="1" showInputMessage="1" showErrorMessage="1" sqref="C32 E32 G32 I32" xr:uid="{00000000-0002-0000-1200-000010000000}">
      <formula1>商业类型</formula1>
    </dataValidation>
    <dataValidation type="list" allowBlank="1" showInputMessage="1" showErrorMessage="1" sqref="C28 E28 G28 I28" xr:uid="{00000000-0002-0000-1200-000011000000}">
      <formula1>商业楼层</formula1>
    </dataValidation>
    <dataValidation type="list" allowBlank="1" showInputMessage="1" showErrorMessage="1" sqref="C27 E27 G27 I27" xr:uid="{00000000-0002-0000-1200-000012000000}">
      <formula1>商业人流量</formula1>
    </dataValidation>
    <dataValidation type="list" allowBlank="1" showInputMessage="1" showErrorMessage="1" sqref="C25 E25 G25 I25" xr:uid="{00000000-0002-0000-1200-000013000000}">
      <formula1>商业临街状况</formula1>
    </dataValidation>
    <dataValidation type="list" allowBlank="1" showInputMessage="1" showErrorMessage="1" sqref="E24 G24 I24 C24" xr:uid="{00000000-0002-0000-1200-000014000000}">
      <formula1>环境</formula1>
    </dataValidation>
    <dataValidation type="list" allowBlank="1" showInputMessage="1" showErrorMessage="1" sqref="E18 G18 I18 C18" xr:uid="{00000000-0002-0000-1200-000015000000}">
      <formula1>交通便捷度</formula1>
    </dataValidation>
    <dataValidation type="list" allowBlank="1" showInputMessage="1" showErrorMessage="1" sqref="E20 I20 G20 C20" xr:uid="{00000000-0002-0000-1200-000016000000}">
      <formula1>公共配套设施</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1" xr:uid="{00000000-0002-0000-1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46" t="str">
        <f>项目基本情况!B1</f>
        <v>北京市宣武门西大街甲127号0101、0102号房屋预评估</v>
      </c>
      <c r="C37" s="3846"/>
      <c r="D37" s="3846"/>
      <c r="E37" s="3846"/>
      <c r="F37" s="3846"/>
      <c r="G37" s="3846"/>
      <c r="H37" s="3846"/>
      <c r="I37" s="3846"/>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P43"/>
  <sheetViews>
    <sheetView tabSelected="1" topLeftCell="A22" workbookViewId="0">
      <selection activeCell="G23" sqref="G23:I23"/>
    </sheetView>
  </sheetViews>
  <sheetFormatPr defaultColWidth="9" defaultRowHeight="13.5"/>
  <cols>
    <col min="1" max="1" width="6.375" style="3083" customWidth="1"/>
    <col min="2" max="2" width="19.375" style="3131" customWidth="1"/>
    <col min="3" max="3" width="7.125" style="3132" customWidth="1"/>
    <col min="4" max="4" width="6.375" style="3132" customWidth="1"/>
    <col min="5" max="5" width="7.375" style="3132" customWidth="1"/>
    <col min="6" max="6" width="6.5" style="3132" customWidth="1"/>
    <col min="7" max="7" width="19.375" style="3122" customWidth="1"/>
    <col min="8" max="8" width="19.5" style="3083" customWidth="1"/>
    <col min="9" max="9" width="8.625" style="3083" customWidth="1"/>
    <col min="10" max="10" width="10.5" style="3079" customWidth="1"/>
    <col min="11" max="11" width="4.875" style="3102" hidden="1" customWidth="1"/>
    <col min="12" max="12" width="16.375" style="3102" hidden="1" customWidth="1"/>
    <col min="13" max="16" width="8.125" style="3083" hidden="1" customWidth="1"/>
    <col min="17" max="16384" width="9" style="3083"/>
  </cols>
  <sheetData>
    <row r="1" spans="1:16">
      <c r="A1" s="3989" t="s">
        <v>3369</v>
      </c>
      <c r="B1" s="3989"/>
      <c r="C1" s="3989"/>
      <c r="D1" s="3989"/>
      <c r="E1" s="3989"/>
      <c r="F1" s="3989"/>
      <c r="G1" s="3989"/>
      <c r="H1" s="3989"/>
      <c r="I1" s="3989"/>
      <c r="K1" s="3990" t="s">
        <v>3370</v>
      </c>
      <c r="L1" s="3080" t="s">
        <v>3371</v>
      </c>
      <c r="M1" s="3081"/>
      <c r="N1" s="3082"/>
      <c r="O1" s="3082"/>
    </row>
    <row r="2" spans="1:16">
      <c r="A2" s="3084" t="s">
        <v>3372</v>
      </c>
      <c r="B2" s="3085" t="s">
        <v>3373</v>
      </c>
      <c r="C2" s="3991" t="s">
        <v>3374</v>
      </c>
      <c r="D2" s="3992"/>
      <c r="E2" s="3992"/>
      <c r="F2" s="3993"/>
      <c r="G2" s="3084" t="s">
        <v>3375</v>
      </c>
      <c r="H2" s="3994" t="s">
        <v>3417</v>
      </c>
      <c r="I2" s="3994"/>
      <c r="K2" s="3990"/>
      <c r="L2" s="3080" t="s">
        <v>3418</v>
      </c>
      <c r="M2" s="3086"/>
      <c r="N2" s="3087"/>
      <c r="O2" s="3087"/>
    </row>
    <row r="3" spans="1:16">
      <c r="A3" s="3088" t="s">
        <v>3376</v>
      </c>
      <c r="B3" s="3089" t="s">
        <v>3419</v>
      </c>
      <c r="C3" s="3991">
        <f>ROUND(I3*'比较法-商业售价'!C49,0)</f>
        <v>9627786</v>
      </c>
      <c r="D3" s="3992"/>
      <c r="E3" s="3992"/>
      <c r="F3" s="3993"/>
      <c r="G3" s="3612" t="s">
        <v>3377</v>
      </c>
      <c r="H3" s="3613" t="s">
        <v>3378</v>
      </c>
      <c r="I3" s="3619">
        <f>'比较法-商业租金'!C40</f>
        <v>343.31</v>
      </c>
      <c r="K3" s="3990"/>
      <c r="L3" s="3080" t="s">
        <v>3379</v>
      </c>
      <c r="M3" s="3086"/>
      <c r="N3" s="3087"/>
      <c r="O3" s="3090"/>
    </row>
    <row r="4" spans="1:16">
      <c r="A4" s="3995" t="s">
        <v>3380</v>
      </c>
      <c r="B4" s="3996" t="s">
        <v>3420</v>
      </c>
      <c r="C4" s="3997">
        <f>ROUND(C3*(I4-I6)/(1-((1+I6)/(1+I4))^I5),0)</f>
        <v>654643</v>
      </c>
      <c r="D4" s="3998"/>
      <c r="E4" s="3998"/>
      <c r="F4" s="3999"/>
      <c r="G4" s="4006" t="s">
        <v>3381</v>
      </c>
      <c r="H4" s="3614" t="s">
        <v>3382</v>
      </c>
      <c r="I4" s="3615">
        <v>5.5E-2</v>
      </c>
      <c r="K4" s="3990"/>
      <c r="L4" s="3080" t="s">
        <v>3383</v>
      </c>
      <c r="M4" s="3091"/>
      <c r="N4" s="3087"/>
      <c r="O4" s="3087"/>
    </row>
    <row r="5" spans="1:16" s="3094" customFormat="1">
      <c r="A5" s="3995"/>
      <c r="B5" s="3996"/>
      <c r="C5" s="4000"/>
      <c r="D5" s="4001"/>
      <c r="E5" s="4001"/>
      <c r="F5" s="4002"/>
      <c r="G5" s="4006"/>
      <c r="H5" s="3614" t="s">
        <v>3384</v>
      </c>
      <c r="I5" s="3619">
        <v>18.2</v>
      </c>
      <c r="J5" s="3092"/>
      <c r="K5" s="3990"/>
      <c r="L5" s="3080" t="s">
        <v>3421</v>
      </c>
      <c r="M5" s="3093"/>
      <c r="N5" s="3087"/>
      <c r="O5" s="3087"/>
    </row>
    <row r="6" spans="1:16" s="3094" customFormat="1">
      <c r="A6" s="3995"/>
      <c r="B6" s="3996"/>
      <c r="C6" s="4003"/>
      <c r="D6" s="4004"/>
      <c r="E6" s="4004"/>
      <c r="F6" s="4005"/>
      <c r="G6" s="4006"/>
      <c r="H6" s="3614" t="s">
        <v>3422</v>
      </c>
      <c r="I6" s="3615">
        <v>3.5000000000000003E-2</v>
      </c>
      <c r="J6" s="3095"/>
      <c r="K6" s="4007" t="s">
        <v>3385</v>
      </c>
      <c r="L6" s="3096" t="s">
        <v>3386</v>
      </c>
      <c r="M6" s="3097" t="s">
        <v>3387</v>
      </c>
      <c r="N6" s="3097" t="s">
        <v>3388</v>
      </c>
      <c r="O6" s="3097" t="s">
        <v>3389</v>
      </c>
      <c r="P6" s="3097" t="s">
        <v>3390</v>
      </c>
    </row>
    <row r="7" spans="1:16" s="3094" customFormat="1">
      <c r="A7" s="3088" t="s">
        <v>3423</v>
      </c>
      <c r="B7" s="3089" t="s">
        <v>3424</v>
      </c>
      <c r="C7" s="3991">
        <f>ROUND(C23*I7,0)</f>
        <v>1253863</v>
      </c>
      <c r="D7" s="3992"/>
      <c r="E7" s="3992"/>
      <c r="F7" s="3993"/>
      <c r="G7" s="3616" t="s">
        <v>3425</v>
      </c>
      <c r="H7" s="3614" t="s">
        <v>3391</v>
      </c>
      <c r="I7" s="3617">
        <v>0.67</v>
      </c>
      <c r="K7" s="4007"/>
      <c r="L7" s="3096" t="s">
        <v>3392</v>
      </c>
      <c r="M7" s="3097">
        <v>100</v>
      </c>
      <c r="N7" s="3097" t="s">
        <v>3393</v>
      </c>
      <c r="O7" s="3097">
        <v>60</v>
      </c>
      <c r="P7" s="3097">
        <v>0.3</v>
      </c>
    </row>
    <row r="8" spans="1:16" s="3094" customFormat="1">
      <c r="A8" s="3084" t="s">
        <v>3426</v>
      </c>
      <c r="B8" s="3089" t="s">
        <v>3394</v>
      </c>
      <c r="C8" s="3991">
        <f>ROUND(I8*I3,0)</f>
        <v>1201585</v>
      </c>
      <c r="D8" s="3992"/>
      <c r="E8" s="3992"/>
      <c r="F8" s="3993"/>
      <c r="G8" s="3616" t="s">
        <v>3395</v>
      </c>
      <c r="H8" s="3614" t="s">
        <v>3396</v>
      </c>
      <c r="I8" s="4297">
        <v>3500</v>
      </c>
      <c r="J8" s="3844"/>
      <c r="K8" s="4007"/>
      <c r="L8" s="3096" t="s">
        <v>3397</v>
      </c>
      <c r="M8" s="3097">
        <v>100</v>
      </c>
      <c r="N8" s="3097" t="s">
        <v>3393</v>
      </c>
      <c r="O8" s="3097">
        <v>60</v>
      </c>
      <c r="P8" s="3097">
        <v>0.5</v>
      </c>
    </row>
    <row r="9" spans="1:16" s="3094" customFormat="1">
      <c r="A9" s="3084" t="s">
        <v>3398</v>
      </c>
      <c r="B9" s="3089" t="s">
        <v>3399</v>
      </c>
      <c r="C9" s="3991">
        <f>ROUND(C8*H9,0)</f>
        <v>36048</v>
      </c>
      <c r="D9" s="3992"/>
      <c r="E9" s="3992"/>
      <c r="F9" s="3993"/>
      <c r="G9" s="3616" t="s">
        <v>3427</v>
      </c>
      <c r="H9" s="4008">
        <v>0.03</v>
      </c>
      <c r="I9" s="4008"/>
      <c r="J9" s="3098"/>
      <c r="K9" s="4007"/>
      <c r="L9" s="3096" t="s">
        <v>3428</v>
      </c>
      <c r="M9" s="3097">
        <v>100</v>
      </c>
      <c r="N9" s="3097" t="s">
        <v>3393</v>
      </c>
      <c r="O9" s="3097">
        <v>60</v>
      </c>
      <c r="P9" s="3097">
        <f>1-P7-P8</f>
        <v>0.19999999999999996</v>
      </c>
    </row>
    <row r="10" spans="1:16" s="3094" customFormat="1">
      <c r="A10" s="3084" t="s">
        <v>3429</v>
      </c>
      <c r="B10" s="3089" t="s">
        <v>3430</v>
      </c>
      <c r="C10" s="3991">
        <f>ROUND(C8*H10,0)</f>
        <v>0</v>
      </c>
      <c r="D10" s="3992"/>
      <c r="E10" s="3992"/>
      <c r="F10" s="3993"/>
      <c r="G10" s="3616" t="s">
        <v>3427</v>
      </c>
      <c r="H10" s="4008">
        <v>0</v>
      </c>
      <c r="I10" s="4008"/>
      <c r="J10" s="3098"/>
      <c r="K10" s="4007"/>
      <c r="L10" s="3097" t="s">
        <v>3421</v>
      </c>
      <c r="M10" s="3099"/>
      <c r="N10" s="3097" t="s">
        <v>3383</v>
      </c>
      <c r="O10" s="3100"/>
      <c r="P10" s="3101"/>
    </row>
    <row r="11" spans="1:16" s="3094" customFormat="1">
      <c r="A11" s="3084" t="s">
        <v>3431</v>
      </c>
      <c r="B11" s="3089" t="s">
        <v>3432</v>
      </c>
      <c r="C11" s="3991">
        <f>ROUND(I11*I3,0)</f>
        <v>68662</v>
      </c>
      <c r="D11" s="3992"/>
      <c r="E11" s="3992"/>
      <c r="F11" s="3993"/>
      <c r="G11" s="3616" t="s">
        <v>3433</v>
      </c>
      <c r="H11" s="3614" t="s">
        <v>3434</v>
      </c>
      <c r="I11" s="3619">
        <v>200</v>
      </c>
      <c r="J11" s="3092"/>
      <c r="K11" s="3102"/>
      <c r="L11" s="3102"/>
    </row>
    <row r="12" spans="1:16" s="3094" customFormat="1">
      <c r="A12" s="3084" t="s">
        <v>3435</v>
      </c>
      <c r="B12" s="3089" t="s">
        <v>3436</v>
      </c>
      <c r="C12" s="3991">
        <f>ROUND(C8*H12,0)</f>
        <v>18024</v>
      </c>
      <c r="D12" s="3992"/>
      <c r="E12" s="3992"/>
      <c r="F12" s="3993"/>
      <c r="G12" s="3616" t="s">
        <v>3427</v>
      </c>
      <c r="H12" s="4008">
        <v>1.4999999999999999E-2</v>
      </c>
      <c r="I12" s="4008"/>
      <c r="J12" s="3103" t="s">
        <v>3437</v>
      </c>
      <c r="L12" s="3104"/>
    </row>
    <row r="13" spans="1:16" s="3094" customFormat="1">
      <c r="A13" s="3084" t="s">
        <v>3438</v>
      </c>
      <c r="B13" s="3089" t="s">
        <v>3400</v>
      </c>
      <c r="C13" s="3991">
        <f>SUM(C8:F12)</f>
        <v>1324319</v>
      </c>
      <c r="D13" s="3992"/>
      <c r="E13" s="3992"/>
      <c r="F13" s="3993"/>
      <c r="G13" s="4008" t="s">
        <v>3439</v>
      </c>
      <c r="H13" s="4008"/>
      <c r="I13" s="4008"/>
      <c r="J13" s="3103" t="s">
        <v>3401</v>
      </c>
      <c r="L13" s="3104"/>
    </row>
    <row r="14" spans="1:16" s="3094" customFormat="1">
      <c r="A14" s="3084" t="s">
        <v>3440</v>
      </c>
      <c r="B14" s="3089" t="s">
        <v>3441</v>
      </c>
      <c r="C14" s="3991">
        <f>ROUND(C13*H14,0)</f>
        <v>39730</v>
      </c>
      <c r="D14" s="3992"/>
      <c r="E14" s="3992"/>
      <c r="F14" s="3993"/>
      <c r="G14" s="3616" t="s">
        <v>3442</v>
      </c>
      <c r="H14" s="4008">
        <v>0.03</v>
      </c>
      <c r="I14" s="4008"/>
      <c r="J14" s="3092"/>
      <c r="L14" s="3104"/>
    </row>
    <row r="15" spans="1:16" s="3094" customFormat="1">
      <c r="A15" s="3084" t="s">
        <v>3443</v>
      </c>
      <c r="B15" s="3089" t="s">
        <v>3444</v>
      </c>
      <c r="C15" s="4009">
        <f>H15</f>
        <v>0.03</v>
      </c>
      <c r="D15" s="4010"/>
      <c r="E15" s="4011" t="str">
        <f>E18</f>
        <v>V</v>
      </c>
      <c r="F15" s="4012"/>
      <c r="G15" s="3616" t="s">
        <v>3445</v>
      </c>
      <c r="H15" s="4008">
        <v>0.03</v>
      </c>
      <c r="I15" s="4008"/>
      <c r="J15" s="3092"/>
      <c r="K15" s="3102"/>
    </row>
    <row r="16" spans="1:16" s="3094" customFormat="1">
      <c r="A16" s="3105" t="s">
        <v>3446</v>
      </c>
      <c r="B16" s="3106" t="s">
        <v>3402</v>
      </c>
      <c r="C16" s="3107">
        <f>C17</f>
        <v>64792</v>
      </c>
      <c r="D16" s="3108" t="s">
        <v>3447</v>
      </c>
      <c r="E16" s="3108">
        <f>C18</f>
        <v>1.4250000000000001E-3</v>
      </c>
      <c r="F16" s="3109" t="str">
        <f>E18</f>
        <v>V</v>
      </c>
      <c r="G16" s="4013" t="s">
        <v>3448</v>
      </c>
      <c r="H16" s="4014"/>
      <c r="I16" s="4015"/>
      <c r="J16" s="3092"/>
      <c r="K16" s="3102"/>
    </row>
    <row r="17" spans="1:12" s="3094" customFormat="1" ht="24">
      <c r="A17" s="3084" t="s">
        <v>3449</v>
      </c>
      <c r="B17" s="3089" t="s">
        <v>3450</v>
      </c>
      <c r="C17" s="3991">
        <f>ROUND((C13+C14)*I18*(I17/2),0)</f>
        <v>64792</v>
      </c>
      <c r="D17" s="3992"/>
      <c r="E17" s="3992"/>
      <c r="F17" s="3993"/>
      <c r="G17" s="3618" t="s">
        <v>3451</v>
      </c>
      <c r="H17" s="3614" t="s">
        <v>3452</v>
      </c>
      <c r="I17" s="3619">
        <v>2</v>
      </c>
      <c r="J17" s="3103" t="s">
        <v>3453</v>
      </c>
      <c r="K17" s="3102"/>
      <c r="L17" s="3102"/>
    </row>
    <row r="18" spans="1:12" s="3094" customFormat="1" ht="24">
      <c r="A18" s="3084" t="s">
        <v>3454</v>
      </c>
      <c r="B18" s="3089" t="s">
        <v>3455</v>
      </c>
      <c r="C18" s="4009">
        <f>H15*I18*I17/2</f>
        <v>1.4250000000000001E-3</v>
      </c>
      <c r="D18" s="4010"/>
      <c r="E18" s="4011" t="s">
        <v>3456</v>
      </c>
      <c r="F18" s="4012"/>
      <c r="G18" s="3618" t="s">
        <v>3457</v>
      </c>
      <c r="H18" s="3614" t="s">
        <v>3458</v>
      </c>
      <c r="I18" s="3616">
        <v>4.7500000000000001E-2</v>
      </c>
      <c r="J18" s="3103" t="s">
        <v>3459</v>
      </c>
      <c r="K18" s="3102"/>
      <c r="L18" s="3102"/>
    </row>
    <row r="19" spans="1:12" s="3094" customFormat="1">
      <c r="A19" s="3084" t="s">
        <v>3460</v>
      </c>
      <c r="B19" s="3089" t="s">
        <v>3403</v>
      </c>
      <c r="C19" s="3107">
        <f>C20</f>
        <v>272810</v>
      </c>
      <c r="D19" s="3108" t="s">
        <v>3447</v>
      </c>
      <c r="E19" s="3108">
        <f>C21</f>
        <v>6.0000000000000001E-3</v>
      </c>
      <c r="F19" s="3109" t="str">
        <f>E21</f>
        <v>V</v>
      </c>
      <c r="G19" s="4013" t="s">
        <v>3461</v>
      </c>
      <c r="H19" s="4014"/>
      <c r="I19" s="4015"/>
      <c r="J19" s="3092"/>
      <c r="K19" s="3102"/>
      <c r="L19" s="3102"/>
    </row>
    <row r="20" spans="1:12" s="3094" customFormat="1">
      <c r="A20" s="3084" t="s">
        <v>3462</v>
      </c>
      <c r="B20" s="3089" t="s">
        <v>3463</v>
      </c>
      <c r="C20" s="3991">
        <f>ROUND((C13+C14)*I20,0)</f>
        <v>272810</v>
      </c>
      <c r="D20" s="3992"/>
      <c r="E20" s="3992"/>
      <c r="F20" s="3993"/>
      <c r="G20" s="3616" t="s">
        <v>3464</v>
      </c>
      <c r="H20" s="4016" t="s">
        <v>3465</v>
      </c>
      <c r="I20" s="4018">
        <v>0.2</v>
      </c>
      <c r="J20" s="3103" t="s">
        <v>3466</v>
      </c>
      <c r="K20" s="3102"/>
      <c r="L20" s="3102"/>
    </row>
    <row r="21" spans="1:12" s="3094" customFormat="1">
      <c r="A21" s="3084" t="s">
        <v>3462</v>
      </c>
      <c r="B21" s="3089" t="s">
        <v>3467</v>
      </c>
      <c r="C21" s="4009">
        <f>H15*I20</f>
        <v>6.0000000000000001E-3</v>
      </c>
      <c r="D21" s="4010"/>
      <c r="E21" s="4011" t="s">
        <v>3456</v>
      </c>
      <c r="F21" s="4012"/>
      <c r="G21" s="3616" t="s">
        <v>3468</v>
      </c>
      <c r="H21" s="4017"/>
      <c r="I21" s="4018"/>
      <c r="J21" s="3092"/>
      <c r="K21" s="3102"/>
      <c r="L21" s="3102"/>
    </row>
    <row r="22" spans="1:12" s="3094" customFormat="1">
      <c r="A22" s="3084" t="s">
        <v>3469</v>
      </c>
      <c r="B22" s="3089" t="s">
        <v>3404</v>
      </c>
      <c r="C22" s="4009">
        <f>ROUND(H22/1.05,4)</f>
        <v>5.33E-2</v>
      </c>
      <c r="D22" s="4010"/>
      <c r="E22" s="4011" t="s">
        <v>3456</v>
      </c>
      <c r="F22" s="4012"/>
      <c r="G22" s="3616" t="s">
        <v>3405</v>
      </c>
      <c r="H22" s="4008">
        <v>5.6000000000000001E-2</v>
      </c>
      <c r="I22" s="4008"/>
      <c r="J22" s="3092"/>
      <c r="K22" s="3102"/>
      <c r="L22" s="3102"/>
    </row>
    <row r="23" spans="1:12" s="3094" customFormat="1">
      <c r="A23" s="3084" t="s">
        <v>3470</v>
      </c>
      <c r="B23" s="3089" t="s">
        <v>3406</v>
      </c>
      <c r="C23" s="3991">
        <f>ROUND((C13+C14+C17+C20)/(1-H15-C18-C21-C22),0)</f>
        <v>1871437</v>
      </c>
      <c r="D23" s="3992"/>
      <c r="E23" s="3992"/>
      <c r="F23" s="3993"/>
      <c r="G23" s="4013" t="s">
        <v>3407</v>
      </c>
      <c r="H23" s="4014"/>
      <c r="I23" s="4015"/>
      <c r="J23" s="3092"/>
      <c r="K23" s="3102"/>
      <c r="L23" s="3102"/>
    </row>
    <row r="24" spans="1:12" s="3094" customFormat="1">
      <c r="A24" s="3084" t="s">
        <v>3471</v>
      </c>
      <c r="B24" s="3089" t="s">
        <v>3408</v>
      </c>
      <c r="C24" s="3110">
        <f>C27+C28</f>
        <v>9984</v>
      </c>
      <c r="D24" s="3108" t="s">
        <v>3472</v>
      </c>
      <c r="E24" s="4011">
        <f>H29+E26+H25</f>
        <v>0.18099999999999999</v>
      </c>
      <c r="F24" s="4012"/>
      <c r="G24" s="4008" t="s">
        <v>3473</v>
      </c>
      <c r="H24" s="4008"/>
      <c r="I24" s="4008"/>
      <c r="J24" s="3092"/>
      <c r="K24" s="3102"/>
      <c r="L24" s="3102"/>
    </row>
    <row r="25" spans="1:12" s="3094" customFormat="1">
      <c r="A25" s="3084" t="s">
        <v>3474</v>
      </c>
      <c r="B25" s="3089" t="s">
        <v>3409</v>
      </c>
      <c r="C25" s="4009" t="s">
        <v>3410</v>
      </c>
      <c r="D25" s="4010"/>
      <c r="E25" s="4019">
        <f>ROUND(H25/1.05,4)</f>
        <v>5.33E-2</v>
      </c>
      <c r="F25" s="4020"/>
      <c r="G25" s="3616" t="s">
        <v>3475</v>
      </c>
      <c r="H25" s="4008">
        <v>5.6000000000000001E-2</v>
      </c>
      <c r="I25" s="4008"/>
      <c r="J25" s="3092"/>
      <c r="K25" s="3102"/>
      <c r="L25" s="3102"/>
    </row>
    <row r="26" spans="1:12" s="3094" customFormat="1">
      <c r="A26" s="3084" t="s">
        <v>3476</v>
      </c>
      <c r="B26" s="3089" t="s">
        <v>3477</v>
      </c>
      <c r="C26" s="4009" t="s">
        <v>3410</v>
      </c>
      <c r="D26" s="4010"/>
      <c r="E26" s="4011">
        <v>0.12</v>
      </c>
      <c r="F26" s="4012"/>
      <c r="G26" s="3616"/>
      <c r="H26" s="4013">
        <f>'[2]数据-取费表'!B51</f>
        <v>0.12</v>
      </c>
      <c r="I26" s="4015"/>
      <c r="J26" s="3092"/>
      <c r="K26" s="3102"/>
      <c r="L26" s="3102"/>
    </row>
    <row r="27" spans="1:12" s="3094" customFormat="1">
      <c r="A27" s="3084" t="s">
        <v>3478</v>
      </c>
      <c r="B27" s="3089" t="s">
        <v>3411</v>
      </c>
      <c r="C27" s="3991">
        <f>ROUND(C23*H27,0)</f>
        <v>9357</v>
      </c>
      <c r="D27" s="3992"/>
      <c r="E27" s="3992"/>
      <c r="F27" s="3993"/>
      <c r="G27" s="3616" t="s">
        <v>3479</v>
      </c>
      <c r="H27" s="4008">
        <v>5.0000000000000001E-3</v>
      </c>
      <c r="I27" s="4008"/>
      <c r="J27" s="3092"/>
      <c r="K27" s="3102"/>
      <c r="L27" s="3102"/>
    </row>
    <row r="28" spans="1:12" s="3094" customFormat="1">
      <c r="A28" s="3084" t="s">
        <v>3446</v>
      </c>
      <c r="B28" s="3089" t="s">
        <v>3412</v>
      </c>
      <c r="C28" s="3991">
        <f>ROUND(C7*H28,0)</f>
        <v>627</v>
      </c>
      <c r="D28" s="3992"/>
      <c r="E28" s="3992"/>
      <c r="F28" s="3993"/>
      <c r="G28" s="3616" t="s">
        <v>3480</v>
      </c>
      <c r="H28" s="4008">
        <v>5.0000000000000001E-4</v>
      </c>
      <c r="I28" s="4008"/>
      <c r="J28" s="3092"/>
      <c r="K28" s="3102"/>
      <c r="L28" s="3102"/>
    </row>
    <row r="29" spans="1:12" s="3094" customFormat="1">
      <c r="A29" s="3084" t="s">
        <v>3460</v>
      </c>
      <c r="B29" s="3089" t="s">
        <v>3413</v>
      </c>
      <c r="C29" s="4009" t="s">
        <v>3410</v>
      </c>
      <c r="D29" s="4010"/>
      <c r="E29" s="4011">
        <f>H29</f>
        <v>5.0000000000000001E-3</v>
      </c>
      <c r="F29" s="4012"/>
      <c r="G29" s="3616" t="s">
        <v>3481</v>
      </c>
      <c r="H29" s="4008">
        <v>5.0000000000000001E-3</v>
      </c>
      <c r="I29" s="4008"/>
      <c r="J29" s="3111"/>
      <c r="K29" s="3102"/>
      <c r="L29" s="3102"/>
    </row>
    <row r="30" spans="1:12" s="3094" customFormat="1">
      <c r="A30" s="3088" t="s">
        <v>3482</v>
      </c>
      <c r="B30" s="3089" t="s">
        <v>3483</v>
      </c>
      <c r="C30" s="3991">
        <f>ROUND((C4+C24)/(1-E24),0)</f>
        <v>811510</v>
      </c>
      <c r="D30" s="3992"/>
      <c r="E30" s="3992"/>
      <c r="F30" s="3993"/>
      <c r="G30" s="4006" t="s">
        <v>3484</v>
      </c>
      <c r="H30" s="4006"/>
      <c r="I30" s="4006"/>
      <c r="J30" s="3112" t="s">
        <v>3414</v>
      </c>
      <c r="K30" s="3102"/>
      <c r="L30" s="3102"/>
    </row>
    <row r="31" spans="1:12" s="3094" customFormat="1">
      <c r="A31" s="3995" t="s">
        <v>3485</v>
      </c>
      <c r="B31" s="3996" t="s">
        <v>3486</v>
      </c>
      <c r="C31" s="4021">
        <f>ROUND(C30/I31/I32/I3,1)</f>
        <v>6.8</v>
      </c>
      <c r="D31" s="4022"/>
      <c r="E31" s="4022"/>
      <c r="F31" s="4023"/>
      <c r="G31" s="4008" t="s">
        <v>3487</v>
      </c>
      <c r="H31" s="3614" t="s">
        <v>3488</v>
      </c>
      <c r="I31" s="3619">
        <v>365</v>
      </c>
      <c r="J31" s="3092"/>
      <c r="K31" s="3102"/>
      <c r="L31" s="3102"/>
    </row>
    <row r="32" spans="1:12" s="3094" customFormat="1">
      <c r="A32" s="3995"/>
      <c r="B32" s="3996"/>
      <c r="C32" s="4024"/>
      <c r="D32" s="4025"/>
      <c r="E32" s="4025"/>
      <c r="F32" s="4026"/>
      <c r="G32" s="4008"/>
      <c r="H32" s="3614" t="s">
        <v>3489</v>
      </c>
      <c r="I32" s="3615">
        <v>0.95</v>
      </c>
      <c r="J32" s="3092"/>
      <c r="K32" s="3102"/>
      <c r="L32" s="3102"/>
    </row>
    <row r="33" spans="1:13" s="3094" customFormat="1">
      <c r="A33" s="3083"/>
      <c r="B33" s="3113"/>
      <c r="C33" s="3114"/>
      <c r="D33" s="3114"/>
      <c r="E33" s="3114"/>
      <c r="F33" s="3114"/>
      <c r="G33" s="3115"/>
      <c r="H33" s="3116"/>
      <c r="I33" s="3083"/>
      <c r="J33" s="3095"/>
      <c r="K33" s="3102"/>
      <c r="L33" s="3102"/>
    </row>
    <row r="34" spans="1:13" s="3094" customFormat="1" ht="13.5" customHeight="1">
      <c r="A34" s="3083"/>
      <c r="B34" s="4027" t="s">
        <v>3490</v>
      </c>
      <c r="C34" s="4027"/>
      <c r="D34" s="4027"/>
      <c r="E34" s="4027"/>
      <c r="F34" s="4027"/>
      <c r="G34" s="3117"/>
      <c r="H34" s="3118"/>
      <c r="I34" s="3119"/>
      <c r="J34" s="3092"/>
      <c r="K34" s="3102"/>
      <c r="L34" s="3102"/>
      <c r="M34" s="3083"/>
    </row>
    <row r="35" spans="1:13" s="3094" customFormat="1">
      <c r="A35" s="3083"/>
      <c r="B35" s="3120" t="s">
        <v>3415</v>
      </c>
      <c r="C35" s="3121" t="s">
        <v>3390</v>
      </c>
      <c r="D35" s="4028" t="s">
        <v>3491</v>
      </c>
      <c r="E35" s="4028"/>
      <c r="F35" s="4028"/>
      <c r="G35" s="3117"/>
      <c r="H35" s="3118"/>
      <c r="I35" s="3119"/>
      <c r="J35" s="3092"/>
      <c r="K35" s="3083"/>
      <c r="L35" s="3083"/>
      <c r="M35" s="3083"/>
    </row>
    <row r="36" spans="1:13">
      <c r="B36" s="3120" t="s">
        <v>3560</v>
      </c>
      <c r="C36" s="3121">
        <v>0.5</v>
      </c>
      <c r="D36" s="4029">
        <f>ROUND('比较法-商业租金'!C48,1)</f>
        <v>6.6</v>
      </c>
      <c r="E36" s="4029"/>
      <c r="F36" s="4029"/>
      <c r="G36" s="3117"/>
      <c r="H36" s="3118"/>
      <c r="I36" s="3119"/>
      <c r="K36" s="3083"/>
      <c r="L36" s="3083"/>
    </row>
    <row r="37" spans="1:13">
      <c r="B37" s="3120" t="s">
        <v>3558</v>
      </c>
      <c r="C37" s="3121">
        <f>1-C36</f>
        <v>0.5</v>
      </c>
      <c r="D37" s="4029">
        <f>C31</f>
        <v>6.8</v>
      </c>
      <c r="E37" s="4029"/>
      <c r="F37" s="4029"/>
      <c r="H37" s="3123"/>
      <c r="I37" s="3124"/>
      <c r="J37" s="3083"/>
      <c r="K37" s="3083"/>
      <c r="L37" s="3083"/>
    </row>
    <row r="38" spans="1:13">
      <c r="B38" s="4030" t="s">
        <v>3559</v>
      </c>
      <c r="C38" s="4030"/>
      <c r="D38" s="4031">
        <f>ROUND(D36*C36+D37*C37,1)</f>
        <v>6.7</v>
      </c>
      <c r="E38" s="4032"/>
      <c r="F38" s="4033"/>
      <c r="G38" s="3117"/>
      <c r="H38" s="3125"/>
      <c r="I38" s="3125"/>
      <c r="J38" s="3083"/>
      <c r="K38" s="3083"/>
      <c r="L38" s="3083"/>
    </row>
    <row r="39" spans="1:13">
      <c r="B39" s="4034" t="s">
        <v>3562</v>
      </c>
      <c r="C39" s="4035"/>
      <c r="D39" s="4036">
        <v>1</v>
      </c>
      <c r="E39" s="4037"/>
      <c r="F39" s="4038"/>
      <c r="G39" s="3117"/>
      <c r="H39" s="3125"/>
      <c r="I39" s="3125"/>
      <c r="J39" s="3083"/>
      <c r="K39" s="3083"/>
      <c r="L39" s="3083"/>
    </row>
    <row r="40" spans="1:13">
      <c r="B40" s="4034" t="s">
        <v>3561</v>
      </c>
      <c r="C40" s="4035"/>
      <c r="D40" s="4031">
        <f>D38/D39</f>
        <v>6.7</v>
      </c>
      <c r="E40" s="4032"/>
      <c r="F40" s="4033"/>
      <c r="G40" s="3117"/>
      <c r="H40" s="3125"/>
      <c r="I40" s="3125"/>
      <c r="J40" s="3083"/>
      <c r="K40" s="3083"/>
      <c r="L40" s="3083"/>
    </row>
    <row r="41" spans="1:13" ht="22.5">
      <c r="B41" s="3120" t="s">
        <v>3557</v>
      </c>
      <c r="C41" s="3829">
        <f>ROUND(D40*0.9,1)</f>
        <v>6</v>
      </c>
      <c r="D41" s="3121" t="s">
        <v>3492</v>
      </c>
      <c r="E41" s="4028">
        <f>ROUND(D40*1.1,1)</f>
        <v>7.4</v>
      </c>
      <c r="F41" s="4028"/>
      <c r="G41" s="3126"/>
      <c r="H41" s="3127"/>
      <c r="J41" s="3083"/>
      <c r="K41" s="3083"/>
      <c r="L41" s="3083"/>
    </row>
    <row r="42" spans="1:13">
      <c r="B42" s="3128"/>
      <c r="C42" s="3129"/>
      <c r="D42" s="3129"/>
      <c r="E42" s="3129"/>
      <c r="F42" s="3129"/>
      <c r="G42" s="3126"/>
      <c r="H42" s="3130"/>
      <c r="J42" s="3083"/>
    </row>
    <row r="43" spans="1:13">
      <c r="B43" s="3126" t="s">
        <v>3493</v>
      </c>
      <c r="C43" s="3129"/>
      <c r="D43" s="3129"/>
      <c r="E43" s="3126" t="s">
        <v>3416</v>
      </c>
      <c r="F43" s="3129"/>
      <c r="G43" s="3126"/>
      <c r="H43" s="3126" t="s">
        <v>3494</v>
      </c>
      <c r="J43" s="3083"/>
    </row>
  </sheetData>
  <mergeCells count="73">
    <mergeCell ref="B39:C39"/>
    <mergeCell ref="D39:F39"/>
    <mergeCell ref="B40:C40"/>
    <mergeCell ref="D40:F40"/>
    <mergeCell ref="E41:F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B3:O15"/>
  <sheetViews>
    <sheetView zoomScaleNormal="100" workbookViewId="0">
      <selection activeCell="B11" sqref="B11"/>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4039" t="s">
        <v>3512</v>
      </c>
      <c r="C4" s="4039"/>
      <c r="D4" s="4039"/>
      <c r="E4" s="4039"/>
      <c r="F4" s="4039"/>
      <c r="G4" s="4039"/>
      <c r="H4" s="4039"/>
      <c r="J4" s="3075" t="s">
        <v>3535</v>
      </c>
      <c r="K4" s="3074">
        <v>233.33</v>
      </c>
      <c r="L4" s="3075" t="s">
        <v>3536</v>
      </c>
      <c r="M4" s="3074">
        <v>0.55000000000000004</v>
      </c>
      <c r="N4" s="3075" t="s">
        <v>3537</v>
      </c>
      <c r="O4" s="3074">
        <f>K4/M4</f>
        <v>424.23636363636365</v>
      </c>
    </row>
    <row r="5" spans="2:15" ht="40.5">
      <c r="B5" s="3076" t="s">
        <v>3503</v>
      </c>
      <c r="C5" s="3076" t="s">
        <v>3504</v>
      </c>
      <c r="D5" s="3076" t="s">
        <v>3505</v>
      </c>
      <c r="E5" s="3076" t="s">
        <v>3506</v>
      </c>
      <c r="F5" s="3077" t="s">
        <v>3508</v>
      </c>
      <c r="G5" s="3077" t="s">
        <v>3510</v>
      </c>
      <c r="H5" s="3077" t="s">
        <v>3509</v>
      </c>
      <c r="J5" s="3078"/>
    </row>
    <row r="6" spans="2:15" s="3841" customFormat="1" ht="21.75" customHeight="1">
      <c r="B6" s="3839" t="s">
        <v>3645</v>
      </c>
      <c r="C6" s="3839" t="s">
        <v>3646</v>
      </c>
      <c r="D6" s="3839" t="s">
        <v>3507</v>
      </c>
      <c r="E6" s="3840" t="s">
        <v>3647</v>
      </c>
      <c r="F6" s="3839">
        <v>386</v>
      </c>
      <c r="G6" s="3839"/>
      <c r="H6" s="3839">
        <v>5.84</v>
      </c>
      <c r="K6" s="3842"/>
    </row>
    <row r="7" spans="2:15" s="3841" customFormat="1" ht="21.75" customHeight="1">
      <c r="B7" s="3839" t="s">
        <v>3655</v>
      </c>
      <c r="C7" s="3839" t="s">
        <v>3663</v>
      </c>
      <c r="D7" s="3839" t="s">
        <v>3511</v>
      </c>
      <c r="E7" s="3840" t="s">
        <v>3647</v>
      </c>
      <c r="F7" s="3839">
        <v>485</v>
      </c>
      <c r="G7" s="3839"/>
      <c r="H7" s="3839">
        <v>6.41</v>
      </c>
    </row>
    <row r="8" spans="2:15" s="3841" customFormat="1" ht="21.75" customHeight="1">
      <c r="B8" s="3839" t="s">
        <v>3662</v>
      </c>
      <c r="C8" s="3839" t="s">
        <v>3664</v>
      </c>
      <c r="D8" s="3839" t="s">
        <v>3511</v>
      </c>
      <c r="E8" s="3839">
        <v>1</v>
      </c>
      <c r="F8" s="3839">
        <v>420</v>
      </c>
      <c r="G8" s="3839"/>
      <c r="H8" s="3839">
        <v>7.4</v>
      </c>
    </row>
    <row r="9" spans="2:15" s="3841" customFormat="1" ht="21.75" customHeight="1">
      <c r="B9" s="3839" t="s">
        <v>3674</v>
      </c>
      <c r="C9" s="3839" t="s">
        <v>3675</v>
      </c>
      <c r="D9" s="3839" t="s">
        <v>3513</v>
      </c>
      <c r="E9" s="3839">
        <v>1</v>
      </c>
      <c r="F9" s="3839">
        <v>267.39</v>
      </c>
      <c r="G9" s="3839">
        <v>30218</v>
      </c>
      <c r="H9" s="3839"/>
    </row>
    <row r="10" spans="2:15" s="3841" customFormat="1" ht="21.75" customHeight="1">
      <c r="B10" s="3839" t="s">
        <v>3669</v>
      </c>
      <c r="C10" s="3839" t="s">
        <v>3668</v>
      </c>
      <c r="D10" s="3839" t="s">
        <v>3513</v>
      </c>
      <c r="E10" s="3839">
        <v>1</v>
      </c>
      <c r="F10" s="3839">
        <v>164.78</v>
      </c>
      <c r="G10" s="3839">
        <v>30040</v>
      </c>
      <c r="H10" s="3839"/>
    </row>
    <row r="11" spans="2:15" s="3841" customFormat="1" ht="21.75" customHeight="1">
      <c r="B11" s="3839" t="s">
        <v>3669</v>
      </c>
      <c r="C11" s="3839" t="s">
        <v>3668</v>
      </c>
      <c r="D11" s="3839" t="s">
        <v>3513</v>
      </c>
      <c r="E11" s="3839">
        <v>1</v>
      </c>
      <c r="F11" s="3839">
        <v>300</v>
      </c>
      <c r="G11" s="3839">
        <v>26667</v>
      </c>
      <c r="H11" s="3839"/>
    </row>
    <row r="12" spans="2:15" s="3841" customFormat="1" ht="21.75" customHeight="1">
      <c r="B12" s="3839"/>
      <c r="C12" s="3839"/>
      <c r="D12" s="3839"/>
      <c r="E12" s="3839"/>
      <c r="F12" s="3839"/>
      <c r="G12" s="3839"/>
      <c r="H12" s="3839"/>
    </row>
    <row r="13" spans="2:15" s="3841" customFormat="1" ht="21.75" customHeight="1">
      <c r="B13" s="3839"/>
      <c r="C13" s="3839"/>
      <c r="D13" s="3839"/>
      <c r="E13" s="3839"/>
      <c r="F13" s="3839"/>
      <c r="G13" s="3839"/>
      <c r="H13" s="3839"/>
    </row>
    <row r="14" spans="2:15" s="3841" customFormat="1" ht="21.75" customHeight="1">
      <c r="B14" s="3839"/>
      <c r="C14" s="3839"/>
      <c r="D14" s="3839"/>
      <c r="E14" s="3839"/>
      <c r="F14" s="3839"/>
      <c r="G14" s="3839"/>
      <c r="H14" s="3839"/>
      <c r="J14" s="3843"/>
    </row>
    <row r="15" spans="2:15" s="3841" customFormat="1" ht="21.75" customHeight="1">
      <c r="B15" s="3839"/>
      <c r="C15" s="3839"/>
      <c r="D15" s="3839"/>
      <c r="E15" s="3839"/>
      <c r="F15" s="3839"/>
      <c r="G15" s="3839"/>
      <c r="H15" s="3839"/>
    </row>
  </sheetData>
  <mergeCells count="1">
    <mergeCell ref="B4:H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168" customWidth="1"/>
    <col min="2" max="2" width="15.75" style="3168" customWidth="1"/>
    <col min="3" max="3" width="15.6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21"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134" t="s">
        <v>1810</v>
      </c>
      <c r="C1" s="3135" t="s">
        <v>1662</v>
      </c>
      <c r="D1" s="3136"/>
      <c r="E1" s="3137"/>
      <c r="F1" s="3138" t="s">
        <v>3581</v>
      </c>
      <c r="G1" s="3139" t="s">
        <v>1767</v>
      </c>
      <c r="H1" s="3140"/>
      <c r="I1" s="3140"/>
      <c r="J1" s="3140"/>
      <c r="K1" s="3141"/>
      <c r="L1" s="3140"/>
      <c r="M1" s="3141"/>
      <c r="N1" s="3141"/>
      <c r="O1" s="3141"/>
      <c r="P1" s="3135"/>
      <c r="Q1" s="3135"/>
      <c r="R1" s="3135"/>
      <c r="S1" s="3135"/>
      <c r="T1" s="3135"/>
      <c r="U1" s="3135"/>
      <c r="V1" s="3135"/>
      <c r="W1" s="3135"/>
      <c r="X1" s="3135"/>
      <c r="Y1" s="3135"/>
      <c r="Z1" s="3135"/>
      <c r="AA1" s="3135"/>
      <c r="AB1" s="3135"/>
      <c r="AC1" s="3142"/>
    </row>
    <row r="2" spans="1:29" s="3155" customFormat="1" ht="28.5" customHeight="1" thickTop="1">
      <c r="A2" s="3144" t="s">
        <v>1462</v>
      </c>
      <c r="B2" s="3145" t="b">
        <f>IF(E1="项目模式",IF(C2="——",ROUND(C50*D3/10000,0),ROUND(C50*D3/10000,0)-D2),IF(E1="单套模式",IF(C2="——",ROUND(C50*D3/10000,4),ROUND(C50*D3/10000,4)-D2)))</f>
        <v>0</v>
      </c>
      <c r="C2" s="3146"/>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153"/>
      <c r="Q2" s="3153"/>
      <c r="R2" s="3153"/>
      <c r="S2" s="3153"/>
      <c r="T2" s="3153"/>
      <c r="U2" s="3153"/>
      <c r="V2" s="3153"/>
      <c r="W2" s="3153"/>
      <c r="X2" s="3153"/>
      <c r="Y2" s="3153"/>
      <c r="Z2" s="3153"/>
      <c r="AA2" s="3153"/>
      <c r="AB2" s="3153"/>
      <c r="AC2" s="3154"/>
    </row>
    <row r="3" spans="1:29" s="3155" customFormat="1" ht="28.5" customHeight="1" thickBot="1">
      <c r="A3" s="3156" t="s">
        <v>1464</v>
      </c>
      <c r="B3" s="3157">
        <f>IF(C2="——",C50,ROUND(B2*10000/D3,0))</f>
        <v>0</v>
      </c>
      <c r="C3" s="3158" t="s">
        <v>1768</v>
      </c>
      <c r="D3" s="3157">
        <f>IF(D1="",'数据-汇总表'!E3,SUMIF('数据-汇总表'!$C19:$C33,D1,'数据-汇总表'!$E19:$E33))</f>
        <v>343.31</v>
      </c>
      <c r="E3" s="3159"/>
      <c r="F3" s="3160"/>
      <c r="G3" s="3150"/>
      <c r="H3" s="3150"/>
      <c r="I3" s="3150"/>
      <c r="J3" s="3150"/>
      <c r="K3" s="3161"/>
      <c r="L3" s="3151"/>
      <c r="M3" s="3152"/>
      <c r="N3" s="3152"/>
      <c r="O3" s="3152"/>
      <c r="P3" s="3153"/>
      <c r="Q3" s="3153"/>
      <c r="R3" s="3153"/>
      <c r="S3" s="3153"/>
      <c r="T3" s="3153"/>
      <c r="U3" s="3153"/>
      <c r="V3" s="3153"/>
      <c r="W3" s="3153"/>
      <c r="X3" s="3153"/>
      <c r="Y3" s="3153"/>
      <c r="Z3" s="3153"/>
      <c r="AA3" s="3153"/>
      <c r="AB3" s="3153"/>
      <c r="AC3" s="3154"/>
    </row>
    <row r="4" spans="1:29" ht="15">
      <c r="A4" s="3162" t="s">
        <v>1769</v>
      </c>
      <c r="B4" s="3163"/>
      <c r="C4" s="3963" t="s">
        <v>1770</v>
      </c>
      <c r="D4" s="3964"/>
      <c r="E4" s="3965" t="s">
        <v>1771</v>
      </c>
      <c r="F4" s="3966"/>
      <c r="G4" s="3963" t="s">
        <v>1772</v>
      </c>
      <c r="H4" s="3964"/>
      <c r="I4" s="3963" t="s">
        <v>1773</v>
      </c>
      <c r="J4" s="3964"/>
      <c r="K4" s="3164" t="s">
        <v>1774</v>
      </c>
      <c r="L4" s="3165"/>
      <c r="M4" s="3166"/>
      <c r="N4" s="3166"/>
      <c r="O4" s="3166"/>
      <c r="P4" s="4050" t="s">
        <v>1775</v>
      </c>
      <c r="Q4" s="4051"/>
      <c r="R4" s="4041" t="s">
        <v>1771</v>
      </c>
      <c r="S4" s="4042"/>
      <c r="T4" s="4041" t="s">
        <v>1772</v>
      </c>
      <c r="U4" s="4042"/>
      <c r="V4" s="4054" t="s">
        <v>1773</v>
      </c>
      <c r="W4" s="4054"/>
      <c r="X4" s="3167"/>
      <c r="Y4" s="4041" t="s">
        <v>1775</v>
      </c>
      <c r="Z4" s="4042"/>
      <c r="AA4" s="4040" t="s">
        <v>1771</v>
      </c>
      <c r="AB4" s="4040" t="s">
        <v>1772</v>
      </c>
      <c r="AC4" s="4047" t="s">
        <v>1773</v>
      </c>
    </row>
    <row r="5" spans="1:29" ht="15">
      <c r="A5" s="3169"/>
      <c r="B5" s="3170"/>
      <c r="C5" s="3955" t="str">
        <f>'比较法-商业租金'!C5:D5</f>
        <v>长远天地</v>
      </c>
      <c r="D5" s="3956"/>
      <c r="E5" s="4043">
        <f>案例!B13</f>
        <v>0</v>
      </c>
      <c r="F5" s="3954"/>
      <c r="G5" s="4045">
        <f>案例!B14</f>
        <v>0</v>
      </c>
      <c r="H5" s="3956"/>
      <c r="I5" s="4045">
        <f>案例!B15</f>
        <v>0</v>
      </c>
      <c r="J5" s="3956"/>
      <c r="K5" s="3164"/>
      <c r="L5" s="3165"/>
      <c r="M5" s="3166"/>
      <c r="N5" s="3166"/>
      <c r="O5" s="3166"/>
      <c r="P5" s="4052"/>
      <c r="Q5" s="3970"/>
      <c r="R5" s="3951"/>
      <c r="S5" s="3952"/>
      <c r="T5" s="3951"/>
      <c r="U5" s="3952"/>
      <c r="V5" s="3946"/>
      <c r="W5" s="3946"/>
      <c r="X5" s="3171"/>
      <c r="Y5" s="3951"/>
      <c r="Z5" s="3952"/>
      <c r="AA5" s="3944"/>
      <c r="AB5" s="3944"/>
      <c r="AC5" s="4048"/>
    </row>
    <row r="6" spans="1:29" ht="22.5" customHeight="1" thickBot="1">
      <c r="A6" s="3172"/>
      <c r="B6" s="3173"/>
      <c r="C6" s="4044" t="str">
        <f>'比较法-商业租金'!C6:D6</f>
        <v>苏州街18号院2号楼2101</v>
      </c>
      <c r="D6" s="3958"/>
      <c r="E6" s="4046">
        <f>案例!C13</f>
        <v>0</v>
      </c>
      <c r="F6" s="3960"/>
      <c r="G6" s="4044">
        <f>案例!C14</f>
        <v>0</v>
      </c>
      <c r="H6" s="3958"/>
      <c r="I6" s="4044">
        <f>案例!C15</f>
        <v>0</v>
      </c>
      <c r="J6" s="3958"/>
      <c r="K6" s="3164" t="s">
        <v>1678</v>
      </c>
      <c r="L6" s="3165"/>
      <c r="M6" s="3166"/>
      <c r="N6" s="3166"/>
      <c r="O6" s="3166"/>
      <c r="P6" s="4053"/>
      <c r="Q6" s="3972"/>
      <c r="R6" s="3951"/>
      <c r="S6" s="3952"/>
      <c r="T6" s="3973"/>
      <c r="U6" s="3974"/>
      <c r="V6" s="3946"/>
      <c r="W6" s="3946"/>
      <c r="X6" s="3171"/>
      <c r="Y6" s="3973"/>
      <c r="Z6" s="3974"/>
      <c r="AA6" s="3945"/>
      <c r="AB6" s="3945"/>
      <c r="AC6" s="4049"/>
    </row>
    <row r="7" spans="1:29" s="3185" customFormat="1" ht="15.75" thickBot="1">
      <c r="A7" s="3174" t="s">
        <v>1679</v>
      </c>
      <c r="B7" s="3175"/>
      <c r="C7" s="3422">
        <f>'数据-取费表'!B2</f>
        <v>45142</v>
      </c>
      <c r="D7" s="3176">
        <v>100</v>
      </c>
      <c r="E7" s="3073">
        <f>'比较法-商业租金'!E7</f>
        <v>45139</v>
      </c>
      <c r="F7" s="3177">
        <f>SUMIF(59:59,YEAR(E7)&amp;"-"&amp;MONTH(E7),60:60)</f>
        <v>100</v>
      </c>
      <c r="G7" s="3073">
        <f>'比较法-商业租金'!G7</f>
        <v>45139</v>
      </c>
      <c r="H7" s="3176">
        <f>SUMIF(59:59,YEAR(G7)&amp;"-"&amp;MONTH(G7),60:60)</f>
        <v>100</v>
      </c>
      <c r="I7" s="3073">
        <f>'比较法-商业租金'!I7</f>
        <v>45139</v>
      </c>
      <c r="J7" s="3176">
        <f>SUMIF(59:59,YEAR(I7)&amp;"-"&amp;MONTH(I7),60:60)</f>
        <v>100</v>
      </c>
      <c r="K7" s="3164"/>
      <c r="L7" s="3178"/>
      <c r="M7" s="3179"/>
      <c r="N7" s="3179"/>
      <c r="O7" s="3179"/>
      <c r="P7" s="4055" t="s">
        <v>1680</v>
      </c>
      <c r="Q7" s="3975"/>
      <c r="R7" s="3180" t="s">
        <v>14</v>
      </c>
      <c r="S7" s="3181">
        <f t="shared" ref="S7:S15" si="0">F7</f>
        <v>100</v>
      </c>
      <c r="T7" s="3180" t="s">
        <v>14</v>
      </c>
      <c r="U7" s="3181">
        <f t="shared" ref="U7:U15" si="1">H7</f>
        <v>100</v>
      </c>
      <c r="V7" s="3180" t="s">
        <v>14</v>
      </c>
      <c r="W7" s="3181">
        <f t="shared" ref="W7:W15" si="2">J7</f>
        <v>100</v>
      </c>
      <c r="X7" s="3182"/>
      <c r="Y7" s="3947" t="s">
        <v>1680</v>
      </c>
      <c r="Z7" s="3948"/>
      <c r="AA7" s="3183">
        <f>D7/F7</f>
        <v>1</v>
      </c>
      <c r="AB7" s="3183">
        <f>D7/H7</f>
        <v>1</v>
      </c>
      <c r="AC7" s="3184">
        <f>D7/J7</f>
        <v>1</v>
      </c>
    </row>
    <row r="8" spans="1:29" s="3185" customFormat="1" ht="15.75" thickBot="1">
      <c r="A8" s="3174" t="s">
        <v>1681</v>
      </c>
      <c r="B8" s="3175"/>
      <c r="C8" s="3186" t="s">
        <v>3538</v>
      </c>
      <c r="D8" s="3176">
        <v>100</v>
      </c>
      <c r="E8" s="3186" t="s">
        <v>3538</v>
      </c>
      <c r="F8" s="3177">
        <f>SUMIF(62:62,E8,63:63)-SUMIF(62:62,C8,63:63)+100</f>
        <v>100</v>
      </c>
      <c r="G8" s="3186" t="s">
        <v>3538</v>
      </c>
      <c r="H8" s="3176">
        <f>SUMIF(62:62,G8,63:63)-SUMIF(62:62,C8,63:63)+100</f>
        <v>100</v>
      </c>
      <c r="I8" s="3186" t="s">
        <v>3538</v>
      </c>
      <c r="J8" s="3176">
        <f>SUMIF(62:62,I8,63:63)-SUMIF(62:62,C8,63:63)+100</f>
        <v>100</v>
      </c>
      <c r="K8" s="3164"/>
      <c r="L8" s="3178"/>
      <c r="M8" s="3179"/>
      <c r="N8" s="3179"/>
      <c r="O8" s="3179"/>
      <c r="P8" s="4055" t="s">
        <v>1683</v>
      </c>
      <c r="Q8" s="3948"/>
      <c r="R8" s="3180" t="s">
        <v>14</v>
      </c>
      <c r="S8" s="3181">
        <f t="shared" si="0"/>
        <v>100</v>
      </c>
      <c r="T8" s="3180" t="s">
        <v>14</v>
      </c>
      <c r="U8" s="3181">
        <f t="shared" si="1"/>
        <v>100</v>
      </c>
      <c r="V8" s="3180" t="s">
        <v>14</v>
      </c>
      <c r="W8" s="3181">
        <f t="shared" si="2"/>
        <v>100</v>
      </c>
      <c r="X8" s="3182"/>
      <c r="Y8" s="3947" t="s">
        <v>1683</v>
      </c>
      <c r="Z8" s="3948"/>
      <c r="AA8" s="3183">
        <f t="shared" ref="AA8:AA47" si="3">D8/F8</f>
        <v>1</v>
      </c>
      <c r="AB8" s="3183">
        <f t="shared" ref="AB8:AB47" si="4">D8/H8</f>
        <v>1</v>
      </c>
      <c r="AC8" s="3184">
        <f t="shared" ref="AC8:AC47" si="5">D8/J8</f>
        <v>1</v>
      </c>
    </row>
    <row r="9" spans="1:29" s="3185" customFormat="1" ht="15">
      <c r="A9" s="3187" t="s">
        <v>1684</v>
      </c>
      <c r="B9" s="3188" t="s">
        <v>1685</v>
      </c>
      <c r="C9" s="3189" t="str">
        <f>'比较法-商业租金'!C9</f>
        <v xml:space="preserve">商业 </v>
      </c>
      <c r="D9" s="3190">
        <v>100</v>
      </c>
      <c r="E9" s="3191" t="s">
        <v>21</v>
      </c>
      <c r="F9" s="3190">
        <f>SUMIF(64:64,E9,65:65)-SUMIF(64:64,C9,65:65)+100</f>
        <v>0</v>
      </c>
      <c r="G9" s="3192" t="s">
        <v>21</v>
      </c>
      <c r="H9" s="3190">
        <f>SUMIF(64:64,G9,65:65)-SUMIF(64:64,C9,65:65)+100</f>
        <v>0</v>
      </c>
      <c r="I9" s="3192" t="s">
        <v>21</v>
      </c>
      <c r="J9" s="3190">
        <f>SUMIF(64:64,I9,65:65)-SUMIF(64:64,C9,65:65)+100</f>
        <v>0</v>
      </c>
      <c r="K9" s="3164"/>
      <c r="L9" s="3178"/>
      <c r="M9" s="3179"/>
      <c r="N9" s="3179"/>
      <c r="O9" s="3179"/>
      <c r="P9" s="3961" t="s">
        <v>1686</v>
      </c>
      <c r="Q9" s="3193" t="str">
        <f t="shared" ref="Q9:Q15" si="6">B9</f>
        <v>用途</v>
      </c>
      <c r="R9" s="3180" t="s">
        <v>14</v>
      </c>
      <c r="S9" s="3181">
        <f t="shared" si="0"/>
        <v>0</v>
      </c>
      <c r="T9" s="3180" t="s">
        <v>14</v>
      </c>
      <c r="U9" s="3181">
        <f t="shared" si="1"/>
        <v>0</v>
      </c>
      <c r="V9" s="3180" t="s">
        <v>14</v>
      </c>
      <c r="W9" s="3181">
        <f t="shared" si="2"/>
        <v>0</v>
      </c>
      <c r="X9" s="3182"/>
      <c r="Y9" s="3962" t="s">
        <v>1687</v>
      </c>
      <c r="Z9" s="3183" t="str">
        <f t="shared" ref="Z9:Z15" si="7">Q9</f>
        <v>用途</v>
      </c>
      <c r="AA9" s="3183" t="e">
        <f t="shared" si="3"/>
        <v>#DIV/0!</v>
      </c>
      <c r="AB9" s="3183" t="e">
        <f t="shared" si="4"/>
        <v>#DIV/0!</v>
      </c>
      <c r="AC9" s="3184" t="e">
        <f t="shared" si="5"/>
        <v>#DIV/0!</v>
      </c>
    </row>
    <row r="10" spans="1:29" s="3201" customFormat="1" ht="27">
      <c r="A10" s="3194"/>
      <c r="B10" s="3195" t="s">
        <v>1688</v>
      </c>
      <c r="C10" s="3196"/>
      <c r="D10" s="3197">
        <v>100</v>
      </c>
      <c r="E10" s="3196"/>
      <c r="F10" s="3197">
        <f>SUMIF(66:66,E10,67:67)-SUMIF(66:66,C10,67:67)+100</f>
        <v>100</v>
      </c>
      <c r="G10" s="3198"/>
      <c r="H10" s="3197">
        <f>SUMIF(66:66,G10,67:67)-SUMIF(66:66,C10,67:67)+100</f>
        <v>100</v>
      </c>
      <c r="I10" s="3196"/>
      <c r="J10" s="3197">
        <f>SUMIF(66:66,I10,67:67)-SUMIF(66:66,C10,67:67)+100</f>
        <v>100</v>
      </c>
      <c r="K10" s="3164"/>
      <c r="L10" s="3199"/>
      <c r="M10" s="3200"/>
      <c r="N10" s="3200"/>
      <c r="O10" s="3200"/>
      <c r="P10" s="3961"/>
      <c r="Q10" s="3193" t="str">
        <f t="shared" si="6"/>
        <v>土地使用年限（年）</v>
      </c>
      <c r="R10" s="3180" t="s">
        <v>14</v>
      </c>
      <c r="S10" s="3181">
        <f t="shared" si="0"/>
        <v>100</v>
      </c>
      <c r="T10" s="3180" t="s">
        <v>14</v>
      </c>
      <c r="U10" s="3181">
        <f t="shared" si="1"/>
        <v>100</v>
      </c>
      <c r="V10" s="3180" t="s">
        <v>14</v>
      </c>
      <c r="W10" s="3181">
        <f t="shared" si="2"/>
        <v>100</v>
      </c>
      <c r="X10" s="3182"/>
      <c r="Y10" s="3962"/>
      <c r="Z10" s="3183" t="str">
        <f t="shared" si="7"/>
        <v>土地使用年限（年）</v>
      </c>
      <c r="AA10" s="3183">
        <f t="shared" si="3"/>
        <v>1</v>
      </c>
      <c r="AB10" s="3183">
        <f t="shared" si="4"/>
        <v>1</v>
      </c>
      <c r="AC10" s="3184">
        <f t="shared" si="5"/>
        <v>1</v>
      </c>
    </row>
    <row r="11" spans="1:29" ht="15">
      <c r="A11" s="3202"/>
      <c r="B11" s="3195" t="s">
        <v>1689</v>
      </c>
      <c r="C11" s="3196"/>
      <c r="D11" s="3197">
        <v>100</v>
      </c>
      <c r="E11" s="3196"/>
      <c r="F11" s="3197">
        <f>LOOKUP(E11,69:69,70:70)-LOOKUP(C11,69:69,70:70)+100</f>
        <v>100</v>
      </c>
      <c r="G11" s="3198"/>
      <c r="H11" s="3197">
        <f>LOOKUP(G11,69:69,70:70)-LOOKUP(C11,69:69,70:70)+100</f>
        <v>100</v>
      </c>
      <c r="I11" s="3196"/>
      <c r="J11" s="3197">
        <f>LOOKUP(I11,69:69,70:70)-LOOKUP(C11,69:69,70:70)+100</f>
        <v>100</v>
      </c>
      <c r="K11" s="3203"/>
      <c r="L11" s="3204"/>
      <c r="M11" s="3166"/>
      <c r="N11" s="3166"/>
      <c r="O11" s="3166"/>
      <c r="P11" s="3961"/>
      <c r="Q11" s="3193" t="str">
        <f t="shared" si="6"/>
        <v>容积率</v>
      </c>
      <c r="R11" s="3180" t="s">
        <v>14</v>
      </c>
      <c r="S11" s="3181">
        <f t="shared" si="0"/>
        <v>100</v>
      </c>
      <c r="T11" s="3180" t="s">
        <v>14</v>
      </c>
      <c r="U11" s="3181">
        <f t="shared" si="1"/>
        <v>100</v>
      </c>
      <c r="V11" s="3180" t="s">
        <v>14</v>
      </c>
      <c r="W11" s="3181">
        <f t="shared" si="2"/>
        <v>100</v>
      </c>
      <c r="X11" s="3182"/>
      <c r="Y11" s="3962"/>
      <c r="Z11" s="3183" t="str">
        <f t="shared" si="7"/>
        <v>容积率</v>
      </c>
      <c r="AA11" s="3183">
        <f t="shared" si="3"/>
        <v>1</v>
      </c>
      <c r="AB11" s="3183">
        <f t="shared" si="4"/>
        <v>1</v>
      </c>
      <c r="AC11" s="3184">
        <f t="shared" si="5"/>
        <v>1</v>
      </c>
    </row>
    <row r="12" spans="1:29" s="3185" customFormat="1" ht="15">
      <c r="A12" s="3205"/>
      <c r="B12" s="3206">
        <v>111</v>
      </c>
      <c r="C12" s="3207"/>
      <c r="D12" s="3208">
        <v>100</v>
      </c>
      <c r="E12" s="3207"/>
      <c r="F12" s="3197">
        <f>SUMIF(71:71,E12,72:72)-SUMIF(71:71,C12,72:72)+100</f>
        <v>100</v>
      </c>
      <c r="G12" s="3209"/>
      <c r="H12" s="3197">
        <f>SUMIF(71:71,G12,72:72)-SUMIF(71:71,C12,72:72)+100</f>
        <v>100</v>
      </c>
      <c r="I12" s="3207"/>
      <c r="J12" s="3197">
        <f>SUMIF(71:71,I12,72:72)-SUMIF(71:71,C12,72:72)+100</f>
        <v>100</v>
      </c>
      <c r="K12" s="3210"/>
      <c r="L12" s="3178"/>
      <c r="M12" s="3179"/>
      <c r="N12" s="3179"/>
      <c r="O12" s="3179"/>
      <c r="P12" s="3961"/>
      <c r="Q12" s="3193">
        <f t="shared" si="6"/>
        <v>111</v>
      </c>
      <c r="R12" s="3180" t="s">
        <v>14</v>
      </c>
      <c r="S12" s="3181">
        <f t="shared" si="0"/>
        <v>100</v>
      </c>
      <c r="T12" s="3180" t="s">
        <v>14</v>
      </c>
      <c r="U12" s="3181">
        <f t="shared" si="1"/>
        <v>100</v>
      </c>
      <c r="V12" s="3180" t="s">
        <v>14</v>
      </c>
      <c r="W12" s="3181">
        <f t="shared" si="2"/>
        <v>100</v>
      </c>
      <c r="X12" s="3182"/>
      <c r="Y12" s="3962"/>
      <c r="Z12" s="3183">
        <f t="shared" si="7"/>
        <v>111</v>
      </c>
      <c r="AA12" s="3183">
        <f>D12/F12</f>
        <v>1</v>
      </c>
      <c r="AB12" s="3183">
        <f>D12/H12</f>
        <v>1</v>
      </c>
      <c r="AC12" s="3184">
        <f>D12/J12</f>
        <v>1</v>
      </c>
    </row>
    <row r="13" spans="1:29" ht="15">
      <c r="A13" s="3202"/>
      <c r="B13" s="3206">
        <v>111</v>
      </c>
      <c r="C13" s="3211"/>
      <c r="D13" s="3212">
        <v>100</v>
      </c>
      <c r="E13" s="3207"/>
      <c r="F13" s="3197">
        <f>SUMIF(73:73,E13,74:74)-SUMIF(73:73,C13,74:74)+100</f>
        <v>100</v>
      </c>
      <c r="G13" s="3209"/>
      <c r="H13" s="3212">
        <f>SUMIF(73:73,G13,74:74)-SUMIF(73:73,C13,74:74)+100</f>
        <v>100</v>
      </c>
      <c r="I13" s="3207"/>
      <c r="J13" s="3212">
        <f>SUMIF(73:73,I13,74:74)-SUMIF(73:73,C13,74:74)+100</f>
        <v>100</v>
      </c>
      <c r="K13" s="3210"/>
      <c r="L13" s="3213"/>
      <c r="M13" s="3166"/>
      <c r="N13" s="3166"/>
      <c r="O13" s="3166"/>
      <c r="P13" s="3961"/>
      <c r="Q13" s="3193">
        <f t="shared" si="6"/>
        <v>111</v>
      </c>
      <c r="R13" s="3180" t="s">
        <v>14</v>
      </c>
      <c r="S13" s="3181">
        <f t="shared" si="0"/>
        <v>100</v>
      </c>
      <c r="T13" s="3180" t="s">
        <v>14</v>
      </c>
      <c r="U13" s="3181">
        <f t="shared" si="1"/>
        <v>100</v>
      </c>
      <c r="V13" s="3180" t="s">
        <v>14</v>
      </c>
      <c r="W13" s="3181">
        <f t="shared" si="2"/>
        <v>100</v>
      </c>
      <c r="X13" s="3182"/>
      <c r="Y13" s="3962"/>
      <c r="Z13" s="3183">
        <f t="shared" si="7"/>
        <v>111</v>
      </c>
      <c r="AA13" s="3183">
        <f t="shared" si="3"/>
        <v>1</v>
      </c>
      <c r="AB13" s="3183">
        <f t="shared" si="4"/>
        <v>1</v>
      </c>
      <c r="AC13" s="3184">
        <f t="shared" si="5"/>
        <v>1</v>
      </c>
    </row>
    <row r="14" spans="1:29" ht="15.75" thickBot="1">
      <c r="A14" s="3214"/>
      <c r="B14" s="3215">
        <v>111</v>
      </c>
      <c r="C14" s="3216"/>
      <c r="D14" s="3217">
        <v>100</v>
      </c>
      <c r="E14" s="3218"/>
      <c r="F14" s="3217">
        <f>SUMIF(75:75,E14,76:76)-SUMIF(75:75,C14,76:76)+100</f>
        <v>100</v>
      </c>
      <c r="G14" s="3209"/>
      <c r="H14" s="3217">
        <f>SUMIF(75:75,G14,76:76)-SUMIF(75:75,C14,76:76)+100</f>
        <v>100</v>
      </c>
      <c r="I14" s="3207"/>
      <c r="J14" s="3217">
        <f>SUMIF(75:75,I14,76:76)-SUMIF(75:75,C14,76:76)+100</f>
        <v>100</v>
      </c>
      <c r="K14" s="3210"/>
      <c r="L14" s="3213"/>
      <c r="M14" s="3166"/>
      <c r="N14" s="3166"/>
      <c r="O14" s="3166"/>
      <c r="P14" s="3961"/>
      <c r="Q14" s="3193">
        <f t="shared" si="6"/>
        <v>111</v>
      </c>
      <c r="R14" s="3180" t="s">
        <v>14</v>
      </c>
      <c r="S14" s="3181">
        <f t="shared" si="0"/>
        <v>100</v>
      </c>
      <c r="T14" s="3180" t="s">
        <v>14</v>
      </c>
      <c r="U14" s="3181">
        <f t="shared" si="1"/>
        <v>100</v>
      </c>
      <c r="V14" s="3180" t="s">
        <v>14</v>
      </c>
      <c r="W14" s="3181">
        <f t="shared" si="2"/>
        <v>100</v>
      </c>
      <c r="X14" s="3182"/>
      <c r="Y14" s="3962"/>
      <c r="Z14" s="3183">
        <f t="shared" si="7"/>
        <v>111</v>
      </c>
      <c r="AA14" s="3183">
        <f t="shared" si="3"/>
        <v>1</v>
      </c>
      <c r="AB14" s="3183">
        <f t="shared" si="4"/>
        <v>1</v>
      </c>
      <c r="AC14" s="3184">
        <f t="shared" si="5"/>
        <v>1</v>
      </c>
    </row>
    <row r="15" spans="1:29" ht="86.25" customHeight="1">
      <c r="A15" s="3219" t="s">
        <v>1690</v>
      </c>
      <c r="B15" s="3220" t="s">
        <v>1811</v>
      </c>
      <c r="C15" s="3221" t="str">
        <f>估价对象房地状况!C5</f>
        <v>估价对象附近有银丰大厦、神州数码大厦、绿创大厦、银科大厦等办公用楼，办公集聚程度好</v>
      </c>
      <c r="D15" s="3222">
        <v>100</v>
      </c>
      <c r="E15" s="3223"/>
      <c r="F15" s="3222">
        <f>SUMIF(77:77,E16,78:78)-SUMIF(77:77,C16,78:78)+100</f>
        <v>102</v>
      </c>
      <c r="G15" s="3224"/>
      <c r="H15" s="3222">
        <f>SUMIF(77:77,G16,78:78)-SUMIF(77:77,C16,78:78)+100</f>
        <v>102</v>
      </c>
      <c r="I15" s="3224"/>
      <c r="J15" s="3222">
        <f>SUMIF(77:77,I16,78:78)-SUMIF(77:77,C16,78:78)+100</f>
        <v>100</v>
      </c>
      <c r="K15" s="3225">
        <v>2</v>
      </c>
      <c r="L15" s="3213"/>
      <c r="M15" s="3166"/>
      <c r="N15" s="3166"/>
      <c r="O15" s="3166"/>
      <c r="P15" s="3976" t="s">
        <v>1691</v>
      </c>
      <c r="Q15" s="3226" t="str">
        <f t="shared" si="6"/>
        <v>办公集聚程度</v>
      </c>
      <c r="R15" s="3227" t="s">
        <v>14</v>
      </c>
      <c r="S15" s="3228">
        <f t="shared" si="0"/>
        <v>102</v>
      </c>
      <c r="T15" s="3227" t="s">
        <v>14</v>
      </c>
      <c r="U15" s="3228">
        <f t="shared" si="1"/>
        <v>102</v>
      </c>
      <c r="V15" s="3227" t="s">
        <v>14</v>
      </c>
      <c r="W15" s="3228">
        <f t="shared" si="2"/>
        <v>100</v>
      </c>
      <c r="X15" s="3171"/>
      <c r="Y15" s="3978" t="s">
        <v>1691</v>
      </c>
      <c r="Z15" s="3229" t="str">
        <f t="shared" si="7"/>
        <v>办公集聚程度</v>
      </c>
      <c r="AA15" s="3229">
        <f t="shared" si="3"/>
        <v>0.98039215686274506</v>
      </c>
      <c r="AB15" s="3229">
        <f t="shared" si="4"/>
        <v>0.98039215686274506</v>
      </c>
      <c r="AC15" s="3230">
        <f t="shared" si="5"/>
        <v>1</v>
      </c>
    </row>
    <row r="16" spans="1:29" ht="15" customHeight="1">
      <c r="A16" s="3202"/>
      <c r="B16" s="3231"/>
      <c r="C16" s="3232" t="s">
        <v>3516</v>
      </c>
      <c r="D16" s="3233"/>
      <c r="E16" s="3234" t="s">
        <v>3517</v>
      </c>
      <c r="F16" s="3233"/>
      <c r="G16" s="3232" t="s">
        <v>3517</v>
      </c>
      <c r="H16" s="3235"/>
      <c r="I16" s="3234" t="s">
        <v>3516</v>
      </c>
      <c r="J16" s="3233"/>
      <c r="K16" s="3236"/>
      <c r="L16" s="3213"/>
      <c r="M16" s="3166"/>
      <c r="N16" s="3166"/>
      <c r="O16" s="3166"/>
      <c r="P16" s="3977"/>
      <c r="Q16" s="3226"/>
      <c r="R16" s="3227"/>
      <c r="S16" s="3228"/>
      <c r="T16" s="3227"/>
      <c r="U16" s="3228"/>
      <c r="V16" s="3227"/>
      <c r="W16" s="3228"/>
      <c r="X16" s="3171"/>
      <c r="Y16" s="3979"/>
      <c r="Z16" s="3229"/>
      <c r="AA16" s="3229">
        <v>1</v>
      </c>
      <c r="AB16" s="3229">
        <v>1</v>
      </c>
      <c r="AC16" s="3230">
        <v>1</v>
      </c>
    </row>
    <row r="17" spans="1:29" ht="185.25">
      <c r="A17" s="3202"/>
      <c r="B17" s="3237" t="s">
        <v>1259</v>
      </c>
      <c r="C17" s="3238"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c r="F17" s="3235">
        <f>SUMIF(79:79,E18,80:80)-SUMIF(79:79,C18,80:80)+100</f>
        <v>100</v>
      </c>
      <c r="G17" s="3240"/>
      <c r="H17" s="3241">
        <f>SUMIF(79:79,G18,80:80)-SUMIF(79:79,C18,80:80)+100</f>
        <v>98</v>
      </c>
      <c r="I17" s="3240"/>
      <c r="J17" s="3241">
        <f>SUMIF(79:79,I18,80:80)-SUMIF(79:79,C18,80:80)+100</f>
        <v>98</v>
      </c>
      <c r="K17" s="3225">
        <v>2</v>
      </c>
      <c r="L17" s="3213"/>
      <c r="M17" s="3166"/>
      <c r="N17" s="3166"/>
      <c r="O17" s="3166"/>
      <c r="P17" s="3977"/>
      <c r="Q17" s="3226" t="str">
        <f>B17</f>
        <v>交通便捷度</v>
      </c>
      <c r="R17" s="3227" t="s">
        <v>14</v>
      </c>
      <c r="S17" s="3228">
        <f>F17</f>
        <v>100</v>
      </c>
      <c r="T17" s="3227" t="s">
        <v>14</v>
      </c>
      <c r="U17" s="3228">
        <f>H17</f>
        <v>98</v>
      </c>
      <c r="V17" s="3227" t="s">
        <v>14</v>
      </c>
      <c r="W17" s="3228">
        <f>J17</f>
        <v>98</v>
      </c>
      <c r="X17" s="3171"/>
      <c r="Y17" s="3979"/>
      <c r="Z17" s="3229" t="str">
        <f>Q17</f>
        <v>交通便捷度</v>
      </c>
      <c r="AA17" s="3229">
        <f t="shared" si="3"/>
        <v>1</v>
      </c>
      <c r="AB17" s="3229">
        <f t="shared" si="4"/>
        <v>1.0204081632653061</v>
      </c>
      <c r="AC17" s="3230">
        <f t="shared" si="5"/>
        <v>1.0204081632653061</v>
      </c>
    </row>
    <row r="18" spans="1:29" ht="15">
      <c r="A18" s="3202"/>
      <c r="B18" s="3242"/>
      <c r="C18" s="3243" t="s">
        <v>3517</v>
      </c>
      <c r="D18" s="3235"/>
      <c r="E18" s="3244" t="s">
        <v>3517</v>
      </c>
      <c r="F18" s="3235"/>
      <c r="G18" s="3243" t="s">
        <v>3516</v>
      </c>
      <c r="H18" s="3233"/>
      <c r="I18" s="3243" t="s">
        <v>3516</v>
      </c>
      <c r="J18" s="3233"/>
      <c r="K18" s="3236"/>
      <c r="L18" s="3213"/>
      <c r="M18" s="3166"/>
      <c r="N18" s="3166"/>
      <c r="O18" s="3166"/>
      <c r="P18" s="3977"/>
      <c r="Q18" s="3226"/>
      <c r="R18" s="3227"/>
      <c r="S18" s="3228"/>
      <c r="T18" s="3227"/>
      <c r="U18" s="3228"/>
      <c r="V18" s="3227"/>
      <c r="W18" s="3228"/>
      <c r="X18" s="3171"/>
      <c r="Y18" s="3979"/>
      <c r="Z18" s="3229"/>
      <c r="AA18" s="3229">
        <v>1</v>
      </c>
      <c r="AB18" s="3229">
        <v>1</v>
      </c>
      <c r="AC18" s="3230">
        <v>1</v>
      </c>
    </row>
    <row r="19" spans="1:29" ht="299.25">
      <c r="A19" s="3202"/>
      <c r="B19" s="3237" t="s">
        <v>1812</v>
      </c>
      <c r="C19" s="3238"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245"/>
      <c r="F19" s="3241">
        <f>SUMIF(81:81,E20,82:82)-SUMIF(81:81,C20,82:82)+100</f>
        <v>100</v>
      </c>
      <c r="G19" s="3246"/>
      <c r="H19" s="3235">
        <f>SUMIF(81:81,G20,82:82)-SUMIF(81:81,C20,82:82)+100</f>
        <v>100</v>
      </c>
      <c r="I19" s="3246"/>
      <c r="J19" s="3235">
        <f>SUMIF(81:81,I20,82:82)-SUMIF(81:81,C20,82:82)+100</f>
        <v>100</v>
      </c>
      <c r="K19" s="3225">
        <v>2</v>
      </c>
      <c r="L19" s="3213"/>
      <c r="M19" s="3166"/>
      <c r="N19" s="3166"/>
      <c r="O19" s="3166"/>
      <c r="P19" s="3977"/>
      <c r="Q19" s="3226" t="str">
        <f>B19</f>
        <v>公共配套设施</v>
      </c>
      <c r="R19" s="3227" t="s">
        <v>14</v>
      </c>
      <c r="S19" s="3228">
        <f>F19</f>
        <v>100</v>
      </c>
      <c r="T19" s="3227" t="s">
        <v>14</v>
      </c>
      <c r="U19" s="3228">
        <f>H19</f>
        <v>100</v>
      </c>
      <c r="V19" s="3227" t="s">
        <v>14</v>
      </c>
      <c r="W19" s="3228">
        <f>J19</f>
        <v>100</v>
      </c>
      <c r="X19" s="3171"/>
      <c r="Y19" s="3979"/>
      <c r="Z19" s="3229" t="str">
        <f>Q19</f>
        <v>公共配套设施</v>
      </c>
      <c r="AA19" s="3229">
        <f t="shared" si="3"/>
        <v>1</v>
      </c>
      <c r="AB19" s="3229">
        <f t="shared" si="4"/>
        <v>1</v>
      </c>
      <c r="AC19" s="3230">
        <f t="shared" si="5"/>
        <v>1</v>
      </c>
    </row>
    <row r="20" spans="1:29" ht="15">
      <c r="A20" s="3202"/>
      <c r="B20" s="3242"/>
      <c r="C20" s="3232" t="s">
        <v>3516</v>
      </c>
      <c r="D20" s="3233"/>
      <c r="E20" s="3234" t="s">
        <v>3516</v>
      </c>
      <c r="F20" s="3233"/>
      <c r="G20" s="3232" t="s">
        <v>3516</v>
      </c>
      <c r="H20" s="3233"/>
      <c r="I20" s="3232" t="s">
        <v>3516</v>
      </c>
      <c r="J20" s="3233"/>
      <c r="K20" s="3236"/>
      <c r="L20" s="3213"/>
      <c r="M20" s="3166"/>
      <c r="N20" s="3166"/>
      <c r="O20" s="3166"/>
      <c r="P20" s="3977"/>
      <c r="Q20" s="3226"/>
      <c r="R20" s="3227"/>
      <c r="S20" s="3228"/>
      <c r="T20" s="3227"/>
      <c r="U20" s="3228"/>
      <c r="V20" s="3227"/>
      <c r="W20" s="3228"/>
      <c r="X20" s="3171"/>
      <c r="Y20" s="3979"/>
      <c r="Z20" s="3229"/>
      <c r="AA20" s="3229">
        <v>1</v>
      </c>
      <c r="AB20" s="3229">
        <v>1</v>
      </c>
      <c r="AC20" s="3230">
        <v>1</v>
      </c>
    </row>
    <row r="21" spans="1:29" ht="15">
      <c r="A21" s="3202"/>
      <c r="B21" s="3247" t="s">
        <v>1813</v>
      </c>
      <c r="C21" s="3238" t="str">
        <f>估价对象房地状况!C8</f>
        <v>七通</v>
      </c>
      <c r="D21" s="3235">
        <v>100</v>
      </c>
      <c r="E21" s="3245"/>
      <c r="F21" s="3241">
        <f>SUMIF(83:83,E22,84:84)-SUMIF(83:83,C22,84:84)+100</f>
        <v>100</v>
      </c>
      <c r="G21" s="3246"/>
      <c r="H21" s="3235">
        <f>SUMIF(83:83,G22,84:84)-SUMIF(83:83,C22,84:84)+100</f>
        <v>100</v>
      </c>
      <c r="I21" s="3246"/>
      <c r="J21" s="3235">
        <f>SUMIF(83:83,I22,84:84)-SUMIF(83:83,C22,84:84)+100</f>
        <v>100</v>
      </c>
      <c r="K21" s="3225"/>
      <c r="L21" s="3213"/>
      <c r="M21" s="3166"/>
      <c r="N21" s="3166"/>
      <c r="O21" s="3166"/>
      <c r="P21" s="3977"/>
      <c r="Q21" s="3226" t="str">
        <f>B21</f>
        <v>基础设施水平</v>
      </c>
      <c r="R21" s="3227" t="s">
        <v>14</v>
      </c>
      <c r="S21" s="3228">
        <f>F21</f>
        <v>100</v>
      </c>
      <c r="T21" s="3227" t="s">
        <v>14</v>
      </c>
      <c r="U21" s="3228">
        <f>H21</f>
        <v>100</v>
      </c>
      <c r="V21" s="3227" t="s">
        <v>14</v>
      </c>
      <c r="W21" s="3228">
        <f>J21</f>
        <v>100</v>
      </c>
      <c r="X21" s="3171"/>
      <c r="Y21" s="3979"/>
      <c r="Z21" s="3229" t="str">
        <f>Q21</f>
        <v>基础设施水平</v>
      </c>
      <c r="AA21" s="3229">
        <f t="shared" ref="AA21" si="8">D21/F21</f>
        <v>1</v>
      </c>
      <c r="AB21" s="3229">
        <f t="shared" ref="AB21" si="9">D21/H21</f>
        <v>1</v>
      </c>
      <c r="AC21" s="3230">
        <f t="shared" ref="AC21" si="10">D21/J21</f>
        <v>1</v>
      </c>
    </row>
    <row r="22" spans="1:29" ht="15">
      <c r="A22" s="3202"/>
      <c r="B22" s="3247"/>
      <c r="C22" s="3243" t="s">
        <v>3514</v>
      </c>
      <c r="D22" s="3233"/>
      <c r="E22" s="3234" t="s">
        <v>3514</v>
      </c>
      <c r="F22" s="3233"/>
      <c r="G22" s="3232" t="s">
        <v>3514</v>
      </c>
      <c r="H22" s="3233"/>
      <c r="I22" s="3232" t="s">
        <v>3514</v>
      </c>
      <c r="J22" s="3233"/>
      <c r="K22" s="3248"/>
      <c r="L22" s="3213"/>
      <c r="M22" s="3166"/>
      <c r="N22" s="3166"/>
      <c r="O22" s="3166"/>
      <c r="P22" s="3977"/>
      <c r="Q22" s="3226"/>
      <c r="R22" s="3227"/>
      <c r="S22" s="3228"/>
      <c r="T22" s="3227"/>
      <c r="U22" s="3228"/>
      <c r="V22" s="3227"/>
      <c r="W22" s="3228"/>
      <c r="X22" s="3171"/>
      <c r="Y22" s="3979"/>
      <c r="Z22" s="3229"/>
      <c r="AA22" s="3229">
        <v>1</v>
      </c>
      <c r="AB22" s="3229">
        <v>1</v>
      </c>
      <c r="AC22" s="3230">
        <v>1</v>
      </c>
    </row>
    <row r="23" spans="1:29" ht="114">
      <c r="A23" s="3202"/>
      <c r="B23" s="3237" t="s">
        <v>1814</v>
      </c>
      <c r="C23" s="3238" t="str">
        <f>估价对象房地状况!C9</f>
        <v xml:space="preserve">自然环境：万泉河等自然景观；
人文环境：中国人民大学等人文场所；
综合评价自然及人文环境状况较好。
</v>
      </c>
      <c r="D23" s="3235">
        <v>100</v>
      </c>
      <c r="E23" s="3239"/>
      <c r="F23" s="3235">
        <f>SUMIF(85:85,E24,86:86)-SUMIF(85:85,C24,86:86)+100</f>
        <v>100</v>
      </c>
      <c r="G23" s="3240"/>
      <c r="H23" s="3235">
        <f>SUMIF(85:85,G24,86:86)-SUMIF(85:85,C24,86:86)+100</f>
        <v>100</v>
      </c>
      <c r="I23" s="3240"/>
      <c r="J23" s="3235">
        <f>SUMIF(85:85,I24,86:86)-SUMIF(85:85,C24,86:86)+100</f>
        <v>100</v>
      </c>
      <c r="K23" s="3225"/>
      <c r="L23" s="3213"/>
      <c r="M23" s="3166"/>
      <c r="N23" s="3166"/>
      <c r="O23" s="3166"/>
      <c r="P23" s="3977"/>
      <c r="Q23" s="3226" t="str">
        <f>B23</f>
        <v>环境质量</v>
      </c>
      <c r="R23" s="3227" t="s">
        <v>14</v>
      </c>
      <c r="S23" s="3228">
        <f>F23</f>
        <v>100</v>
      </c>
      <c r="T23" s="3227" t="s">
        <v>14</v>
      </c>
      <c r="U23" s="3228">
        <f>H23</f>
        <v>100</v>
      </c>
      <c r="V23" s="3227" t="s">
        <v>14</v>
      </c>
      <c r="W23" s="3228">
        <f>J23</f>
        <v>100</v>
      </c>
      <c r="X23" s="3171"/>
      <c r="Y23" s="3979"/>
      <c r="Z23" s="3229" t="str">
        <f>Q23</f>
        <v>环境质量</v>
      </c>
      <c r="AA23" s="3229">
        <f t="shared" si="3"/>
        <v>1</v>
      </c>
      <c r="AB23" s="3229">
        <f t="shared" si="4"/>
        <v>1</v>
      </c>
      <c r="AC23" s="3230">
        <f t="shared" si="5"/>
        <v>1</v>
      </c>
    </row>
    <row r="24" spans="1:29" ht="15">
      <c r="A24" s="3202"/>
      <c r="B24" s="3247"/>
      <c r="C24" s="3232" t="s">
        <v>3516</v>
      </c>
      <c r="D24" s="3233"/>
      <c r="E24" s="3234" t="s">
        <v>3516</v>
      </c>
      <c r="F24" s="3233"/>
      <c r="G24" s="3232" t="s">
        <v>3516</v>
      </c>
      <c r="H24" s="3233"/>
      <c r="I24" s="3232" t="s">
        <v>3516</v>
      </c>
      <c r="J24" s="3233"/>
      <c r="K24" s="3236"/>
      <c r="L24" s="3213"/>
      <c r="M24" s="3166"/>
      <c r="N24" s="3166"/>
      <c r="O24" s="3166"/>
      <c r="P24" s="3977"/>
      <c r="Q24" s="3226"/>
      <c r="R24" s="3227"/>
      <c r="S24" s="3228"/>
      <c r="T24" s="3227"/>
      <c r="U24" s="3228"/>
      <c r="V24" s="3227"/>
      <c r="W24" s="3228"/>
      <c r="X24" s="3171"/>
      <c r="Y24" s="3979"/>
      <c r="Z24" s="3229"/>
      <c r="AA24" s="3229">
        <v>1</v>
      </c>
      <c r="AB24" s="3229">
        <v>1</v>
      </c>
      <c r="AC24" s="3230">
        <v>1</v>
      </c>
    </row>
    <row r="25" spans="1:29" ht="27">
      <c r="A25" s="3169"/>
      <c r="B25" s="3237" t="s">
        <v>1815</v>
      </c>
      <c r="C25" s="3249"/>
      <c r="D25" s="3212">
        <v>100</v>
      </c>
      <c r="E25" s="3250"/>
      <c r="F25" s="3212">
        <f>SUMIF(87:87,E26,88:88)-SUMIF(87:87,C26,88:88)+100</f>
        <v>100</v>
      </c>
      <c r="G25" s="3249"/>
      <c r="H25" s="3212">
        <f>SUMIF(87:87,G26,88:88)-SUMIF(87:87,C26,88:88)+100</f>
        <v>98</v>
      </c>
      <c r="I25" s="3250"/>
      <c r="J25" s="3212">
        <f>SUMIF(87:87,I26,88:88)-SUMIF(87:87,C26,88:88)+100</f>
        <v>98</v>
      </c>
      <c r="K25" s="3225">
        <v>2</v>
      </c>
      <c r="L25" s="3213"/>
      <c r="M25" s="3166"/>
      <c r="N25" s="3166"/>
      <c r="O25" s="3166"/>
      <c r="P25" s="3977"/>
      <c r="Q25" s="3226" t="str">
        <f>B25</f>
        <v>毗邻道路的类型与等级</v>
      </c>
      <c r="R25" s="3227" t="s">
        <v>14</v>
      </c>
      <c r="S25" s="3228">
        <f>F25</f>
        <v>100</v>
      </c>
      <c r="T25" s="3227" t="s">
        <v>14</v>
      </c>
      <c r="U25" s="3228">
        <f>H25</f>
        <v>98</v>
      </c>
      <c r="V25" s="3227" t="s">
        <v>14</v>
      </c>
      <c r="W25" s="3228">
        <f>J25</f>
        <v>98</v>
      </c>
      <c r="X25" s="3171"/>
      <c r="Y25" s="3979"/>
      <c r="Z25" s="3229" t="str">
        <f>Q25</f>
        <v>毗邻道路的类型与等级</v>
      </c>
      <c r="AA25" s="3229">
        <f t="shared" si="3"/>
        <v>1</v>
      </c>
      <c r="AB25" s="3229">
        <f t="shared" si="4"/>
        <v>1.0204081632653061</v>
      </c>
      <c r="AC25" s="3230">
        <f t="shared" si="5"/>
        <v>1.0204081632653061</v>
      </c>
    </row>
    <row r="26" spans="1:29" ht="15">
      <c r="A26" s="3169"/>
      <c r="B26" s="3242"/>
      <c r="C26" s="3251" t="s">
        <v>3554</v>
      </c>
      <c r="D26" s="3212"/>
      <c r="E26" s="3252" t="s">
        <v>3554</v>
      </c>
      <c r="F26" s="3212"/>
      <c r="G26" s="3251" t="s">
        <v>3555</v>
      </c>
      <c r="H26" s="3212"/>
      <c r="I26" s="3252" t="s">
        <v>3555</v>
      </c>
      <c r="J26" s="3212"/>
      <c r="K26" s="3236"/>
      <c r="L26" s="3213"/>
      <c r="M26" s="3166"/>
      <c r="N26" s="3166"/>
      <c r="O26" s="3166"/>
      <c r="P26" s="3977"/>
      <c r="Q26" s="3226"/>
      <c r="R26" s="3227"/>
      <c r="S26" s="3228"/>
      <c r="T26" s="3227"/>
      <c r="U26" s="3228"/>
      <c r="V26" s="3227"/>
      <c r="W26" s="3228"/>
      <c r="X26" s="3171"/>
      <c r="Y26" s="3979"/>
      <c r="Z26" s="3229"/>
      <c r="AA26" s="3229">
        <v>1</v>
      </c>
      <c r="AB26" s="3229">
        <v>1</v>
      </c>
      <c r="AC26" s="3230">
        <v>1</v>
      </c>
    </row>
    <row r="27" spans="1:29" ht="15">
      <c r="A27" s="3202"/>
      <c r="B27" s="3242" t="s">
        <v>1783</v>
      </c>
      <c r="C27" s="3251"/>
      <c r="D27" s="3212">
        <v>100</v>
      </c>
      <c r="E27" s="3252"/>
      <c r="F27" s="3212">
        <f>SUMIF(89:89,E27,90:90)-SUMIF(89:89,C27,90:90)+100</f>
        <v>100</v>
      </c>
      <c r="G27" s="3251"/>
      <c r="H27" s="3212">
        <f>SUMIF(89:89,G27,90:90)-SUMIF(89:89,C27,90:90)+100</f>
        <v>100</v>
      </c>
      <c r="I27" s="3252"/>
      <c r="J27" s="3212">
        <f>SUMIF(89:89,I27,90:90)-SUMIF(89:89,C27,90:90)+100</f>
        <v>100</v>
      </c>
      <c r="K27" s="3203"/>
      <c r="L27" s="3213"/>
      <c r="M27" s="3166"/>
      <c r="N27" s="3166"/>
      <c r="O27" s="3166"/>
      <c r="P27" s="3977"/>
      <c r="Q27" s="3226" t="str">
        <f t="shared" ref="Q27:Q47" si="11">B27</f>
        <v>楼层</v>
      </c>
      <c r="R27" s="3227" t="s">
        <v>14</v>
      </c>
      <c r="S27" s="3228">
        <f>F27</f>
        <v>100</v>
      </c>
      <c r="T27" s="3227" t="s">
        <v>14</v>
      </c>
      <c r="U27" s="3228">
        <f>H27</f>
        <v>100</v>
      </c>
      <c r="V27" s="3227" t="s">
        <v>14</v>
      </c>
      <c r="W27" s="3228">
        <f>J27</f>
        <v>100</v>
      </c>
      <c r="X27" s="3171"/>
      <c r="Y27" s="3979"/>
      <c r="Z27" s="3229" t="str">
        <f>Q27</f>
        <v>楼层</v>
      </c>
      <c r="AA27" s="3229">
        <f t="shared" si="3"/>
        <v>1</v>
      </c>
      <c r="AB27" s="3229">
        <f t="shared" si="4"/>
        <v>1</v>
      </c>
      <c r="AC27" s="3230">
        <f t="shared" si="5"/>
        <v>1</v>
      </c>
    </row>
    <row r="28" spans="1:29" s="3185" customFormat="1" ht="15">
      <c r="A28" s="3205"/>
      <c r="B28" s="3237" t="s">
        <v>1816</v>
      </c>
      <c r="C28" s="3253"/>
      <c r="D28" s="3242">
        <v>100</v>
      </c>
      <c r="E28" s="3254"/>
      <c r="F28" s="3242">
        <f>SUMIF(91:91,E28,92:92)-SUMIF(91:91,C28,92:92)+100</f>
        <v>100</v>
      </c>
      <c r="G28" s="3253"/>
      <c r="H28" s="3242">
        <f>SUMIF(91:91,G28,92:92)-SUMIF(91:91,C28,92:92)+100</f>
        <v>100</v>
      </c>
      <c r="I28" s="3254"/>
      <c r="J28" s="3242">
        <f>SUMIF(91:91,I28,92:92)-SUMIF(91:91,C28,92:92)+100</f>
        <v>100</v>
      </c>
      <c r="K28" s="3203"/>
      <c r="L28" s="3178"/>
      <c r="M28" s="3179"/>
      <c r="N28" s="3179"/>
      <c r="O28" s="3179"/>
      <c r="P28" s="3977"/>
      <c r="Q28" s="3193" t="str">
        <f t="shared" si="11"/>
        <v>朝向</v>
      </c>
      <c r="R28" s="3180" t="s">
        <v>14</v>
      </c>
      <c r="S28" s="3181">
        <f>F28</f>
        <v>100</v>
      </c>
      <c r="T28" s="3180" t="s">
        <v>14</v>
      </c>
      <c r="U28" s="3181">
        <f>H28</f>
        <v>100</v>
      </c>
      <c r="V28" s="3180" t="s">
        <v>14</v>
      </c>
      <c r="W28" s="3181">
        <f>J28</f>
        <v>100</v>
      </c>
      <c r="X28" s="3182"/>
      <c r="Y28" s="3979"/>
      <c r="Z28" s="3183" t="str">
        <f>Q28</f>
        <v>朝向</v>
      </c>
      <c r="AA28" s="3229">
        <f>D28/F28</f>
        <v>1</v>
      </c>
      <c r="AB28" s="3229">
        <f>D28/H28</f>
        <v>1</v>
      </c>
      <c r="AC28" s="3230">
        <f>D28/J28</f>
        <v>1</v>
      </c>
    </row>
    <row r="29" spans="1:29" ht="15">
      <c r="A29" s="3202"/>
      <c r="B29" s="3255">
        <v>111</v>
      </c>
      <c r="C29" s="3256"/>
      <c r="D29" s="3212">
        <v>100</v>
      </c>
      <c r="E29" s="3207"/>
      <c r="F29" s="3212">
        <f>SUMIF(93:93,E29,94:94)-SUMIF(93:93,C29,94:94)+100</f>
        <v>100</v>
      </c>
      <c r="G29" s="3209"/>
      <c r="H29" s="3212">
        <f>SUMIF(93:93,G29,94:94)-SUMIF(93:93,C29,94:94)+100</f>
        <v>100</v>
      </c>
      <c r="I29" s="3207"/>
      <c r="J29" s="3212">
        <f>SUMIF(93:93,I29,94:94)-SUMIF(93:93,C29,94:94)+100</f>
        <v>100</v>
      </c>
      <c r="K29" s="3210"/>
      <c r="L29" s="3213"/>
      <c r="M29" s="3166"/>
      <c r="N29" s="3166"/>
      <c r="O29" s="3166"/>
      <c r="P29" s="3977"/>
      <c r="Q29" s="3226">
        <f t="shared" si="11"/>
        <v>111</v>
      </c>
      <c r="R29" s="3227" t="s">
        <v>14</v>
      </c>
      <c r="S29" s="3228">
        <f t="shared" ref="S29:S47" si="12">F29</f>
        <v>100</v>
      </c>
      <c r="T29" s="3227" t="s">
        <v>14</v>
      </c>
      <c r="U29" s="3228">
        <f t="shared" ref="U29:U47" si="13">H29</f>
        <v>100</v>
      </c>
      <c r="V29" s="3227" t="s">
        <v>14</v>
      </c>
      <c r="W29" s="3228">
        <f t="shared" ref="W29:W47" si="14">J29</f>
        <v>100</v>
      </c>
      <c r="X29" s="3171"/>
      <c r="Y29" s="3979"/>
      <c r="Z29" s="3229">
        <f t="shared" ref="Z29:Z47" si="15">Q29</f>
        <v>111</v>
      </c>
      <c r="AA29" s="3229">
        <f t="shared" si="3"/>
        <v>1</v>
      </c>
      <c r="AB29" s="3229">
        <f t="shared" si="4"/>
        <v>1</v>
      </c>
      <c r="AC29" s="3230">
        <f t="shared" si="5"/>
        <v>1</v>
      </c>
    </row>
    <row r="30" spans="1:29" ht="15">
      <c r="A30" s="3202"/>
      <c r="B30" s="3255">
        <v>111</v>
      </c>
      <c r="C30" s="3256"/>
      <c r="D30" s="3212">
        <v>100</v>
      </c>
      <c r="E30" s="3207"/>
      <c r="F30" s="3212">
        <f>SUMIF(95:95,E30,96:96)-SUMIF(95:95,C30,96:96)+100</f>
        <v>100</v>
      </c>
      <c r="G30" s="3209"/>
      <c r="H30" s="3212">
        <f>SUMIF(95:95,G30,96:96)-SUMIF(95:95,C30,96:96)+100</f>
        <v>100</v>
      </c>
      <c r="I30" s="3207"/>
      <c r="J30" s="3212">
        <f>SUMIF(95:95,I30,96:96)-SUMIF(95:95,C30,96:96)+100</f>
        <v>100</v>
      </c>
      <c r="K30" s="3210"/>
      <c r="L30" s="3213"/>
      <c r="M30" s="3166"/>
      <c r="N30" s="3166"/>
      <c r="O30" s="3166"/>
      <c r="P30" s="3977"/>
      <c r="Q30" s="3226">
        <f t="shared" si="11"/>
        <v>111</v>
      </c>
      <c r="R30" s="3227" t="s">
        <v>14</v>
      </c>
      <c r="S30" s="3228">
        <f t="shared" si="12"/>
        <v>100</v>
      </c>
      <c r="T30" s="3227" t="s">
        <v>14</v>
      </c>
      <c r="U30" s="3228">
        <f t="shared" si="13"/>
        <v>100</v>
      </c>
      <c r="V30" s="3227" t="s">
        <v>14</v>
      </c>
      <c r="W30" s="3228">
        <f t="shared" si="14"/>
        <v>100</v>
      </c>
      <c r="X30" s="3171"/>
      <c r="Y30" s="3979"/>
      <c r="Z30" s="3229">
        <f t="shared" si="15"/>
        <v>111</v>
      </c>
      <c r="AA30" s="3229">
        <f t="shared" si="3"/>
        <v>1</v>
      </c>
      <c r="AB30" s="3229">
        <f t="shared" si="4"/>
        <v>1</v>
      </c>
      <c r="AC30" s="3230">
        <f t="shared" si="5"/>
        <v>1</v>
      </c>
    </row>
    <row r="31" spans="1:29" ht="15">
      <c r="A31" s="3202"/>
      <c r="B31" s="3255">
        <v>111</v>
      </c>
      <c r="C31" s="3256"/>
      <c r="D31" s="3212">
        <v>100</v>
      </c>
      <c r="E31" s="3207"/>
      <c r="F31" s="3212">
        <f>SUMIF(97:97,E31,98:98)-SUMIF(97:97,C31,98:98)+100</f>
        <v>100</v>
      </c>
      <c r="G31" s="3209"/>
      <c r="H31" s="3212">
        <f>SUMIF(97:97,G31,98:98)-SUMIF(97:97,C31,98:98)+100</f>
        <v>100</v>
      </c>
      <c r="I31" s="3207"/>
      <c r="J31" s="3212">
        <f>SUMIF(97:97,I31,98:98)-SUMIF(97:97,C31,98:98)+100</f>
        <v>100</v>
      </c>
      <c r="K31" s="3210"/>
      <c r="L31" s="3213"/>
      <c r="M31" s="3166"/>
      <c r="N31" s="3166"/>
      <c r="O31" s="3166"/>
      <c r="P31" s="3977"/>
      <c r="Q31" s="3226">
        <f t="shared" si="11"/>
        <v>111</v>
      </c>
      <c r="R31" s="3227" t="s">
        <v>14</v>
      </c>
      <c r="S31" s="3228">
        <f t="shared" si="12"/>
        <v>100</v>
      </c>
      <c r="T31" s="3227" t="s">
        <v>14</v>
      </c>
      <c r="U31" s="3228">
        <f t="shared" si="13"/>
        <v>100</v>
      </c>
      <c r="V31" s="3227" t="s">
        <v>14</v>
      </c>
      <c r="W31" s="3228">
        <f t="shared" si="14"/>
        <v>100</v>
      </c>
      <c r="X31" s="3171"/>
      <c r="Y31" s="3979"/>
      <c r="Z31" s="3229">
        <f t="shared" si="15"/>
        <v>111</v>
      </c>
      <c r="AA31" s="3229">
        <f t="shared" si="3"/>
        <v>1</v>
      </c>
      <c r="AB31" s="3229">
        <f t="shared" si="4"/>
        <v>1</v>
      </c>
      <c r="AC31" s="3230">
        <f t="shared" si="5"/>
        <v>1</v>
      </c>
    </row>
    <row r="32" spans="1:29" ht="15.75" thickBot="1">
      <c r="A32" s="3214"/>
      <c r="B32" s="3257">
        <v>111</v>
      </c>
      <c r="C32" s="3258"/>
      <c r="D32" s="3217">
        <v>100</v>
      </c>
      <c r="E32" s="3218"/>
      <c r="F32" s="3217">
        <f>SUMIF(99:99,E32,100:100)-SUMIF(99:99,C32,100:100)+100</f>
        <v>100</v>
      </c>
      <c r="G32" s="3209"/>
      <c r="H32" s="3217">
        <f>SUMIF(99:99,G32,100:100)-SUMIF(99:99,C32,100:100)+100</f>
        <v>100</v>
      </c>
      <c r="I32" s="3207"/>
      <c r="J32" s="3217">
        <f>SUMIF(99:99,I32,100:100)-SUMIF(99:99,C32,100:100)+100</f>
        <v>100</v>
      </c>
      <c r="K32" s="3210"/>
      <c r="L32" s="3213"/>
      <c r="M32" s="3166"/>
      <c r="N32" s="3166"/>
      <c r="O32" s="3166"/>
      <c r="P32" s="3977"/>
      <c r="Q32" s="3226">
        <f t="shared" si="11"/>
        <v>111</v>
      </c>
      <c r="R32" s="3227" t="s">
        <v>14</v>
      </c>
      <c r="S32" s="3228">
        <f t="shared" si="12"/>
        <v>100</v>
      </c>
      <c r="T32" s="3227" t="s">
        <v>14</v>
      </c>
      <c r="U32" s="3228">
        <f t="shared" si="13"/>
        <v>100</v>
      </c>
      <c r="V32" s="3227" t="s">
        <v>14</v>
      </c>
      <c r="W32" s="3228">
        <f t="shared" si="14"/>
        <v>100</v>
      </c>
      <c r="X32" s="3171"/>
      <c r="Y32" s="3979"/>
      <c r="Z32" s="3229">
        <f t="shared" si="15"/>
        <v>111</v>
      </c>
      <c r="AA32" s="3229">
        <f t="shared" si="3"/>
        <v>1</v>
      </c>
      <c r="AB32" s="3229">
        <f t="shared" si="4"/>
        <v>1</v>
      </c>
      <c r="AC32" s="3230">
        <f t="shared" si="5"/>
        <v>1</v>
      </c>
    </row>
    <row r="33" spans="1:29" ht="15">
      <c r="A33" s="3219" t="s">
        <v>1694</v>
      </c>
      <c r="B33" s="3188" t="s">
        <v>1817</v>
      </c>
      <c r="C33" s="3259" t="s">
        <v>3570</v>
      </c>
      <c r="D33" s="3260">
        <v>100</v>
      </c>
      <c r="E33" s="3259" t="s">
        <v>3570</v>
      </c>
      <c r="F33" s="3261">
        <f>SUMIF(101:101,E33,102:102)-SUMIF(101:101,C33,102:102)+100</f>
        <v>100</v>
      </c>
      <c r="G33" s="3259" t="s">
        <v>3570</v>
      </c>
      <c r="H33" s="3212">
        <f>SUMIF(101:101,G33,102:102)-SUMIF(101:101,C33,102:102)+100</f>
        <v>100</v>
      </c>
      <c r="I33" s="3259" t="s">
        <v>3570</v>
      </c>
      <c r="J33" s="3260">
        <f>SUMIF(101:101,I33,102:102)-SUMIF(101:101,C33,102:102)+100</f>
        <v>100</v>
      </c>
      <c r="K33" s="3203"/>
      <c r="L33" s="3213"/>
      <c r="M33" s="3166"/>
      <c r="N33" s="3166"/>
      <c r="O33" s="3166"/>
      <c r="P33" s="3980" t="s">
        <v>1696</v>
      </c>
      <c r="Q33" s="3226" t="str">
        <f t="shared" si="11"/>
        <v>建筑类型</v>
      </c>
      <c r="R33" s="3227" t="s">
        <v>14</v>
      </c>
      <c r="S33" s="3228">
        <f t="shared" si="12"/>
        <v>100</v>
      </c>
      <c r="T33" s="3227" t="s">
        <v>14</v>
      </c>
      <c r="U33" s="3228">
        <f t="shared" si="13"/>
        <v>100</v>
      </c>
      <c r="V33" s="3227" t="s">
        <v>14</v>
      </c>
      <c r="W33" s="3228">
        <f t="shared" si="14"/>
        <v>100</v>
      </c>
      <c r="X33" s="3171"/>
      <c r="Y33" s="3983" t="s">
        <v>1696</v>
      </c>
      <c r="Z33" s="3229" t="str">
        <f t="shared" si="15"/>
        <v>建筑类型</v>
      </c>
      <c r="AA33" s="3229">
        <f t="shared" si="3"/>
        <v>1</v>
      </c>
      <c r="AB33" s="3229">
        <f t="shared" si="4"/>
        <v>1</v>
      </c>
      <c r="AC33" s="3230">
        <f t="shared" si="5"/>
        <v>1</v>
      </c>
    </row>
    <row r="34" spans="1:29" s="3270" customFormat="1" ht="15">
      <c r="A34" s="3262"/>
      <c r="B34" s="3195" t="s">
        <v>1697</v>
      </c>
      <c r="C34" s="3263"/>
      <c r="D34" s="3197">
        <v>100</v>
      </c>
      <c r="E34" s="3198"/>
      <c r="F34" s="3195">
        <f>LOOKUP(E34,104:104,105:105)-LOOKUP(C34,104:104,105:105)+100</f>
        <v>100</v>
      </c>
      <c r="G34" s="3196"/>
      <c r="H34" s="3197">
        <f>LOOKUP(G34,104:104,105:105)-LOOKUP(C34,104:104,105:105)+100</f>
        <v>100</v>
      </c>
      <c r="I34" s="3196"/>
      <c r="J34" s="3197">
        <f>LOOKUP(I34,104:104,105:105)-LOOKUP(C34,104:104,105:105)+100</f>
        <v>100</v>
      </c>
      <c r="K34" s="3210"/>
      <c r="L34" s="3204"/>
      <c r="M34" s="3264"/>
      <c r="N34" s="3264"/>
      <c r="O34" s="3264"/>
      <c r="P34" s="3981"/>
      <c r="Q34" s="3265" t="str">
        <f t="shared" si="11"/>
        <v>项目建筑规模</v>
      </c>
      <c r="R34" s="3266" t="s">
        <v>14</v>
      </c>
      <c r="S34" s="3267">
        <f t="shared" si="12"/>
        <v>100</v>
      </c>
      <c r="T34" s="3266" t="s">
        <v>14</v>
      </c>
      <c r="U34" s="3267">
        <f t="shared" si="13"/>
        <v>100</v>
      </c>
      <c r="V34" s="3266" t="s">
        <v>14</v>
      </c>
      <c r="W34" s="3267">
        <f t="shared" si="14"/>
        <v>100</v>
      </c>
      <c r="X34" s="3268"/>
      <c r="Y34" s="3983"/>
      <c r="Z34" s="3269" t="str">
        <f t="shared" si="15"/>
        <v>项目建筑规模</v>
      </c>
      <c r="AA34" s="3229">
        <f t="shared" si="3"/>
        <v>1</v>
      </c>
      <c r="AB34" s="3229">
        <f t="shared" si="4"/>
        <v>1</v>
      </c>
      <c r="AC34" s="3230">
        <f t="shared" si="5"/>
        <v>1</v>
      </c>
    </row>
    <row r="35" spans="1:29" ht="15">
      <c r="A35" s="3271"/>
      <c r="B35" s="3195" t="s">
        <v>1698</v>
      </c>
      <c r="C35" s="3272" t="s">
        <v>3568</v>
      </c>
      <c r="D35" s="3212">
        <v>100</v>
      </c>
      <c r="E35" s="3272" t="s">
        <v>3568</v>
      </c>
      <c r="F35" s="3261">
        <f>SUMIF(106:106,E35,107:107)-SUMIF(106:106,C35,107:107)+100</f>
        <v>100</v>
      </c>
      <c r="G35" s="3272" t="s">
        <v>3568</v>
      </c>
      <c r="H35" s="3212">
        <f>SUMIF(106:106,G35,107:107)-SUMIF(106:106,C35,107:107)+100</f>
        <v>100</v>
      </c>
      <c r="I35" s="3272" t="s">
        <v>3568</v>
      </c>
      <c r="J35" s="3212">
        <f>SUMIF(106:106,I35,107:107)-SUMIF(106:106,C35,107:107)+100</f>
        <v>100</v>
      </c>
      <c r="K35" s="3203"/>
      <c r="L35" s="3213"/>
      <c r="M35" s="3166"/>
      <c r="N35" s="3166"/>
      <c r="O35" s="3166"/>
      <c r="P35" s="3981"/>
      <c r="Q35" s="3226" t="str">
        <f t="shared" si="11"/>
        <v>建筑结构</v>
      </c>
      <c r="R35" s="3227" t="s">
        <v>14</v>
      </c>
      <c r="S35" s="3228">
        <f t="shared" si="12"/>
        <v>100</v>
      </c>
      <c r="T35" s="3227" t="s">
        <v>14</v>
      </c>
      <c r="U35" s="3228">
        <f t="shared" si="13"/>
        <v>100</v>
      </c>
      <c r="V35" s="3227" t="s">
        <v>14</v>
      </c>
      <c r="W35" s="3228">
        <f t="shared" si="14"/>
        <v>100</v>
      </c>
      <c r="X35" s="3171"/>
      <c r="Y35" s="3983"/>
      <c r="Z35" s="3229" t="str">
        <f t="shared" si="15"/>
        <v>建筑结构</v>
      </c>
      <c r="AA35" s="3229">
        <f t="shared" si="3"/>
        <v>1</v>
      </c>
      <c r="AB35" s="3229">
        <f t="shared" si="4"/>
        <v>1</v>
      </c>
      <c r="AC35" s="3230">
        <f t="shared" si="5"/>
        <v>1</v>
      </c>
    </row>
    <row r="36" spans="1:29" ht="15">
      <c r="A36" s="3271"/>
      <c r="B36" s="3195" t="s">
        <v>1785</v>
      </c>
      <c r="C36" s="3272" t="s">
        <v>3556</v>
      </c>
      <c r="D36" s="3212">
        <v>100</v>
      </c>
      <c r="E36" s="3272" t="s">
        <v>3556</v>
      </c>
      <c r="F36" s="3261">
        <f>SUMIF(108:108,E36,109:109)-SUMIF(108:108,C36,109:109)+100</f>
        <v>100</v>
      </c>
      <c r="G36" s="3272" t="s">
        <v>3556</v>
      </c>
      <c r="H36" s="3212">
        <f>SUMIF(108:108,G36,109:109)-SUMIF(108:108,C36,109:109)+100</f>
        <v>100</v>
      </c>
      <c r="I36" s="3272" t="s">
        <v>3556</v>
      </c>
      <c r="J36" s="3212">
        <f>SUMIF(108:108,I36,109:109)-SUMIF(108:108,C36,109:109)+100</f>
        <v>100</v>
      </c>
      <c r="K36" s="3203"/>
      <c r="L36" s="3213"/>
      <c r="M36" s="3166"/>
      <c r="N36" s="3166"/>
      <c r="O36" s="3166"/>
      <c r="P36" s="3981"/>
      <c r="Q36" s="3226" t="str">
        <f t="shared" si="11"/>
        <v>公共部分装修</v>
      </c>
      <c r="R36" s="3227" t="s">
        <v>14</v>
      </c>
      <c r="S36" s="3228">
        <f t="shared" si="12"/>
        <v>100</v>
      </c>
      <c r="T36" s="3227" t="s">
        <v>14</v>
      </c>
      <c r="U36" s="3228">
        <f t="shared" si="13"/>
        <v>100</v>
      </c>
      <c r="V36" s="3227" t="s">
        <v>14</v>
      </c>
      <c r="W36" s="3228">
        <f t="shared" si="14"/>
        <v>100</v>
      </c>
      <c r="X36" s="3171"/>
      <c r="Y36" s="3983"/>
      <c r="Z36" s="3229" t="str">
        <f t="shared" si="15"/>
        <v>公共部分装修</v>
      </c>
      <c r="AA36" s="3229">
        <f t="shared" si="3"/>
        <v>1</v>
      </c>
      <c r="AB36" s="3229">
        <f t="shared" si="4"/>
        <v>1</v>
      </c>
      <c r="AC36" s="3230">
        <f t="shared" si="5"/>
        <v>1</v>
      </c>
    </row>
    <row r="37" spans="1:29" ht="15">
      <c r="A37" s="3271"/>
      <c r="B37" s="3195" t="s">
        <v>1786</v>
      </c>
      <c r="C37" s="3263">
        <f>'比较法-商业租金'!C36</f>
        <v>0.67</v>
      </c>
      <c r="D37" s="3212">
        <v>100</v>
      </c>
      <c r="E37" s="3263">
        <v>0.9</v>
      </c>
      <c r="F37" s="3261">
        <f>LOOKUP(E37,111:111,112:112)-LOOKUP(C37,111:111,112:112)+100</f>
        <v>106</v>
      </c>
      <c r="G37" s="3263">
        <v>0.9</v>
      </c>
      <c r="H37" s="3261">
        <f>LOOKUP(G37,111:111,112:112)-LOOKUP(C37,111:111,112:112)+100</f>
        <v>106</v>
      </c>
      <c r="I37" s="3263">
        <v>0.9</v>
      </c>
      <c r="J37" s="3212">
        <f>LOOKUP(I37,111:111,112:112)-LOOKUP(C37,111:111,112:112)+100</f>
        <v>106</v>
      </c>
      <c r="K37" s="3203">
        <v>2</v>
      </c>
      <c r="L37" s="3213"/>
      <c r="M37" s="3166"/>
      <c r="N37" s="3166"/>
      <c r="O37" s="3166"/>
      <c r="P37" s="3981"/>
      <c r="Q37" s="3226" t="str">
        <f t="shared" si="11"/>
        <v>成新度</v>
      </c>
      <c r="R37" s="3227" t="s">
        <v>14</v>
      </c>
      <c r="S37" s="3228">
        <f t="shared" si="12"/>
        <v>106</v>
      </c>
      <c r="T37" s="3227" t="s">
        <v>14</v>
      </c>
      <c r="U37" s="3228">
        <f t="shared" si="13"/>
        <v>106</v>
      </c>
      <c r="V37" s="3227" t="s">
        <v>14</v>
      </c>
      <c r="W37" s="3228">
        <f t="shared" si="14"/>
        <v>106</v>
      </c>
      <c r="X37" s="3171"/>
      <c r="Y37" s="3983"/>
      <c r="Z37" s="3229" t="str">
        <f t="shared" si="15"/>
        <v>成新度</v>
      </c>
      <c r="AA37" s="3229">
        <f t="shared" si="3"/>
        <v>0.94339622641509435</v>
      </c>
      <c r="AB37" s="3229">
        <f t="shared" si="4"/>
        <v>0.94339622641509435</v>
      </c>
      <c r="AC37" s="3230">
        <f t="shared" si="5"/>
        <v>0.94339622641509435</v>
      </c>
    </row>
    <row r="38" spans="1:29" s="3185" customFormat="1" ht="15">
      <c r="A38" s="3273"/>
      <c r="B38" s="3195" t="s">
        <v>1818</v>
      </c>
      <c r="C38" s="3272" t="s">
        <v>3572</v>
      </c>
      <c r="D38" s="3197">
        <v>100</v>
      </c>
      <c r="E38" s="3272" t="s">
        <v>3572</v>
      </c>
      <c r="F38" s="3261">
        <f>SUMIF(113:113,E38,114:114)-SUMIF(113:113,C38,114:114)+100</f>
        <v>100</v>
      </c>
      <c r="G38" s="3272" t="s">
        <v>3572</v>
      </c>
      <c r="H38" s="3212">
        <f>SUMIF(113:113,G38,114:114)-SUMIF(113:113,C38,114:114)+100</f>
        <v>100</v>
      </c>
      <c r="I38" s="3272" t="s">
        <v>3572</v>
      </c>
      <c r="J38" s="3212">
        <f>SUMIF(113:113,I38,114:114)-SUMIF(113:113,C38,114:114)+100</f>
        <v>100</v>
      </c>
      <c r="K38" s="3203"/>
      <c r="L38" s="3178"/>
      <c r="M38" s="3179"/>
      <c r="N38" s="3179"/>
      <c r="O38" s="3179"/>
      <c r="P38" s="3981"/>
      <c r="Q38" s="3193" t="str">
        <f t="shared" si="11"/>
        <v>写字楼等级</v>
      </c>
      <c r="R38" s="3180" t="s">
        <v>14</v>
      </c>
      <c r="S38" s="3181">
        <f t="shared" si="12"/>
        <v>100</v>
      </c>
      <c r="T38" s="3180" t="s">
        <v>14</v>
      </c>
      <c r="U38" s="3181">
        <f t="shared" si="13"/>
        <v>100</v>
      </c>
      <c r="V38" s="3180" t="s">
        <v>14</v>
      </c>
      <c r="W38" s="3181">
        <f t="shared" si="14"/>
        <v>100</v>
      </c>
      <c r="X38" s="3182"/>
      <c r="Y38" s="3983"/>
      <c r="Z38" s="3183" t="str">
        <f t="shared" si="15"/>
        <v>写字楼等级</v>
      </c>
      <c r="AA38" s="3183">
        <f t="shared" si="3"/>
        <v>1</v>
      </c>
      <c r="AB38" s="3183">
        <f t="shared" si="4"/>
        <v>1</v>
      </c>
      <c r="AC38" s="3184">
        <f t="shared" si="5"/>
        <v>1</v>
      </c>
    </row>
    <row r="39" spans="1:29" ht="15">
      <c r="A39" s="3271"/>
      <c r="B39" s="3195" t="s">
        <v>1819</v>
      </c>
      <c r="C39" s="3272" t="s">
        <v>3574</v>
      </c>
      <c r="D39" s="3212">
        <v>100</v>
      </c>
      <c r="E39" s="3272" t="s">
        <v>3574</v>
      </c>
      <c r="F39" s="3261">
        <f>SUMIF(115:115,E39,116:116)-SUMIF(115:115,C39,116:116)+100</f>
        <v>100</v>
      </c>
      <c r="G39" s="3272" t="s">
        <v>3574</v>
      </c>
      <c r="H39" s="3212">
        <f>SUMIF(115:115,G39,116:116)-SUMIF(115:115,C39,116:116)+100</f>
        <v>100</v>
      </c>
      <c r="I39" s="3272" t="s">
        <v>3574</v>
      </c>
      <c r="J39" s="3212">
        <f>SUMIF(115:115,I39,116:116)-SUMIF(115:115,C39,116:116)+100</f>
        <v>100</v>
      </c>
      <c r="K39" s="3203"/>
      <c r="L39" s="3213"/>
      <c r="M39" s="3166"/>
      <c r="N39" s="3166"/>
      <c r="O39" s="3166"/>
      <c r="P39" s="3981" t="s">
        <v>1696</v>
      </c>
      <c r="Q39" s="3226" t="str">
        <f t="shared" si="11"/>
        <v>物业管理</v>
      </c>
      <c r="R39" s="3227" t="s">
        <v>14</v>
      </c>
      <c r="S39" s="3228">
        <f t="shared" si="12"/>
        <v>100</v>
      </c>
      <c r="T39" s="3227" t="s">
        <v>14</v>
      </c>
      <c r="U39" s="3228">
        <f t="shared" si="13"/>
        <v>100</v>
      </c>
      <c r="V39" s="3227" t="s">
        <v>14</v>
      </c>
      <c r="W39" s="3228">
        <f t="shared" si="14"/>
        <v>100</v>
      </c>
      <c r="X39" s="3171"/>
      <c r="Y39" s="3983" t="s">
        <v>1696</v>
      </c>
      <c r="Z39" s="3229" t="str">
        <f t="shared" si="15"/>
        <v>物业管理</v>
      </c>
      <c r="AA39" s="3229">
        <f t="shared" si="3"/>
        <v>1</v>
      </c>
      <c r="AB39" s="3229">
        <f t="shared" si="4"/>
        <v>1</v>
      </c>
      <c r="AC39" s="3230">
        <f t="shared" si="5"/>
        <v>1</v>
      </c>
    </row>
    <row r="40" spans="1:29" ht="15">
      <c r="A40" s="3271"/>
      <c r="B40" s="3195" t="s">
        <v>1787</v>
      </c>
      <c r="C40" s="3272" t="s">
        <v>3563</v>
      </c>
      <c r="D40" s="3212">
        <v>100</v>
      </c>
      <c r="E40" s="3272" t="s">
        <v>3563</v>
      </c>
      <c r="F40" s="3261">
        <f>SUMIF(117:117,E40,118:118)-SUMIF(117:117,C40,118:118)+100</f>
        <v>100</v>
      </c>
      <c r="G40" s="3272" t="s">
        <v>3563</v>
      </c>
      <c r="H40" s="3212">
        <f>SUMIF(117:117,G40,118:118)-SUMIF(117:117,C40,118:118)+100</f>
        <v>100</v>
      </c>
      <c r="I40" s="3272" t="s">
        <v>3563</v>
      </c>
      <c r="J40" s="3212">
        <f>SUMIF(117:117,I40,118:118)-SUMIF(117:117,C40,118:118)+100</f>
        <v>100</v>
      </c>
      <c r="K40" s="3203"/>
      <c r="L40" s="3213"/>
      <c r="M40" s="3166"/>
      <c r="N40" s="3166"/>
      <c r="O40" s="3166"/>
      <c r="P40" s="3981"/>
      <c r="Q40" s="3226" t="str">
        <f t="shared" si="11"/>
        <v>市政基础设施</v>
      </c>
      <c r="R40" s="3227" t="s">
        <v>14</v>
      </c>
      <c r="S40" s="3228">
        <f t="shared" si="12"/>
        <v>100</v>
      </c>
      <c r="T40" s="3227" t="s">
        <v>14</v>
      </c>
      <c r="U40" s="3228">
        <f t="shared" si="13"/>
        <v>100</v>
      </c>
      <c r="V40" s="3227" t="s">
        <v>14</v>
      </c>
      <c r="W40" s="3228">
        <f t="shared" si="14"/>
        <v>100</v>
      </c>
      <c r="X40" s="3171"/>
      <c r="Y40" s="3983"/>
      <c r="Z40" s="3229" t="str">
        <f t="shared" si="15"/>
        <v>市政基础设施</v>
      </c>
      <c r="AA40" s="3229">
        <f t="shared" si="3"/>
        <v>1</v>
      </c>
      <c r="AB40" s="3229">
        <f t="shared" si="4"/>
        <v>1</v>
      </c>
      <c r="AC40" s="3230">
        <f t="shared" si="5"/>
        <v>1</v>
      </c>
    </row>
    <row r="41" spans="1:29" ht="15">
      <c r="A41" s="3271"/>
      <c r="B41" s="3195" t="s">
        <v>1789</v>
      </c>
      <c r="C41" s="3252" t="s">
        <v>3541</v>
      </c>
      <c r="D41" s="3212">
        <v>100</v>
      </c>
      <c r="E41" s="3252" t="s">
        <v>3543</v>
      </c>
      <c r="F41" s="3261">
        <f>SUMIF(119:119,E41,120:120)-SUMIF(119:119,C41,120:120)+100</f>
        <v>98</v>
      </c>
      <c r="G41" s="3252" t="s">
        <v>3543</v>
      </c>
      <c r="H41" s="3212">
        <f>SUMIF(119:119,G41,120:120)-SUMIF(119:119,C41,120:120)+100</f>
        <v>98</v>
      </c>
      <c r="I41" s="3252" t="s">
        <v>3543</v>
      </c>
      <c r="J41" s="3212">
        <f>SUMIF(119:119,I41,120:120)-SUMIF(119:119,C41,120:120)+100</f>
        <v>98</v>
      </c>
      <c r="K41" s="3203">
        <v>2</v>
      </c>
      <c r="L41" s="3213"/>
      <c r="M41" s="3166"/>
      <c r="N41" s="3166"/>
      <c r="O41" s="3166"/>
      <c r="P41" s="3981"/>
      <c r="Q41" s="3226" t="str">
        <f t="shared" si="11"/>
        <v>层高</v>
      </c>
      <c r="R41" s="3227" t="s">
        <v>14</v>
      </c>
      <c r="S41" s="3228">
        <f t="shared" si="12"/>
        <v>98</v>
      </c>
      <c r="T41" s="3227" t="s">
        <v>14</v>
      </c>
      <c r="U41" s="3228">
        <f t="shared" si="13"/>
        <v>98</v>
      </c>
      <c r="V41" s="3227" t="s">
        <v>14</v>
      </c>
      <c r="W41" s="3228">
        <f t="shared" si="14"/>
        <v>98</v>
      </c>
      <c r="X41" s="3171"/>
      <c r="Y41" s="3983"/>
      <c r="Z41" s="3229" t="str">
        <f t="shared" si="15"/>
        <v>层高</v>
      </c>
      <c r="AA41" s="3229">
        <f t="shared" si="3"/>
        <v>1.0204081632653061</v>
      </c>
      <c r="AB41" s="3229">
        <f t="shared" si="4"/>
        <v>1.0204081632653061</v>
      </c>
      <c r="AC41" s="3230">
        <f t="shared" si="5"/>
        <v>1.0204081632653061</v>
      </c>
    </row>
    <row r="42" spans="1:29" s="3270" customFormat="1" ht="15">
      <c r="A42" s="3262"/>
      <c r="B42" s="3261" t="s">
        <v>1820</v>
      </c>
      <c r="C42" s="3211">
        <f>'比较法-商业租金'!C40</f>
        <v>343.31</v>
      </c>
      <c r="D42" s="3212">
        <v>100</v>
      </c>
      <c r="E42" s="3211">
        <f>案例!F13</f>
        <v>0</v>
      </c>
      <c r="F42" s="3261">
        <f>SUMIF(121:121,E42,122:122)-SUMIF(121:121,C42,122:122)+100</f>
        <v>296</v>
      </c>
      <c r="G42" s="3211">
        <f>案例!F14</f>
        <v>0</v>
      </c>
      <c r="H42" s="3212">
        <f>SUMIF(121:121,G42,122:122)-SUMIF(121:121,C42,122:122)+100</f>
        <v>296</v>
      </c>
      <c r="I42" s="3211">
        <f>案例!F15</f>
        <v>0</v>
      </c>
      <c r="J42" s="3212">
        <f>SUMIF(121:121,I42,122:122)-SUMIF(121:121,C42,122:122)+100</f>
        <v>296</v>
      </c>
      <c r="K42" s="3210"/>
      <c r="L42" s="3204"/>
      <c r="M42" s="3264"/>
      <c r="N42" s="3264"/>
      <c r="O42" s="3264"/>
      <c r="P42" s="3981"/>
      <c r="Q42" s="3265" t="str">
        <f t="shared" si="11"/>
        <v>单套建筑面积</v>
      </c>
      <c r="R42" s="3266" t="s">
        <v>14</v>
      </c>
      <c r="S42" s="3267">
        <f t="shared" si="12"/>
        <v>296</v>
      </c>
      <c r="T42" s="3266" t="s">
        <v>14</v>
      </c>
      <c r="U42" s="3267">
        <f t="shared" si="13"/>
        <v>296</v>
      </c>
      <c r="V42" s="3266" t="s">
        <v>14</v>
      </c>
      <c r="W42" s="3267">
        <f t="shared" si="14"/>
        <v>296</v>
      </c>
      <c r="X42" s="3268"/>
      <c r="Y42" s="3983"/>
      <c r="Z42" s="3269" t="str">
        <f t="shared" si="15"/>
        <v>单套建筑面积</v>
      </c>
      <c r="AA42" s="3229">
        <f t="shared" si="3"/>
        <v>0.33783783783783783</v>
      </c>
      <c r="AB42" s="3229">
        <f t="shared" si="4"/>
        <v>0.33783783783783783</v>
      </c>
      <c r="AC42" s="3230">
        <f t="shared" si="5"/>
        <v>0.33783783783783783</v>
      </c>
    </row>
    <row r="43" spans="1:29" ht="15">
      <c r="A43" s="3271"/>
      <c r="B43" s="3195" t="s">
        <v>1792</v>
      </c>
      <c r="C43" s="3272" t="s">
        <v>3534</v>
      </c>
      <c r="D43" s="3212">
        <v>100</v>
      </c>
      <c r="E43" s="3272" t="s">
        <v>3534</v>
      </c>
      <c r="F43" s="3261">
        <f>SUMIF(123:123,E43,124:124)-SUMIF(123:123,C43,124:124)+100</f>
        <v>100</v>
      </c>
      <c r="G43" s="3272" t="s">
        <v>3534</v>
      </c>
      <c r="H43" s="3212">
        <f>SUMIF(123:123,G43,124:124)-SUMIF(123:123,C43,124:124)+100</f>
        <v>100</v>
      </c>
      <c r="I43" s="3272" t="s">
        <v>3534</v>
      </c>
      <c r="J43" s="3212">
        <f>SUMIF(123:123,I43,124:124)-SUMIF(123:123,C43,124:124)+100</f>
        <v>100</v>
      </c>
      <c r="K43" s="3203"/>
      <c r="L43" s="3213"/>
      <c r="M43" s="3166"/>
      <c r="N43" s="3166"/>
      <c r="O43" s="3166"/>
      <c r="P43" s="3981"/>
      <c r="Q43" s="3226" t="str">
        <f t="shared" si="11"/>
        <v>内部装修</v>
      </c>
      <c r="R43" s="3227" t="s">
        <v>14</v>
      </c>
      <c r="S43" s="3228">
        <f t="shared" si="12"/>
        <v>100</v>
      </c>
      <c r="T43" s="3227" t="s">
        <v>14</v>
      </c>
      <c r="U43" s="3228">
        <f t="shared" si="13"/>
        <v>100</v>
      </c>
      <c r="V43" s="3227" t="s">
        <v>14</v>
      </c>
      <c r="W43" s="3228">
        <f t="shared" si="14"/>
        <v>100</v>
      </c>
      <c r="X43" s="3171"/>
      <c r="Y43" s="3983"/>
      <c r="Z43" s="3229" t="str">
        <f t="shared" si="15"/>
        <v>内部装修</v>
      </c>
      <c r="AA43" s="3229">
        <f t="shared" si="3"/>
        <v>1</v>
      </c>
      <c r="AB43" s="3229">
        <f t="shared" si="4"/>
        <v>1</v>
      </c>
      <c r="AC43" s="3230">
        <f t="shared" si="5"/>
        <v>1</v>
      </c>
    </row>
    <row r="44" spans="1:29" ht="15">
      <c r="A44" s="3271"/>
      <c r="B44" s="3195" t="s">
        <v>1707</v>
      </c>
      <c r="C44" s="3272"/>
      <c r="D44" s="3212">
        <v>100</v>
      </c>
      <c r="E44" s="3272"/>
      <c r="F44" s="3261">
        <f>SUMIF(125:125,E44,126:126)-SUMIF(125:125,C44,126:126)+100</f>
        <v>100</v>
      </c>
      <c r="G44" s="3272"/>
      <c r="H44" s="3212">
        <f>SUMIF(125:125,G44,126:126)-SUMIF(125:125,C44,126:126)+100</f>
        <v>100</v>
      </c>
      <c r="I44" s="3272"/>
      <c r="J44" s="3212">
        <f>SUMIF(125:125,I44,126:126)-SUMIF(125:125,C44,126:126)+100</f>
        <v>100</v>
      </c>
      <c r="K44" s="3203"/>
      <c r="L44" s="3213"/>
      <c r="M44" s="3166"/>
      <c r="N44" s="3166"/>
      <c r="O44" s="3166"/>
      <c r="P44" s="3981"/>
      <c r="Q44" s="3226" t="str">
        <f t="shared" si="11"/>
        <v>内部装修维护情况</v>
      </c>
      <c r="R44" s="3227" t="s">
        <v>14</v>
      </c>
      <c r="S44" s="3228">
        <f t="shared" si="12"/>
        <v>100</v>
      </c>
      <c r="T44" s="3227" t="s">
        <v>14</v>
      </c>
      <c r="U44" s="3228">
        <f t="shared" si="13"/>
        <v>100</v>
      </c>
      <c r="V44" s="3227" t="s">
        <v>14</v>
      </c>
      <c r="W44" s="3228">
        <f t="shared" si="14"/>
        <v>100</v>
      </c>
      <c r="X44" s="3171"/>
      <c r="Y44" s="3983"/>
      <c r="Z44" s="3229" t="str">
        <f t="shared" si="15"/>
        <v>内部装修维护情况</v>
      </c>
      <c r="AA44" s="3229">
        <f t="shared" si="3"/>
        <v>1</v>
      </c>
      <c r="AB44" s="3229">
        <f t="shared" si="4"/>
        <v>1</v>
      </c>
      <c r="AC44" s="3230">
        <f t="shared" si="5"/>
        <v>1</v>
      </c>
    </row>
    <row r="45" spans="1:29" s="3185" customFormat="1" ht="15">
      <c r="A45" s="3273"/>
      <c r="B45" s="3274">
        <v>111</v>
      </c>
      <c r="C45" s="3263"/>
      <c r="D45" s="3197">
        <v>100</v>
      </c>
      <c r="E45" s="3207"/>
      <c r="F45" s="3195">
        <f>SUMIF(127:127,E45,128:128)-SUMIF(127:127,C45,128:128)+100</f>
        <v>100</v>
      </c>
      <c r="G45" s="3207"/>
      <c r="H45" s="3197">
        <f>SUMIF(127:127,G45,128:128)-SUMIF(127:127,C45,128:128)+100</f>
        <v>100</v>
      </c>
      <c r="I45" s="3207"/>
      <c r="J45" s="3197">
        <f>SUMIF(127:127,I45,128:128)-SUMIF(127:127,C45,128:128)+100</f>
        <v>100</v>
      </c>
      <c r="K45" s="3210"/>
      <c r="L45" s="3178"/>
      <c r="M45" s="3179"/>
      <c r="N45" s="3179"/>
      <c r="O45" s="3179"/>
      <c r="P45" s="3981"/>
      <c r="Q45" s="3193">
        <f t="shared" si="11"/>
        <v>111</v>
      </c>
      <c r="R45" s="3180" t="s">
        <v>14</v>
      </c>
      <c r="S45" s="3181">
        <f t="shared" si="12"/>
        <v>100</v>
      </c>
      <c r="T45" s="3180" t="s">
        <v>14</v>
      </c>
      <c r="U45" s="3181">
        <f t="shared" si="13"/>
        <v>100</v>
      </c>
      <c r="V45" s="3180" t="s">
        <v>14</v>
      </c>
      <c r="W45" s="3181">
        <f t="shared" si="14"/>
        <v>100</v>
      </c>
      <c r="X45" s="3182"/>
      <c r="Y45" s="3983"/>
      <c r="Z45" s="3183">
        <f t="shared" si="15"/>
        <v>111</v>
      </c>
      <c r="AA45" s="3183">
        <f t="shared" si="3"/>
        <v>1</v>
      </c>
      <c r="AB45" s="3183">
        <f t="shared" si="4"/>
        <v>1</v>
      </c>
      <c r="AC45" s="3184">
        <f t="shared" si="5"/>
        <v>1</v>
      </c>
    </row>
    <row r="46" spans="1:29" ht="15">
      <c r="A46" s="3271"/>
      <c r="B46" s="3274">
        <v>111</v>
      </c>
      <c r="C46" s="3211"/>
      <c r="D46" s="3212">
        <v>100</v>
      </c>
      <c r="E46" s="3207"/>
      <c r="F46" s="3261">
        <f>SUMIF(129:129,E46,130:130)-SUMIF(129:129,C46,130:130)+100</f>
        <v>100</v>
      </c>
      <c r="G46" s="3207"/>
      <c r="H46" s="3212">
        <f>SUMIF(129:129,G46,130:130)-SUMIF(129:129,C46,130:130)+100</f>
        <v>100</v>
      </c>
      <c r="I46" s="3207"/>
      <c r="J46" s="3212">
        <f>SUMIF(129:129,I46,130:130)-SUMIF(129:129,C46,130:130)+100</f>
        <v>100</v>
      </c>
      <c r="K46" s="3210"/>
      <c r="L46" s="3213"/>
      <c r="M46" s="3166"/>
      <c r="N46" s="3166"/>
      <c r="O46" s="3166"/>
      <c r="P46" s="3981"/>
      <c r="Q46" s="3226">
        <f t="shared" si="11"/>
        <v>111</v>
      </c>
      <c r="R46" s="3227" t="s">
        <v>14</v>
      </c>
      <c r="S46" s="3228">
        <f t="shared" si="12"/>
        <v>100</v>
      </c>
      <c r="T46" s="3227" t="s">
        <v>14</v>
      </c>
      <c r="U46" s="3228">
        <f t="shared" si="13"/>
        <v>100</v>
      </c>
      <c r="V46" s="3227" t="s">
        <v>14</v>
      </c>
      <c r="W46" s="3228">
        <f t="shared" si="14"/>
        <v>100</v>
      </c>
      <c r="X46" s="3171"/>
      <c r="Y46" s="3983"/>
      <c r="Z46" s="3229">
        <f t="shared" si="15"/>
        <v>111</v>
      </c>
      <c r="AA46" s="3229">
        <f t="shared" si="3"/>
        <v>1</v>
      </c>
      <c r="AB46" s="3229">
        <f t="shared" si="4"/>
        <v>1</v>
      </c>
      <c r="AC46" s="3230">
        <f t="shared" si="5"/>
        <v>1</v>
      </c>
    </row>
    <row r="47" spans="1:29" ht="15.75" thickBot="1">
      <c r="A47" s="3275"/>
      <c r="B47" s="3215">
        <v>111</v>
      </c>
      <c r="C47" s="3216"/>
      <c r="D47" s="3217">
        <v>100</v>
      </c>
      <c r="E47" s="3207"/>
      <c r="F47" s="3276">
        <f>SUMIF(131:131,E47,132:132)-SUMIF(131:131,C47,132:132)+100</f>
        <v>100</v>
      </c>
      <c r="G47" s="3207"/>
      <c r="H47" s="3217">
        <f>SUMIF(131:131,G47,132:132)-SUMIF(131:131,C47,132:132)+100</f>
        <v>100</v>
      </c>
      <c r="I47" s="3207"/>
      <c r="J47" s="3217">
        <f>SUMIF(131:131,I47,132:132)-SUMIF(131:131,C47,132:132)+100</f>
        <v>100</v>
      </c>
      <c r="K47" s="3210"/>
      <c r="L47" s="3213"/>
      <c r="M47" s="3166"/>
      <c r="N47" s="3166"/>
      <c r="O47" s="3166"/>
      <c r="P47" s="3982"/>
      <c r="Q47" s="3226">
        <f t="shared" si="11"/>
        <v>111</v>
      </c>
      <c r="R47" s="3227" t="s">
        <v>14</v>
      </c>
      <c r="S47" s="3228">
        <f t="shared" si="12"/>
        <v>100</v>
      </c>
      <c r="T47" s="3227" t="s">
        <v>14</v>
      </c>
      <c r="U47" s="3228">
        <f t="shared" si="13"/>
        <v>100</v>
      </c>
      <c r="V47" s="3227" t="s">
        <v>14</v>
      </c>
      <c r="W47" s="3228">
        <f t="shared" si="14"/>
        <v>100</v>
      </c>
      <c r="X47" s="3171"/>
      <c r="Y47" s="3984"/>
      <c r="Z47" s="3229">
        <f t="shared" si="15"/>
        <v>111</v>
      </c>
      <c r="AA47" s="3229">
        <f t="shared" si="3"/>
        <v>1</v>
      </c>
      <c r="AB47" s="3229">
        <f t="shared" si="4"/>
        <v>1</v>
      </c>
      <c r="AC47" s="3230">
        <f t="shared" si="5"/>
        <v>1</v>
      </c>
    </row>
    <row r="48" spans="1:29" ht="15">
      <c r="A48" s="3277" t="s">
        <v>1708</v>
      </c>
      <c r="B48" s="3278"/>
      <c r="C48" s="3279" t="s">
        <v>0</v>
      </c>
      <c r="D48" s="3280"/>
      <c r="E48" s="3281">
        <v>52000</v>
      </c>
      <c r="F48" s="3282"/>
      <c r="G48" s="3283">
        <v>55000</v>
      </c>
      <c r="H48" s="3284"/>
      <c r="I48" s="3281">
        <v>50000</v>
      </c>
      <c r="J48" s="3284"/>
      <c r="K48" s="3228"/>
      <c r="L48" s="3285"/>
      <c r="M48" s="3166"/>
      <c r="N48" s="3166"/>
      <c r="O48" s="3166"/>
      <c r="P48" s="3961" t="str">
        <f>A48</f>
        <v>成交单价（元/平方米）</v>
      </c>
      <c r="Q48" s="3985"/>
      <c r="R48" s="3946">
        <f>E48</f>
        <v>52000</v>
      </c>
      <c r="S48" s="3946"/>
      <c r="T48" s="3946">
        <f>G48</f>
        <v>55000</v>
      </c>
      <c r="U48" s="3946"/>
      <c r="V48" s="3946">
        <f>I48</f>
        <v>50000</v>
      </c>
      <c r="W48" s="3946"/>
      <c r="X48" s="3286"/>
      <c r="Y48" s="3287"/>
      <c r="Z48" s="3286"/>
      <c r="AA48" s="3286"/>
      <c r="AB48" s="3286"/>
      <c r="AC48" s="3231"/>
    </row>
    <row r="49" spans="1:29" ht="15.75" thickBot="1">
      <c r="A49" s="3288" t="s">
        <v>1793</v>
      </c>
      <c r="B49" s="3289"/>
      <c r="C49" s="3290" t="e">
        <f>R50</f>
        <v>#DIV/0!</v>
      </c>
      <c r="D49" s="3291" t="s">
        <v>2138</v>
      </c>
      <c r="E49" s="3292" t="e">
        <f>R49</f>
        <v>#DIV/0!</v>
      </c>
      <c r="F49" s="3293"/>
      <c r="G49" s="3290" t="e">
        <f>T49</f>
        <v>#DIV/0!</v>
      </c>
      <c r="H49" s="3293"/>
      <c r="I49" s="3292" t="e">
        <f>V49</f>
        <v>#DIV/0!</v>
      </c>
      <c r="J49" s="3293"/>
      <c r="K49" s="3294">
        <f>F49+H49+J49</f>
        <v>0</v>
      </c>
      <c r="L49" s="3285"/>
      <c r="M49" s="3166"/>
      <c r="N49" s="3166"/>
      <c r="O49" s="3166"/>
      <c r="P49" s="3961" t="str">
        <f>A49</f>
        <v>比较价值（元/平方米）</v>
      </c>
      <c r="Q49" s="3985"/>
      <c r="R49" s="3946" t="e">
        <f>IF(F1="售价",ROUND(PRODUCT(R48,AA7:AA47),0),ROUND(PRODUCT(R48,AA7:AA47),1))</f>
        <v>#DIV/0!</v>
      </c>
      <c r="S49" s="3946"/>
      <c r="T49" s="3946" t="e">
        <f>IF(F1="售价",ROUND(PRODUCT(T48,AB7:AB47),0),ROUND(PRODUCT(T48,AB7:AB47),1))</f>
        <v>#DIV/0!</v>
      </c>
      <c r="U49" s="3946"/>
      <c r="V49" s="3946" t="e">
        <f>IF(F1="售价",ROUND(PRODUCT(V48,AC7:AC47),0),ROUND(PRODUCT(V48,AC7:AC47),1))</f>
        <v>#DIV/0!</v>
      </c>
      <c r="W49" s="3946"/>
      <c r="X49" s="3286"/>
      <c r="Y49" s="3286"/>
      <c r="Z49" s="3286"/>
      <c r="AA49" s="3286"/>
      <c r="AB49" s="3286"/>
      <c r="AC49" s="3231"/>
    </row>
    <row r="50" spans="1:29" ht="15.75" thickBot="1">
      <c r="A50" s="3295" t="s">
        <v>1794</v>
      </c>
      <c r="B50" s="3296"/>
      <c r="C50" s="3173" t="e">
        <f>R50</f>
        <v>#DIV/0!</v>
      </c>
      <c r="D50" s="3173"/>
      <c r="E50" s="3173"/>
      <c r="F50" s="3173"/>
      <c r="G50" s="3173"/>
      <c r="H50" s="3173"/>
      <c r="I50" s="3173"/>
      <c r="J50" s="3173"/>
      <c r="K50" s="3226"/>
      <c r="L50" s="3285"/>
      <c r="M50" s="3166"/>
      <c r="N50" s="3166"/>
      <c r="O50" s="3166"/>
      <c r="P50" s="4056" t="str">
        <f>A50</f>
        <v>估价对象XX用房的比较价值（楼面单价，元/平方米）</v>
      </c>
      <c r="Q50" s="4057"/>
      <c r="R50" s="4058" t="e">
        <f>IF(F1="售价",ROUND(IF(D49="简单平均",AVERAGE(R49:V49),R49*F49+T49*H49+V49*J49),0),ROUND(IF(D49="简单平均",AVERAGE(R49:V49),R49*F49+T49*H49+V49*J49),1))</f>
        <v>#DIV/0!</v>
      </c>
      <c r="S50" s="4058"/>
      <c r="T50" s="4058"/>
      <c r="U50" s="4058"/>
      <c r="V50" s="4058"/>
      <c r="W50" s="4058"/>
      <c r="X50" s="3297"/>
      <c r="Y50" s="3297"/>
      <c r="Z50" s="3297"/>
      <c r="AA50" s="3297"/>
      <c r="AB50" s="3297"/>
      <c r="AC50" s="3298"/>
    </row>
    <row r="51" spans="1:29">
      <c r="A51" s="3299"/>
      <c r="B51" s="3299"/>
      <c r="C51" s="3299"/>
      <c r="D51" s="3299"/>
      <c r="E51" s="3299"/>
      <c r="F51" s="3299"/>
      <c r="G51" s="3299"/>
      <c r="H51" s="3299"/>
      <c r="I51" s="3299"/>
      <c r="J51" s="3299"/>
      <c r="K51" s="3299"/>
      <c r="L51" s="3299"/>
      <c r="M51" s="3299"/>
      <c r="N51" s="3299"/>
      <c r="O51" s="3299"/>
      <c r="P51" s="3300"/>
      <c r="Q51" s="3299"/>
      <c r="R51" s="3299"/>
      <c r="S51" s="3299"/>
      <c r="T51" s="3299"/>
      <c r="U51" s="3299"/>
      <c r="V51" s="3299"/>
      <c r="W51" s="3299"/>
      <c r="X51" s="3299"/>
      <c r="Y51" s="3299"/>
      <c r="Z51" s="3299"/>
      <c r="AA51" s="3299"/>
      <c r="AB51" s="3299"/>
      <c r="AC51" s="3299"/>
    </row>
    <row r="52" spans="1:29">
      <c r="A52" s="3299"/>
      <c r="B52" s="3299"/>
      <c r="C52" s="3299"/>
      <c r="D52" s="3299"/>
      <c r="E52" s="3299"/>
      <c r="F52" s="3299"/>
      <c r="G52" s="3299"/>
      <c r="H52" s="3299"/>
      <c r="I52" s="3299"/>
      <c r="J52" s="3299"/>
      <c r="K52" s="3299"/>
      <c r="L52" s="3299"/>
      <c r="M52" s="3299"/>
      <c r="N52" s="3299"/>
      <c r="O52" s="3299"/>
      <c r="P52" s="3300"/>
      <c r="Q52" s="3299"/>
      <c r="R52" s="3299"/>
      <c r="S52" s="3299"/>
      <c r="T52" s="3299"/>
      <c r="U52" s="3299"/>
      <c r="V52" s="3299"/>
      <c r="W52" s="3299"/>
      <c r="X52" s="3299"/>
      <c r="Y52" s="3299"/>
      <c r="Z52" s="3299"/>
      <c r="AA52" s="3299"/>
      <c r="AB52" s="3299"/>
      <c r="AC52" s="3299"/>
    </row>
    <row r="53" spans="1:29" ht="13.5" customHeight="1">
      <c r="A53" s="3299"/>
      <c r="B53" s="3299"/>
      <c r="C53" s="3301" t="s">
        <v>1795</v>
      </c>
      <c r="D53" s="3302"/>
      <c r="E53" s="3227" t="e">
        <f>IF(E48&lt;E49,E49/E48-1,E48/E49-1)</f>
        <v>#DIV/0!</v>
      </c>
      <c r="F53" s="3303" t="e">
        <f>IF(OR(E53&gt;=0.3,E53&lt;=-0.3),"超过30%","")</f>
        <v>#DIV/0!</v>
      </c>
      <c r="G53" s="3227" t="e">
        <f>IF(G48&lt;G49,G49/G48-1,G48/G49-1)</f>
        <v>#DIV/0!</v>
      </c>
      <c r="H53" s="3303" t="e">
        <f>IF(OR(G53&gt;=0.3,G53&lt;=-0.3),"超过30%","")</f>
        <v>#DIV/0!</v>
      </c>
      <c r="I53" s="3227" t="e">
        <f>IF(I48&lt;I49,I49/I48-1,I48/I49-1)</f>
        <v>#DIV/0!</v>
      </c>
      <c r="J53" s="3303" t="e">
        <f>IF(OR(I53&gt;=0.3,I53&lt;=-0.3),"超过30%","")</f>
        <v>#DIV/0!</v>
      </c>
      <c r="K53" s="3299"/>
      <c r="L53" s="3299"/>
      <c r="M53" s="3299"/>
      <c r="N53" s="3299"/>
      <c r="O53" s="3299"/>
      <c r="P53" s="3300"/>
      <c r="Q53" s="3299"/>
      <c r="R53" s="3299"/>
      <c r="S53" s="3299"/>
      <c r="T53" s="3299"/>
      <c r="U53" s="3299"/>
      <c r="V53" s="3299"/>
      <c r="W53" s="3299"/>
      <c r="X53" s="3299"/>
      <c r="Y53" s="3299"/>
      <c r="Z53" s="3299"/>
      <c r="AA53" s="3299"/>
      <c r="AB53" s="3299"/>
      <c r="AC53" s="3299"/>
    </row>
    <row r="54" spans="1:29" ht="13.5" customHeight="1">
      <c r="A54" s="3299"/>
      <c r="B54" s="3299"/>
      <c r="C54" s="3301" t="s">
        <v>1796</v>
      </c>
      <c r="D54" s="3304"/>
      <c r="E54" s="3227" t="e">
        <f>IF(E49&lt;G49,G49/E49-1,E49/G49-1)</f>
        <v>#DIV/0!</v>
      </c>
      <c r="F54" s="3303" t="e">
        <f>IF(OR(E54&gt;=0.2,E54&lt;=-0.2),"超过20%","")</f>
        <v>#DIV/0!</v>
      </c>
      <c r="G54" s="3227" t="e">
        <f>IF(G49&lt;I49,I49/G49-1,G49/I49-1)</f>
        <v>#DIV/0!</v>
      </c>
      <c r="H54" s="3303" t="e">
        <f>IF(OR(G54&gt;=0.2,G54&lt;=-0.2),"超过20%","")</f>
        <v>#DIV/0!</v>
      </c>
      <c r="I54" s="3227" t="e">
        <f>IF(I49&lt;E49,E49/I49-1,I49/E49-1)</f>
        <v>#DIV/0!</v>
      </c>
      <c r="J54" s="3303" t="e">
        <f>IF(OR(I54&gt;=0.2,I54&lt;=-0.2),"超过20%","")</f>
        <v>#DIV/0!</v>
      </c>
      <c r="K54" s="3299"/>
      <c r="L54" s="3299"/>
      <c r="M54" s="3299"/>
      <c r="N54" s="3299"/>
      <c r="O54" s="3299"/>
      <c r="P54" s="3300"/>
      <c r="Q54" s="3299"/>
      <c r="R54" s="3299"/>
      <c r="S54" s="3299"/>
      <c r="T54" s="3299"/>
      <c r="U54" s="3299"/>
      <c r="V54" s="3299"/>
      <c r="W54" s="3299"/>
      <c r="X54" s="3299"/>
      <c r="Y54" s="3299"/>
      <c r="Z54" s="3299"/>
      <c r="AA54" s="3299"/>
      <c r="AB54" s="3299"/>
      <c r="AC54" s="3299"/>
    </row>
    <row r="55" spans="1:29" s="3307" customFormat="1" ht="13.5" customHeight="1">
      <c r="A55" s="3305"/>
      <c r="B55" s="3305"/>
      <c r="C55" s="3301" t="s">
        <v>1797</v>
      </c>
      <c r="D55" s="3304"/>
      <c r="E55" s="3227">
        <f>IF(E48&lt;G48,G48/E48-1,E48/G48-1)</f>
        <v>5.7692307692307709E-2</v>
      </c>
      <c r="F55" s="3303" t="str">
        <f>IF(OR(E55&gt;=0.3,E55&lt;=-0.3),"超过30%","")</f>
        <v/>
      </c>
      <c r="G55" s="3227">
        <f>IF(G48&lt;I48,I48/G48-1,G48/I48-1)</f>
        <v>0.10000000000000009</v>
      </c>
      <c r="H55" s="3303" t="str">
        <f>IF(OR(G55&gt;=0.3,G55&lt;=-0.3),"超过30%","")</f>
        <v/>
      </c>
      <c r="I55" s="3227">
        <f>IF(I48&lt;E48,E48/I48-1,I48/E48-1)</f>
        <v>4.0000000000000036E-2</v>
      </c>
      <c r="J55" s="3303" t="str">
        <f>IF(OR(I55&gt;=0.3,I55&lt;=-0.3),"超过30%","")</f>
        <v/>
      </c>
      <c r="K55" s="3305"/>
      <c r="L55" s="3305"/>
      <c r="M55" s="3305"/>
      <c r="N55" s="3305"/>
      <c r="O55" s="3305"/>
      <c r="P55" s="3306"/>
      <c r="Q55" s="3305"/>
      <c r="R55" s="3305"/>
      <c r="S55" s="3305"/>
      <c r="T55" s="3305"/>
      <c r="U55" s="3305"/>
      <c r="V55" s="3305"/>
      <c r="W55" s="3305"/>
      <c r="X55" s="3305"/>
      <c r="Y55" s="3305"/>
      <c r="Z55" s="3305"/>
      <c r="AA55" s="3305"/>
      <c r="AB55" s="3305"/>
      <c r="AC55" s="3305"/>
    </row>
    <row r="56" spans="1:29" s="3307" customFormat="1">
      <c r="A56" s="3305"/>
      <c r="B56" s="3299"/>
      <c r="C56" s="3299"/>
      <c r="D56" s="3305"/>
      <c r="E56" s="3305"/>
      <c r="F56" s="3305"/>
      <c r="G56" s="3305"/>
      <c r="H56" s="3305"/>
      <c r="I56" s="3305"/>
      <c r="J56" s="3305"/>
      <c r="K56" s="3305"/>
      <c r="L56" s="3305"/>
      <c r="M56" s="3305"/>
      <c r="N56" s="3305"/>
      <c r="O56" s="3305"/>
      <c r="P56" s="3306"/>
      <c r="Q56" s="3305"/>
      <c r="R56" s="3305"/>
      <c r="S56" s="3305"/>
      <c r="T56" s="3305"/>
      <c r="U56" s="3305"/>
      <c r="V56" s="3305"/>
      <c r="W56" s="3305"/>
      <c r="X56" s="3305"/>
      <c r="Y56" s="3305"/>
      <c r="Z56" s="3305"/>
      <c r="AA56" s="3305"/>
      <c r="AB56" s="3305"/>
      <c r="AC56" s="3305"/>
    </row>
    <row r="57" spans="1:29">
      <c r="A57" s="3299"/>
      <c r="B57" s="3299"/>
      <c r="C57" s="3299"/>
      <c r="D57" s="3299"/>
      <c r="E57" s="3299"/>
      <c r="F57" s="3299"/>
      <c r="G57" s="3299"/>
      <c r="H57" s="3299"/>
      <c r="I57" s="3299"/>
      <c r="J57" s="3299"/>
      <c r="K57" s="3299"/>
      <c r="L57" s="3299"/>
      <c r="M57" s="3299"/>
      <c r="N57" s="3299"/>
      <c r="O57" s="3299"/>
      <c r="P57" s="3300"/>
      <c r="Q57" s="3299"/>
      <c r="R57" s="3299"/>
      <c r="S57" s="3299"/>
      <c r="T57" s="3299"/>
      <c r="U57" s="3299"/>
      <c r="V57" s="3299"/>
      <c r="W57" s="3299"/>
      <c r="X57" s="3299"/>
      <c r="Y57" s="3299"/>
      <c r="Z57" s="3299"/>
      <c r="AA57" s="3299"/>
      <c r="AB57" s="3299"/>
      <c r="AC57" s="3299"/>
    </row>
    <row r="58" spans="1:29" ht="21.75" thickBot="1">
      <c r="A58" s="3308" t="s">
        <v>1798</v>
      </c>
      <c r="B58" s="3309"/>
      <c r="C58" s="3310"/>
      <c r="D58" s="3310"/>
      <c r="E58" s="3310"/>
      <c r="F58" s="3311"/>
      <c r="G58" s="3311"/>
      <c r="H58" s="3310"/>
      <c r="I58" s="3310"/>
      <c r="J58" s="3310"/>
      <c r="K58" s="3311"/>
      <c r="L58" s="3312"/>
      <c r="M58" s="3312"/>
      <c r="N58" s="3313"/>
      <c r="O58" s="3313"/>
      <c r="P58" s="3314"/>
      <c r="Q58" s="3178"/>
      <c r="R58" s="3299"/>
      <c r="S58" s="3299"/>
      <c r="T58" s="3299"/>
      <c r="U58" s="3299"/>
      <c r="V58" s="3299"/>
      <c r="W58" s="3299"/>
      <c r="X58" s="3299"/>
      <c r="Y58" s="3299"/>
      <c r="Z58" s="3299"/>
      <c r="AA58" s="3299"/>
      <c r="AB58" s="3299"/>
      <c r="AC58" s="3299"/>
    </row>
    <row r="59" spans="1:29" s="3185" customFormat="1" ht="15">
      <c r="A59" s="3315" t="s">
        <v>1679</v>
      </c>
      <c r="B59" s="3316"/>
      <c r="C59" s="3317" t="str">
        <f>YEAR(C7)&amp;"-"&amp;MONTH(C7)</f>
        <v>2023-8</v>
      </c>
      <c r="D59" s="3318">
        <f>EDATE(C59,-1)</f>
        <v>45108</v>
      </c>
      <c r="E59" s="3318">
        <f>EDATE(D59,-1)</f>
        <v>45078</v>
      </c>
      <c r="F59" s="3318">
        <f t="shared" ref="F59:O59" si="16">EDATE(E59,-1)</f>
        <v>45047</v>
      </c>
      <c r="G59" s="3318">
        <f t="shared" si="16"/>
        <v>45017</v>
      </c>
      <c r="H59" s="3318">
        <f t="shared" si="16"/>
        <v>44986</v>
      </c>
      <c r="I59" s="3318">
        <f t="shared" si="16"/>
        <v>44958</v>
      </c>
      <c r="J59" s="3318">
        <f t="shared" si="16"/>
        <v>44927</v>
      </c>
      <c r="K59" s="3318">
        <f t="shared" si="16"/>
        <v>44896</v>
      </c>
      <c r="L59" s="3318">
        <f t="shared" si="16"/>
        <v>44866</v>
      </c>
      <c r="M59" s="3318">
        <f t="shared" si="16"/>
        <v>44835</v>
      </c>
      <c r="N59" s="3318">
        <f t="shared" si="16"/>
        <v>44805</v>
      </c>
      <c r="O59" s="3318">
        <f t="shared" si="16"/>
        <v>44774</v>
      </c>
      <c r="P59" s="3319"/>
      <c r="Q59" s="3320"/>
      <c r="R59" s="3320"/>
      <c r="S59" s="3320"/>
      <c r="T59" s="3320"/>
      <c r="U59" s="3320"/>
      <c r="V59" s="3320"/>
      <c r="W59" s="3320"/>
      <c r="X59" s="3320"/>
      <c r="Y59" s="3320"/>
      <c r="Z59" s="3320"/>
      <c r="AA59" s="3320"/>
      <c r="AB59" s="3320"/>
      <c r="AC59" s="3320"/>
    </row>
    <row r="60" spans="1:29" s="3185" customFormat="1" ht="15">
      <c r="A60" s="3321"/>
      <c r="B60" s="3322"/>
      <c r="C60" s="3323">
        <v>100</v>
      </c>
      <c r="D60" s="3324"/>
      <c r="E60" s="3324"/>
      <c r="F60" s="3324"/>
      <c r="G60" s="3324"/>
      <c r="H60" s="3324"/>
      <c r="I60" s="3324"/>
      <c r="J60" s="3324"/>
      <c r="K60" s="3324"/>
      <c r="L60" s="3324"/>
      <c r="M60" s="3206"/>
      <c r="N60" s="3324"/>
      <c r="O60" s="3206"/>
      <c r="P60" s="3325"/>
      <c r="Q60" s="3320"/>
      <c r="R60" s="3320"/>
      <c r="S60" s="3320"/>
      <c r="T60" s="3320"/>
      <c r="U60" s="3320"/>
      <c r="V60" s="3320"/>
      <c r="W60" s="3320"/>
      <c r="X60" s="3320"/>
      <c r="Y60" s="3320"/>
      <c r="Z60" s="3320"/>
      <c r="AA60" s="3320"/>
      <c r="AB60" s="3320"/>
      <c r="AC60" s="3320"/>
    </row>
    <row r="61" spans="1:29" s="3185" customFormat="1" ht="15.75" thickBot="1">
      <c r="A61" s="3326" t="s">
        <v>1716</v>
      </c>
      <c r="B61" s="3327"/>
      <c r="C61" s="3328"/>
      <c r="D61" s="3329"/>
      <c r="E61" s="3329"/>
      <c r="F61" s="3329"/>
      <c r="G61" s="3329"/>
      <c r="H61" s="3329"/>
      <c r="I61" s="3329"/>
      <c r="J61" s="3329"/>
      <c r="K61" s="3329"/>
      <c r="L61" s="3329"/>
      <c r="M61" s="3330"/>
      <c r="N61" s="3329"/>
      <c r="O61" s="3330"/>
      <c r="P61" s="3325"/>
      <c r="Q61" s="3178"/>
      <c r="R61" s="3320"/>
      <c r="S61" s="3320"/>
      <c r="T61" s="3320"/>
      <c r="U61" s="3320"/>
      <c r="V61" s="3320"/>
      <c r="W61" s="3320"/>
      <c r="X61" s="3320"/>
      <c r="Y61" s="3320"/>
      <c r="Z61" s="3320"/>
      <c r="AA61" s="3320"/>
      <c r="AB61" s="3320"/>
      <c r="AC61" s="3320"/>
    </row>
    <row r="62" spans="1:29" s="3185" customFormat="1" ht="15">
      <c r="A62" s="3331" t="s">
        <v>1681</v>
      </c>
      <c r="B62" s="3322"/>
      <c r="C62" s="3332" t="s">
        <v>1776</v>
      </c>
      <c r="D62" s="3333"/>
      <c r="E62" s="3333"/>
      <c r="F62" s="3333"/>
      <c r="G62" s="3333"/>
      <c r="H62" s="3333"/>
      <c r="I62" s="3333"/>
      <c r="J62" s="3333"/>
      <c r="K62" s="3333"/>
      <c r="L62" s="3334"/>
      <c r="M62" s="3335"/>
      <c r="N62" s="3178"/>
      <c r="O62" s="3178"/>
      <c r="P62" s="3336"/>
      <c r="Q62" s="3178"/>
      <c r="R62" s="3320"/>
      <c r="S62" s="3320"/>
      <c r="T62" s="3320"/>
      <c r="U62" s="3320"/>
      <c r="V62" s="3320"/>
      <c r="W62" s="3320"/>
      <c r="X62" s="3320"/>
      <c r="Y62" s="3320"/>
      <c r="Z62" s="3320"/>
      <c r="AA62" s="3320"/>
      <c r="AB62" s="3320"/>
      <c r="AC62" s="3320"/>
    </row>
    <row r="63" spans="1:29" s="3185" customFormat="1" ht="15.75" thickBot="1">
      <c r="A63" s="3331"/>
      <c r="B63" s="3322"/>
      <c r="C63" s="3337">
        <v>100</v>
      </c>
      <c r="D63" s="3324"/>
      <c r="E63" s="3324"/>
      <c r="F63" s="3324"/>
      <c r="G63" s="3324"/>
      <c r="H63" s="3324"/>
      <c r="I63" s="3324"/>
      <c r="J63" s="3324"/>
      <c r="K63" s="3324"/>
      <c r="L63" s="3324"/>
      <c r="M63" s="3338"/>
      <c r="N63" s="3178"/>
      <c r="O63" s="3178"/>
      <c r="P63" s="3325"/>
      <c r="Q63" s="3178"/>
      <c r="R63" s="3320"/>
      <c r="S63" s="3320"/>
      <c r="T63" s="3320"/>
      <c r="U63" s="3320"/>
      <c r="V63" s="3320"/>
      <c r="W63" s="3320"/>
      <c r="X63" s="3320"/>
      <c r="Y63" s="3320"/>
      <c r="Z63" s="3320"/>
      <c r="AA63" s="3320"/>
      <c r="AB63" s="3320"/>
      <c r="AC63" s="3320"/>
    </row>
    <row r="64" spans="1:29">
      <c r="A64" s="3219" t="s">
        <v>1719</v>
      </c>
      <c r="B64" s="3339" t="s">
        <v>1685</v>
      </c>
      <c r="C64" s="3340" t="str">
        <f>C9</f>
        <v xml:space="preserve">商业 </v>
      </c>
      <c r="D64" s="3341"/>
      <c r="E64" s="3341"/>
      <c r="F64" s="3341"/>
      <c r="G64" s="3341"/>
      <c r="H64" s="3341"/>
      <c r="I64" s="3341"/>
      <c r="J64" s="3341"/>
      <c r="K64" s="3342"/>
      <c r="L64" s="3343"/>
      <c r="M64" s="3344"/>
      <c r="N64" s="3213"/>
      <c r="O64" s="3213"/>
      <c r="P64" s="3325"/>
      <c r="Q64" s="3178"/>
      <c r="R64" s="3299"/>
      <c r="S64" s="3299"/>
      <c r="T64" s="3299"/>
      <c r="U64" s="3299"/>
      <c r="V64" s="3299"/>
      <c r="W64" s="3299"/>
      <c r="X64" s="3299"/>
      <c r="Y64" s="3299"/>
      <c r="Z64" s="3299"/>
      <c r="AA64" s="3299"/>
      <c r="AB64" s="3299"/>
      <c r="AC64" s="3299"/>
    </row>
    <row r="65" spans="1:29" ht="15.75" thickBot="1">
      <c r="A65" s="3202"/>
      <c r="B65" s="3345"/>
      <c r="C65" s="3346">
        <v>100</v>
      </c>
      <c r="D65" s="3346"/>
      <c r="E65" s="3346"/>
      <c r="F65" s="3346"/>
      <c r="G65" s="3346"/>
      <c r="H65" s="3346"/>
      <c r="I65" s="3346"/>
      <c r="J65" s="3346"/>
      <c r="K65" s="3346"/>
      <c r="L65" s="3346"/>
      <c r="M65" s="3347"/>
      <c r="N65" s="3348"/>
      <c r="O65" s="3348"/>
      <c r="P65" s="3325"/>
      <c r="Q65" s="3178"/>
      <c r="R65" s="3299"/>
      <c r="S65" s="3299"/>
      <c r="T65" s="3299"/>
      <c r="U65" s="3299"/>
      <c r="V65" s="3299"/>
      <c r="W65" s="3299"/>
      <c r="X65" s="3299"/>
      <c r="Y65" s="3299"/>
      <c r="Z65" s="3299"/>
      <c r="AA65" s="3299"/>
      <c r="AB65" s="3299"/>
      <c r="AC65" s="3299"/>
    </row>
    <row r="66" spans="1:29" ht="27.75" thickTop="1">
      <c r="A66" s="3202"/>
      <c r="B66" s="3349" t="s">
        <v>1688</v>
      </c>
      <c r="C66" s="3350"/>
      <c r="D66" s="3350"/>
      <c r="E66" s="3350"/>
      <c r="F66" s="3350"/>
      <c r="G66" s="3350"/>
      <c r="H66" s="3350"/>
      <c r="I66" s="3350"/>
      <c r="J66" s="3350"/>
      <c r="K66" s="3351"/>
      <c r="L66" s="3352"/>
      <c r="M66" s="3353"/>
      <c r="N66" s="3213"/>
      <c r="O66" s="3213"/>
      <c r="P66" s="3325"/>
      <c r="Q66" s="3178"/>
      <c r="R66" s="3299"/>
      <c r="S66" s="3299"/>
      <c r="T66" s="3299"/>
      <c r="U66" s="3299"/>
      <c r="V66" s="3299"/>
      <c r="W66" s="3299"/>
      <c r="X66" s="3299"/>
      <c r="Y66" s="3299"/>
      <c r="Z66" s="3299"/>
      <c r="AA66" s="3299"/>
      <c r="AB66" s="3299"/>
      <c r="AC66" s="3299"/>
    </row>
    <row r="67" spans="1:29" ht="15.75" thickBot="1">
      <c r="A67" s="3202"/>
      <c r="B67" s="3354"/>
      <c r="C67" s="3346"/>
      <c r="D67" s="3346"/>
      <c r="E67" s="3346"/>
      <c r="F67" s="3346"/>
      <c r="G67" s="3346"/>
      <c r="H67" s="3346"/>
      <c r="I67" s="3346"/>
      <c r="J67" s="3346"/>
      <c r="K67" s="3346"/>
      <c r="L67" s="3346"/>
      <c r="M67" s="3347"/>
      <c r="N67" s="3348"/>
      <c r="O67" s="3348"/>
      <c r="P67" s="3325"/>
      <c r="Q67" s="3178"/>
      <c r="R67" s="3299"/>
      <c r="S67" s="3299"/>
      <c r="T67" s="3299"/>
      <c r="U67" s="3299"/>
      <c r="V67" s="3299"/>
      <c r="W67" s="3299"/>
      <c r="X67" s="3299"/>
      <c r="Y67" s="3299"/>
      <c r="Z67" s="3299"/>
      <c r="AA67" s="3299"/>
      <c r="AB67" s="3299"/>
      <c r="AC67" s="3299"/>
    </row>
    <row r="68" spans="1:29" ht="15.75" thickTop="1">
      <c r="A68" s="3202"/>
      <c r="B68" s="3355" t="s">
        <v>1689</v>
      </c>
      <c r="C68" s="3356" t="str">
        <f>C69&amp;"（含）"&amp;"-"&amp;D69</f>
        <v>0（含）-3</v>
      </c>
      <c r="D68" s="3356" t="str">
        <f t="shared" ref="D68:L68" si="17">D69&amp;"（含）"&amp;"-"&amp;E69</f>
        <v>3（含）-</v>
      </c>
      <c r="E68" s="3356" t="str">
        <f t="shared" si="17"/>
        <v>（含）-</v>
      </c>
      <c r="F68" s="3356" t="str">
        <f t="shared" si="17"/>
        <v>（含）-</v>
      </c>
      <c r="G68" s="3356" t="str">
        <f t="shared" si="17"/>
        <v>（含）-</v>
      </c>
      <c r="H68" s="3356" t="str">
        <f t="shared" si="17"/>
        <v>（含）-</v>
      </c>
      <c r="I68" s="3356" t="str">
        <f t="shared" si="17"/>
        <v>（含）-</v>
      </c>
      <c r="J68" s="3356" t="str">
        <f t="shared" si="17"/>
        <v>（含）-</v>
      </c>
      <c r="K68" s="3356" t="str">
        <f t="shared" si="17"/>
        <v>（含）-</v>
      </c>
      <c r="L68" s="3356" t="str">
        <f t="shared" si="17"/>
        <v>（含）-</v>
      </c>
      <c r="M68" s="3233" t="str">
        <f>M69&amp;"（含）"&amp;"-"&amp;P69</f>
        <v>（含）-</v>
      </c>
      <c r="N68" s="3348"/>
      <c r="O68" s="3348"/>
      <c r="P68" s="3325"/>
      <c r="Q68" s="3178"/>
      <c r="R68" s="3299"/>
      <c r="S68" s="3299"/>
      <c r="T68" s="3299"/>
      <c r="U68" s="3299"/>
      <c r="V68" s="3299"/>
      <c r="W68" s="3299"/>
      <c r="X68" s="3299"/>
      <c r="Y68" s="3299"/>
      <c r="Z68" s="3299"/>
      <c r="AA68" s="3299"/>
      <c r="AB68" s="3299"/>
      <c r="AC68" s="3299"/>
    </row>
    <row r="69" spans="1:29" ht="15">
      <c r="A69" s="3202"/>
      <c r="B69" s="3357"/>
      <c r="C69" s="3358">
        <v>0</v>
      </c>
      <c r="D69" s="3358">
        <v>3</v>
      </c>
      <c r="E69" s="3358"/>
      <c r="F69" s="3358"/>
      <c r="G69" s="3358"/>
      <c r="H69" s="3358"/>
      <c r="I69" s="3358"/>
      <c r="J69" s="3358"/>
      <c r="K69" s="3359"/>
      <c r="L69" s="3360"/>
      <c r="M69" s="3361"/>
      <c r="N69" s="3213"/>
      <c r="O69" s="3213"/>
      <c r="P69" s="3325"/>
      <c r="Q69" s="3178"/>
      <c r="R69" s="3299"/>
      <c r="S69" s="3299"/>
      <c r="T69" s="3299"/>
      <c r="U69" s="3299"/>
      <c r="V69" s="3299"/>
      <c r="W69" s="3299"/>
      <c r="X69" s="3299"/>
      <c r="Y69" s="3299"/>
      <c r="Z69" s="3299"/>
      <c r="AA69" s="3299"/>
      <c r="AB69" s="3299"/>
      <c r="AC69" s="3299"/>
    </row>
    <row r="70" spans="1:29" ht="15.75" thickBot="1">
      <c r="A70" s="3202"/>
      <c r="B70" s="3345"/>
      <c r="C70" s="3362">
        <v>100</v>
      </c>
      <c r="D70" s="3362">
        <f t="shared" ref="D70:M70" si="18">C70-$K11</f>
        <v>100</v>
      </c>
      <c r="E70" s="3362">
        <f t="shared" si="18"/>
        <v>100</v>
      </c>
      <c r="F70" s="3362">
        <f t="shared" si="18"/>
        <v>100</v>
      </c>
      <c r="G70" s="3362">
        <f t="shared" si="18"/>
        <v>100</v>
      </c>
      <c r="H70" s="3362">
        <f t="shared" si="18"/>
        <v>100</v>
      </c>
      <c r="I70" s="3362">
        <f t="shared" si="18"/>
        <v>100</v>
      </c>
      <c r="J70" s="3362">
        <f t="shared" si="18"/>
        <v>100</v>
      </c>
      <c r="K70" s="3362">
        <f t="shared" si="18"/>
        <v>100</v>
      </c>
      <c r="L70" s="3362">
        <f t="shared" si="18"/>
        <v>100</v>
      </c>
      <c r="M70" s="3363">
        <f t="shared" si="18"/>
        <v>100</v>
      </c>
      <c r="N70" s="3348"/>
      <c r="O70" s="3348"/>
      <c r="P70" s="3325"/>
      <c r="Q70" s="3178"/>
      <c r="R70" s="3299"/>
      <c r="S70" s="3299"/>
      <c r="T70" s="3299"/>
      <c r="U70" s="3299"/>
      <c r="V70" s="3299"/>
      <c r="W70" s="3299"/>
      <c r="X70" s="3299"/>
      <c r="Y70" s="3299"/>
      <c r="Z70" s="3299"/>
      <c r="AA70" s="3299"/>
      <c r="AB70" s="3299"/>
      <c r="AC70" s="3299"/>
    </row>
    <row r="71" spans="1:29" s="3270" customFormat="1" ht="15.75" thickTop="1">
      <c r="A71" s="3364"/>
      <c r="B71" s="3349">
        <f>B12</f>
        <v>111</v>
      </c>
      <c r="C71" s="3365"/>
      <c r="D71" s="3365"/>
      <c r="E71" s="3365"/>
      <c r="F71" s="3365"/>
      <c r="G71" s="3365"/>
      <c r="H71" s="3366"/>
      <c r="I71" s="3366"/>
      <c r="J71" s="3366"/>
      <c r="K71" s="3366"/>
      <c r="L71" s="3367"/>
      <c r="M71" s="3368"/>
      <c r="N71" s="3204"/>
      <c r="O71" s="3204"/>
      <c r="P71" s="3369"/>
      <c r="Q71" s="3204"/>
      <c r="R71" s="3370"/>
      <c r="S71" s="3370"/>
      <c r="T71" s="3370"/>
      <c r="U71" s="3370"/>
      <c r="V71" s="3370"/>
      <c r="W71" s="3370"/>
      <c r="X71" s="3370"/>
      <c r="Y71" s="3370"/>
      <c r="Z71" s="3370"/>
      <c r="AA71" s="3370"/>
      <c r="AB71" s="3370"/>
      <c r="AC71" s="3370"/>
    </row>
    <row r="72" spans="1:29" s="3270" customFormat="1" ht="15.75" thickBot="1">
      <c r="A72" s="3364"/>
      <c r="B72" s="3354"/>
      <c r="C72" s="3371"/>
      <c r="D72" s="3346"/>
      <c r="E72" s="3346"/>
      <c r="F72" s="3346"/>
      <c r="G72" s="3346"/>
      <c r="H72" s="3346"/>
      <c r="I72" s="3346"/>
      <c r="J72" s="3346"/>
      <c r="K72" s="3346"/>
      <c r="L72" s="3346"/>
      <c r="M72" s="3347"/>
      <c r="N72" s="3348"/>
      <c r="O72" s="3348"/>
      <c r="P72" s="3369"/>
      <c r="Q72" s="3204"/>
      <c r="R72" s="3370"/>
      <c r="S72" s="3370"/>
      <c r="T72" s="3370"/>
      <c r="U72" s="3370"/>
      <c r="V72" s="3370"/>
      <c r="W72" s="3370"/>
      <c r="X72" s="3370"/>
      <c r="Y72" s="3370"/>
      <c r="Z72" s="3370"/>
      <c r="AA72" s="3370"/>
      <c r="AB72" s="3370"/>
      <c r="AC72" s="3370"/>
    </row>
    <row r="73" spans="1:29" s="3270" customFormat="1" ht="15.75" thickTop="1">
      <c r="A73" s="3364"/>
      <c r="B73" s="3349">
        <f>B13</f>
        <v>111</v>
      </c>
      <c r="C73" s="3365"/>
      <c r="D73" s="3365"/>
      <c r="E73" s="3365"/>
      <c r="F73" s="3365"/>
      <c r="G73" s="3365"/>
      <c r="H73" s="3366"/>
      <c r="I73" s="3366"/>
      <c r="J73" s="3366"/>
      <c r="K73" s="3366"/>
      <c r="L73" s="3367"/>
      <c r="M73" s="3368"/>
      <c r="N73" s="3204"/>
      <c r="O73" s="3204"/>
      <c r="P73" s="3372"/>
      <c r="Q73" s="3264"/>
      <c r="R73" s="3370"/>
      <c r="S73" s="3370"/>
      <c r="T73" s="3370"/>
      <c r="U73" s="3370"/>
      <c r="V73" s="3370"/>
      <c r="W73" s="3370"/>
      <c r="X73" s="3370"/>
      <c r="Y73" s="3370"/>
      <c r="Z73" s="3370"/>
      <c r="AA73" s="3370"/>
      <c r="AB73" s="3370"/>
      <c r="AC73" s="3370"/>
    </row>
    <row r="74" spans="1:29" s="3270" customFormat="1" ht="15.75" thickBot="1">
      <c r="A74" s="3364"/>
      <c r="B74" s="3354"/>
      <c r="C74" s="3371"/>
      <c r="D74" s="3371"/>
      <c r="E74" s="3371"/>
      <c r="F74" s="3371"/>
      <c r="G74" s="3371"/>
      <c r="H74" s="3373"/>
      <c r="I74" s="3373"/>
      <c r="J74" s="3373"/>
      <c r="K74" s="3373"/>
      <c r="L74" s="3373"/>
      <c r="M74" s="3374"/>
      <c r="N74" s="3204"/>
      <c r="O74" s="3204"/>
      <c r="P74" s="3369"/>
      <c r="Q74" s="3204"/>
      <c r="R74" s="3370"/>
      <c r="S74" s="3370"/>
      <c r="T74" s="3370"/>
      <c r="U74" s="3370"/>
      <c r="V74" s="3370"/>
      <c r="W74" s="3370"/>
      <c r="X74" s="3370"/>
      <c r="Y74" s="3370"/>
      <c r="Z74" s="3370"/>
      <c r="AA74" s="3370"/>
      <c r="AB74" s="3370"/>
      <c r="AC74" s="3370"/>
    </row>
    <row r="75" spans="1:29" s="3270" customFormat="1" ht="15.75" thickTop="1">
      <c r="A75" s="3364"/>
      <c r="B75" s="3355">
        <f>B14</f>
        <v>111</v>
      </c>
      <c r="C75" s="3333"/>
      <c r="D75" s="3333"/>
      <c r="E75" s="3333"/>
      <c r="F75" s="3333"/>
      <c r="G75" s="3333"/>
      <c r="H75" s="3375"/>
      <c r="I75" s="3375"/>
      <c r="J75" s="3375"/>
      <c r="K75" s="3375"/>
      <c r="L75" s="3376"/>
      <c r="M75" s="3377"/>
      <c r="N75" s="3204"/>
      <c r="O75" s="3204"/>
      <c r="P75" s="3378"/>
      <c r="Q75" s="3204"/>
      <c r="R75" s="3370"/>
      <c r="S75" s="3370"/>
      <c r="T75" s="3370"/>
      <c r="U75" s="3370"/>
      <c r="V75" s="3370"/>
      <c r="W75" s="3370"/>
      <c r="X75" s="3370"/>
      <c r="Y75" s="3370"/>
      <c r="Z75" s="3370"/>
      <c r="AA75" s="3370"/>
      <c r="AB75" s="3370"/>
      <c r="AC75" s="3370"/>
    </row>
    <row r="76" spans="1:29" s="3270" customFormat="1" ht="15.75" thickBot="1">
      <c r="A76" s="3379"/>
      <c r="B76" s="3380"/>
      <c r="C76" s="3381"/>
      <c r="D76" s="3381"/>
      <c r="E76" s="3381"/>
      <c r="F76" s="3381"/>
      <c r="G76" s="3381"/>
      <c r="H76" s="3382"/>
      <c r="I76" s="3382"/>
      <c r="J76" s="3382"/>
      <c r="K76" s="3382"/>
      <c r="L76" s="3382"/>
      <c r="M76" s="3383"/>
      <c r="N76" s="3204"/>
      <c r="O76" s="3204"/>
      <c r="P76" s="3369"/>
      <c r="Q76" s="3204"/>
      <c r="R76" s="3370"/>
      <c r="S76" s="3370"/>
      <c r="T76" s="3370"/>
      <c r="U76" s="3370"/>
      <c r="V76" s="3370"/>
      <c r="W76" s="3370"/>
      <c r="X76" s="3370"/>
      <c r="Y76" s="3370"/>
      <c r="Z76" s="3370"/>
      <c r="AA76" s="3370"/>
      <c r="AB76" s="3370"/>
      <c r="AC76" s="3370"/>
    </row>
    <row r="77" spans="1:29">
      <c r="A77" s="3219" t="s">
        <v>1690</v>
      </c>
      <c r="B77" s="3339" t="s">
        <v>1821</v>
      </c>
      <c r="C77" s="3318" t="s">
        <v>1721</v>
      </c>
      <c r="D77" s="3318" t="s">
        <v>1722</v>
      </c>
      <c r="E77" s="3318" t="s">
        <v>1723</v>
      </c>
      <c r="F77" s="3318" t="s">
        <v>1724</v>
      </c>
      <c r="G77" s="3318" t="s">
        <v>1725</v>
      </c>
      <c r="H77" s="3340"/>
      <c r="I77" s="3340"/>
      <c r="J77" s="3340"/>
      <c r="K77" s="3384"/>
      <c r="L77" s="3385"/>
      <c r="M77" s="3386"/>
      <c r="N77" s="3213"/>
      <c r="O77" s="3213"/>
      <c r="P77" s="3387"/>
      <c r="Q77" s="3178"/>
      <c r="R77" s="3299"/>
      <c r="S77" s="3299"/>
      <c r="T77" s="3299"/>
      <c r="U77" s="3299"/>
      <c r="V77" s="3299"/>
      <c r="W77" s="3299"/>
      <c r="X77" s="3299"/>
      <c r="Y77" s="3299"/>
      <c r="Z77" s="3299"/>
      <c r="AA77" s="3299"/>
      <c r="AB77" s="3299"/>
      <c r="AC77" s="3299"/>
    </row>
    <row r="78" spans="1:29" ht="15.75" thickBot="1">
      <c r="A78" s="3202"/>
      <c r="B78" s="3354"/>
      <c r="C78" s="3362">
        <v>100</v>
      </c>
      <c r="D78" s="3362">
        <f>C78-$K15</f>
        <v>98</v>
      </c>
      <c r="E78" s="3362">
        <f>D78-$K15</f>
        <v>96</v>
      </c>
      <c r="F78" s="3362">
        <f>E78-$K15</f>
        <v>94</v>
      </c>
      <c r="G78" s="3362">
        <f>F78-$K15</f>
        <v>92</v>
      </c>
      <c r="H78" s="3362"/>
      <c r="I78" s="3362"/>
      <c r="J78" s="3362"/>
      <c r="K78" s="3362"/>
      <c r="L78" s="3362"/>
      <c r="M78" s="3363"/>
      <c r="N78" s="3348"/>
      <c r="O78" s="3348"/>
      <c r="P78" s="3325"/>
      <c r="Q78" s="3178"/>
      <c r="R78" s="3299"/>
      <c r="S78" s="3299"/>
      <c r="T78" s="3299"/>
      <c r="U78" s="3299"/>
      <c r="V78" s="3299"/>
      <c r="W78" s="3299"/>
      <c r="X78" s="3299"/>
      <c r="Y78" s="3299"/>
      <c r="Z78" s="3299"/>
      <c r="AA78" s="3299"/>
      <c r="AB78" s="3299"/>
      <c r="AC78" s="3299"/>
    </row>
    <row r="79" spans="1:29" ht="15.75" thickTop="1">
      <c r="A79" s="3202"/>
      <c r="B79" s="3349" t="s">
        <v>1726</v>
      </c>
      <c r="C79" s="3388" t="s">
        <v>1721</v>
      </c>
      <c r="D79" s="3388" t="s">
        <v>1722</v>
      </c>
      <c r="E79" s="3388" t="s">
        <v>1723</v>
      </c>
      <c r="F79" s="3388" t="s">
        <v>1724</v>
      </c>
      <c r="G79" s="3388" t="s">
        <v>1725</v>
      </c>
      <c r="H79" s="3389"/>
      <c r="I79" s="3389"/>
      <c r="J79" s="3389"/>
      <c r="K79" s="3390"/>
      <c r="L79" s="3391"/>
      <c r="M79" s="3392"/>
      <c r="N79" s="3213"/>
      <c r="O79" s="3213"/>
      <c r="P79" s="3325"/>
      <c r="Q79" s="3178"/>
      <c r="R79" s="3299"/>
      <c r="S79" s="3299"/>
      <c r="T79" s="3299"/>
      <c r="U79" s="3299"/>
      <c r="V79" s="3299"/>
      <c r="W79" s="3299"/>
      <c r="X79" s="3299"/>
      <c r="Y79" s="3299"/>
      <c r="Z79" s="3299"/>
      <c r="AA79" s="3299"/>
      <c r="AB79" s="3299"/>
      <c r="AC79" s="3299"/>
    </row>
    <row r="80" spans="1:29" ht="15.75" thickBot="1">
      <c r="A80" s="3202"/>
      <c r="B80" s="3354"/>
      <c r="C80" s="3362">
        <v>100</v>
      </c>
      <c r="D80" s="3362">
        <f>C80-$K17</f>
        <v>98</v>
      </c>
      <c r="E80" s="3362">
        <f>D80-$K17</f>
        <v>96</v>
      </c>
      <c r="F80" s="3362">
        <f>E80-$K17</f>
        <v>94</v>
      </c>
      <c r="G80" s="3362">
        <f>F80-$K17</f>
        <v>92</v>
      </c>
      <c r="H80" s="3362"/>
      <c r="I80" s="3362"/>
      <c r="J80" s="3362"/>
      <c r="K80" s="3362"/>
      <c r="L80" s="3362"/>
      <c r="M80" s="3363"/>
      <c r="N80" s="3348"/>
      <c r="O80" s="3348"/>
      <c r="P80" s="3325"/>
      <c r="Q80" s="3178"/>
      <c r="R80" s="3299"/>
      <c r="S80" s="3299"/>
      <c r="T80" s="3299"/>
      <c r="U80" s="3299"/>
      <c r="V80" s="3299"/>
      <c r="W80" s="3299"/>
      <c r="X80" s="3299"/>
      <c r="Y80" s="3299"/>
      <c r="Z80" s="3299"/>
      <c r="AA80" s="3299"/>
      <c r="AB80" s="3299"/>
      <c r="AC80" s="3299"/>
    </row>
    <row r="81" spans="1:29" ht="15.75" thickTop="1">
      <c r="A81" s="3202"/>
      <c r="B81" s="3349" t="s">
        <v>1727</v>
      </c>
      <c r="C81" s="3388" t="s">
        <v>1721</v>
      </c>
      <c r="D81" s="3388" t="s">
        <v>1722</v>
      </c>
      <c r="E81" s="3388" t="s">
        <v>1723</v>
      </c>
      <c r="F81" s="3388" t="s">
        <v>1724</v>
      </c>
      <c r="G81" s="3388" t="s">
        <v>1725</v>
      </c>
      <c r="H81" s="3389"/>
      <c r="I81" s="3389"/>
      <c r="J81" s="3389"/>
      <c r="K81" s="3390"/>
      <c r="L81" s="3391"/>
      <c r="M81" s="3392"/>
      <c r="N81" s="3213"/>
      <c r="O81" s="3213"/>
      <c r="P81" s="3325"/>
      <c r="Q81" s="3178"/>
      <c r="R81" s="3299"/>
      <c r="S81" s="3299"/>
      <c r="T81" s="3299"/>
      <c r="U81" s="3299"/>
      <c r="V81" s="3299"/>
      <c r="W81" s="3299"/>
      <c r="X81" s="3299"/>
      <c r="Y81" s="3299"/>
      <c r="Z81" s="3299"/>
      <c r="AA81" s="3299"/>
      <c r="AB81" s="3299"/>
      <c r="AC81" s="3299"/>
    </row>
    <row r="82" spans="1:29" ht="15.75" thickBot="1">
      <c r="A82" s="3202"/>
      <c r="B82" s="3354"/>
      <c r="C82" s="3362">
        <v>100</v>
      </c>
      <c r="D82" s="3362">
        <f>C82-$K19</f>
        <v>98</v>
      </c>
      <c r="E82" s="3362">
        <f>D82-$K19</f>
        <v>96</v>
      </c>
      <c r="F82" s="3362">
        <f>E82-$K19</f>
        <v>94</v>
      </c>
      <c r="G82" s="3362">
        <f>F82-$K19</f>
        <v>92</v>
      </c>
      <c r="H82" s="3362"/>
      <c r="I82" s="3362"/>
      <c r="J82" s="3362"/>
      <c r="K82" s="3362"/>
      <c r="L82" s="3362"/>
      <c r="M82" s="3363"/>
      <c r="N82" s="3348"/>
      <c r="O82" s="3348"/>
      <c r="P82" s="3325"/>
      <c r="Q82" s="3178"/>
      <c r="R82" s="3299"/>
      <c r="S82" s="3299"/>
      <c r="T82" s="3299"/>
      <c r="U82" s="3299"/>
      <c r="V82" s="3299"/>
      <c r="W82" s="3299"/>
      <c r="X82" s="3299"/>
      <c r="Y82" s="3299"/>
      <c r="Z82" s="3299"/>
      <c r="AA82" s="3299"/>
      <c r="AB82" s="3299"/>
      <c r="AC82" s="3299"/>
    </row>
    <row r="83" spans="1:29" ht="15.75" thickTop="1">
      <c r="A83" s="3202"/>
      <c r="B83" s="3355" t="s">
        <v>1813</v>
      </c>
      <c r="C83" s="3393" t="s">
        <v>1799</v>
      </c>
      <c r="D83" s="3393" t="s">
        <v>1800</v>
      </c>
      <c r="E83" s="3393" t="s">
        <v>1801</v>
      </c>
      <c r="F83" s="3393" t="s">
        <v>1802</v>
      </c>
      <c r="G83" s="3393" t="s">
        <v>1803</v>
      </c>
      <c r="H83" s="3389"/>
      <c r="I83" s="3389"/>
      <c r="J83" s="3389"/>
      <c r="K83" s="3389"/>
      <c r="L83" s="3389"/>
      <c r="M83" s="3394"/>
      <c r="N83" s="3348"/>
      <c r="O83" s="3348"/>
      <c r="P83" s="3325"/>
      <c r="Q83" s="3178"/>
      <c r="R83" s="3299"/>
      <c r="S83" s="3299"/>
      <c r="T83" s="3299"/>
      <c r="U83" s="3299"/>
      <c r="V83" s="3299"/>
      <c r="W83" s="3299"/>
      <c r="X83" s="3299"/>
      <c r="Y83" s="3299"/>
      <c r="Z83" s="3299"/>
      <c r="AA83" s="3299"/>
      <c r="AB83" s="3299"/>
      <c r="AC83" s="3299"/>
    </row>
    <row r="84" spans="1:29" ht="15.75" thickBot="1">
      <c r="A84" s="3202"/>
      <c r="B84" s="3355"/>
      <c r="C84" s="3362">
        <v>100</v>
      </c>
      <c r="D84" s="3362">
        <f>C84-$K21</f>
        <v>100</v>
      </c>
      <c r="E84" s="3362">
        <f>D84-$K21</f>
        <v>100</v>
      </c>
      <c r="F84" s="3362">
        <f>E84-$K21</f>
        <v>100</v>
      </c>
      <c r="G84" s="3362">
        <f>F84-$K21</f>
        <v>100</v>
      </c>
      <c r="H84" s="3393"/>
      <c r="I84" s="3393"/>
      <c r="J84" s="3393"/>
      <c r="K84" s="3393"/>
      <c r="L84" s="3393"/>
      <c r="M84" s="3235"/>
      <c r="N84" s="3348"/>
      <c r="O84" s="3348"/>
      <c r="P84" s="3325"/>
      <c r="Q84" s="3178"/>
      <c r="R84" s="3299"/>
      <c r="S84" s="3299"/>
      <c r="T84" s="3299"/>
      <c r="U84" s="3299"/>
      <c r="V84" s="3299"/>
      <c r="W84" s="3299"/>
      <c r="X84" s="3299"/>
      <c r="Y84" s="3299"/>
      <c r="Z84" s="3299"/>
      <c r="AA84" s="3299"/>
      <c r="AB84" s="3299"/>
      <c r="AC84" s="3299"/>
    </row>
    <row r="85" spans="1:29" ht="15.75" thickTop="1">
      <c r="A85" s="3202"/>
      <c r="B85" s="3349" t="s">
        <v>1822</v>
      </c>
      <c r="C85" s="3388" t="s">
        <v>1721</v>
      </c>
      <c r="D85" s="3388" t="s">
        <v>1722</v>
      </c>
      <c r="E85" s="3388" t="s">
        <v>1723</v>
      </c>
      <c r="F85" s="3388" t="s">
        <v>1724</v>
      </c>
      <c r="G85" s="3388" t="s">
        <v>1725</v>
      </c>
      <c r="H85" s="3389"/>
      <c r="I85" s="3389"/>
      <c r="J85" s="3389"/>
      <c r="K85" s="3390"/>
      <c r="L85" s="3391"/>
      <c r="M85" s="3392"/>
      <c r="N85" s="3213"/>
      <c r="O85" s="3213"/>
      <c r="P85" s="3325"/>
      <c r="Q85" s="3178"/>
      <c r="R85" s="3299"/>
      <c r="S85" s="3299"/>
      <c r="T85" s="3299"/>
      <c r="U85" s="3299"/>
      <c r="V85" s="3299"/>
      <c r="W85" s="3299"/>
      <c r="X85" s="3299"/>
      <c r="Y85" s="3299"/>
      <c r="Z85" s="3299"/>
      <c r="AA85" s="3299"/>
      <c r="AB85" s="3299"/>
      <c r="AC85" s="3299"/>
    </row>
    <row r="86" spans="1:29" ht="15.75" thickBot="1">
      <c r="A86" s="3202"/>
      <c r="B86" s="3354"/>
      <c r="C86" s="3362">
        <v>100</v>
      </c>
      <c r="D86" s="3362">
        <f>C86-$K23</f>
        <v>100</v>
      </c>
      <c r="E86" s="3362">
        <f>D86-$K23</f>
        <v>100</v>
      </c>
      <c r="F86" s="3362">
        <f>E86-$K23</f>
        <v>100</v>
      </c>
      <c r="G86" s="3362">
        <f>F86-$K23</f>
        <v>100</v>
      </c>
      <c r="H86" s="3362"/>
      <c r="I86" s="3362"/>
      <c r="J86" s="3362"/>
      <c r="K86" s="3362"/>
      <c r="L86" s="3362"/>
      <c r="M86" s="3363"/>
      <c r="N86" s="3348"/>
      <c r="O86" s="3348"/>
      <c r="P86" s="3325"/>
      <c r="Q86" s="3178"/>
      <c r="R86" s="3299"/>
      <c r="S86" s="3299"/>
      <c r="T86" s="3299"/>
      <c r="U86" s="3299"/>
      <c r="V86" s="3299"/>
      <c r="W86" s="3299"/>
      <c r="X86" s="3299"/>
      <c r="Y86" s="3299"/>
      <c r="Z86" s="3299"/>
      <c r="AA86" s="3299"/>
      <c r="AB86" s="3299"/>
      <c r="AC86" s="3299"/>
    </row>
    <row r="87" spans="1:29" s="3185" customFormat="1" ht="27.75" thickTop="1">
      <c r="A87" s="3205"/>
      <c r="B87" s="3349" t="s">
        <v>1823</v>
      </c>
      <c r="C87" s="3365" t="str">
        <f>'比较法-商业租金'!C86</f>
        <v>高速</v>
      </c>
      <c r="D87" s="3365" t="str">
        <f>'比较法-商业租金'!D86</f>
        <v>快速路</v>
      </c>
      <c r="E87" s="3365" t="str">
        <f>'比较法-商业租金'!E86</f>
        <v>城市主干道</v>
      </c>
      <c r="F87" s="3365" t="str">
        <f>'比较法-商业租金'!F86</f>
        <v>城市次干道</v>
      </c>
      <c r="G87" s="3365" t="str">
        <f>'比较法-商业租金'!G86</f>
        <v>城市支路</v>
      </c>
      <c r="H87" s="3365"/>
      <c r="I87" s="3365"/>
      <c r="J87" s="3365"/>
      <c r="K87" s="3365"/>
      <c r="L87" s="3395"/>
      <c r="M87" s="3396"/>
      <c r="N87" s="3178"/>
      <c r="O87" s="3178"/>
      <c r="P87" s="3325"/>
      <c r="Q87" s="3178"/>
      <c r="R87" s="3320"/>
      <c r="S87" s="3320"/>
      <c r="T87" s="3320"/>
      <c r="U87" s="3320"/>
      <c r="V87" s="3320"/>
      <c r="W87" s="3320"/>
      <c r="X87" s="3320"/>
      <c r="Y87" s="3320"/>
      <c r="Z87" s="3320"/>
      <c r="AA87" s="3320"/>
      <c r="AB87" s="3320"/>
      <c r="AC87" s="3320"/>
    </row>
    <row r="88" spans="1:29" s="3185" customFormat="1" ht="15.75" thickBot="1">
      <c r="A88" s="3205"/>
      <c r="B88" s="3354"/>
      <c r="C88" s="3397">
        <v>100</v>
      </c>
      <c r="D88" s="3362">
        <f t="shared" ref="D88:M88" si="19">C88-$K25</f>
        <v>98</v>
      </c>
      <c r="E88" s="3362">
        <f t="shared" si="19"/>
        <v>96</v>
      </c>
      <c r="F88" s="3362">
        <f t="shared" si="19"/>
        <v>94</v>
      </c>
      <c r="G88" s="3362">
        <f t="shared" si="19"/>
        <v>92</v>
      </c>
      <c r="H88" s="3362">
        <f t="shared" si="19"/>
        <v>90</v>
      </c>
      <c r="I88" s="3362">
        <f t="shared" si="19"/>
        <v>88</v>
      </c>
      <c r="J88" s="3362">
        <f t="shared" si="19"/>
        <v>86</v>
      </c>
      <c r="K88" s="3362">
        <f t="shared" si="19"/>
        <v>84</v>
      </c>
      <c r="L88" s="3362">
        <f t="shared" si="19"/>
        <v>82</v>
      </c>
      <c r="M88" s="3362">
        <f t="shared" si="19"/>
        <v>80</v>
      </c>
      <c r="N88" s="3348"/>
      <c r="O88" s="3348"/>
      <c r="P88" s="3325"/>
      <c r="Q88" s="3178"/>
      <c r="R88" s="3320"/>
      <c r="S88" s="3320"/>
      <c r="T88" s="3320"/>
      <c r="U88" s="3320"/>
      <c r="V88" s="3320"/>
      <c r="W88" s="3320"/>
      <c r="X88" s="3320"/>
      <c r="Y88" s="3320"/>
      <c r="Z88" s="3320"/>
      <c r="AA88" s="3320"/>
      <c r="AB88" s="3320"/>
      <c r="AC88" s="3320"/>
    </row>
    <row r="89" spans="1:29" s="3185" customFormat="1" ht="15.75" thickTop="1">
      <c r="A89" s="3205"/>
      <c r="B89" s="3349" t="str">
        <f>B27</f>
        <v>楼层</v>
      </c>
      <c r="C89" s="3365"/>
      <c r="D89" s="3365"/>
      <c r="E89" s="3365"/>
      <c r="F89" s="3398"/>
      <c r="G89" s="3365"/>
      <c r="H89" s="3365"/>
      <c r="I89" s="3365"/>
      <c r="J89" s="3365"/>
      <c r="K89" s="3365"/>
      <c r="L89" s="3365"/>
      <c r="M89" s="3396"/>
      <c r="N89" s="3178"/>
      <c r="O89" s="3178"/>
      <c r="P89" s="3325"/>
      <c r="Q89" s="3178"/>
      <c r="R89" s="3320"/>
      <c r="S89" s="3320"/>
      <c r="T89" s="3320"/>
      <c r="U89" s="3320"/>
      <c r="V89" s="3320"/>
      <c r="W89" s="3320"/>
      <c r="X89" s="3320"/>
      <c r="Y89" s="3320"/>
      <c r="Z89" s="3320"/>
      <c r="AA89" s="3320"/>
      <c r="AB89" s="3320"/>
      <c r="AC89" s="3320"/>
    </row>
    <row r="90" spans="1:29" s="3185" customFormat="1" ht="15.75" thickBot="1">
      <c r="A90" s="3205"/>
      <c r="B90" s="3354"/>
      <c r="C90" s="3397">
        <v>100</v>
      </c>
      <c r="D90" s="3362">
        <f>C90-$K27</f>
        <v>100</v>
      </c>
      <c r="E90" s="3362">
        <f t="shared" ref="E90:M90" si="20">D90-$K27</f>
        <v>100</v>
      </c>
      <c r="F90" s="3362">
        <f t="shared" si="20"/>
        <v>100</v>
      </c>
      <c r="G90" s="3362">
        <f t="shared" si="20"/>
        <v>100</v>
      </c>
      <c r="H90" s="3362">
        <f t="shared" si="20"/>
        <v>100</v>
      </c>
      <c r="I90" s="3362">
        <f t="shared" si="20"/>
        <v>100</v>
      </c>
      <c r="J90" s="3362">
        <f t="shared" si="20"/>
        <v>100</v>
      </c>
      <c r="K90" s="3362">
        <f t="shared" si="20"/>
        <v>100</v>
      </c>
      <c r="L90" s="3362">
        <f t="shared" si="20"/>
        <v>100</v>
      </c>
      <c r="M90" s="3362">
        <f t="shared" si="20"/>
        <v>100</v>
      </c>
      <c r="N90" s="3348"/>
      <c r="O90" s="3348"/>
      <c r="P90" s="3325"/>
      <c r="Q90" s="3178"/>
      <c r="R90" s="3320"/>
      <c r="S90" s="3320"/>
      <c r="T90" s="3320"/>
      <c r="U90" s="3320"/>
      <c r="V90" s="3320"/>
      <c r="W90" s="3320"/>
      <c r="X90" s="3320"/>
      <c r="Y90" s="3320"/>
      <c r="Z90" s="3320"/>
      <c r="AA90" s="3320"/>
      <c r="AB90" s="3320"/>
      <c r="AC90" s="3320"/>
    </row>
    <row r="91" spans="1:29" s="3270" customFormat="1" ht="15.75" thickTop="1">
      <c r="A91" s="3364"/>
      <c r="B91" s="3349" t="str">
        <f>B28</f>
        <v>朝向</v>
      </c>
      <c r="C91" s="3365"/>
      <c r="D91" s="3365"/>
      <c r="E91" s="3365"/>
      <c r="F91" s="3365"/>
      <c r="G91" s="3365"/>
      <c r="H91" s="3366"/>
      <c r="I91" s="3366"/>
      <c r="J91" s="3366"/>
      <c r="K91" s="3366"/>
      <c r="L91" s="3367"/>
      <c r="M91" s="3368"/>
      <c r="N91" s="3204"/>
      <c r="O91" s="3204"/>
      <c r="P91" s="3369"/>
      <c r="Q91" s="3204"/>
      <c r="R91" s="3370"/>
      <c r="S91" s="3370"/>
      <c r="T91" s="3370"/>
      <c r="U91" s="3370"/>
      <c r="V91" s="3370"/>
      <c r="W91" s="3370"/>
      <c r="X91" s="3370"/>
      <c r="Y91" s="3370"/>
      <c r="Z91" s="3370"/>
      <c r="AA91" s="3370"/>
      <c r="AB91" s="3370"/>
      <c r="AC91" s="3370"/>
    </row>
    <row r="92" spans="1:29" s="3270" customFormat="1" ht="15.75" thickBot="1">
      <c r="A92" s="3364"/>
      <c r="B92" s="3354"/>
      <c r="C92" s="3397">
        <v>100</v>
      </c>
      <c r="D92" s="3362">
        <f t="shared" ref="D92:M92" si="21">C92-$K28</f>
        <v>100</v>
      </c>
      <c r="E92" s="3362">
        <f t="shared" si="21"/>
        <v>100</v>
      </c>
      <c r="F92" s="3362">
        <f t="shared" si="21"/>
        <v>100</v>
      </c>
      <c r="G92" s="3362">
        <f t="shared" si="21"/>
        <v>100</v>
      </c>
      <c r="H92" s="3362">
        <f t="shared" si="21"/>
        <v>100</v>
      </c>
      <c r="I92" s="3362">
        <f t="shared" si="21"/>
        <v>100</v>
      </c>
      <c r="J92" s="3362">
        <f t="shared" si="21"/>
        <v>100</v>
      </c>
      <c r="K92" s="3362">
        <f t="shared" si="21"/>
        <v>100</v>
      </c>
      <c r="L92" s="3362">
        <f t="shared" si="21"/>
        <v>100</v>
      </c>
      <c r="M92" s="3362">
        <f t="shared" si="21"/>
        <v>100</v>
      </c>
      <c r="N92" s="3204"/>
      <c r="O92" s="3204"/>
      <c r="P92" s="3369"/>
      <c r="Q92" s="3204"/>
      <c r="R92" s="3370"/>
      <c r="S92" s="3370"/>
      <c r="T92" s="3370"/>
      <c r="U92" s="3370"/>
      <c r="V92" s="3370"/>
      <c r="W92" s="3370"/>
      <c r="X92" s="3370"/>
      <c r="Y92" s="3370"/>
      <c r="Z92" s="3370"/>
      <c r="AA92" s="3370"/>
      <c r="AB92" s="3370"/>
      <c r="AC92" s="3370"/>
    </row>
    <row r="93" spans="1:29" ht="15.75" thickTop="1">
      <c r="A93" s="3202"/>
      <c r="B93" s="3349">
        <f>B29</f>
        <v>111</v>
      </c>
      <c r="C93" s="3365"/>
      <c r="D93" s="3365"/>
      <c r="E93" s="3365"/>
      <c r="F93" s="3365"/>
      <c r="G93" s="3365"/>
      <c r="H93" s="3365"/>
      <c r="I93" s="3365"/>
      <c r="J93" s="3365"/>
      <c r="K93" s="3365"/>
      <c r="L93" s="3395"/>
      <c r="M93" s="3396"/>
      <c r="N93" s="3213"/>
      <c r="O93" s="3213"/>
      <c r="P93" s="3325"/>
      <c r="Q93" s="3178"/>
      <c r="R93" s="3299"/>
      <c r="S93" s="3299"/>
      <c r="T93" s="3299"/>
      <c r="U93" s="3299"/>
      <c r="V93" s="3299"/>
      <c r="W93" s="3299"/>
      <c r="X93" s="3299"/>
      <c r="Y93" s="3299"/>
      <c r="Z93" s="3299"/>
      <c r="AA93" s="3299"/>
      <c r="AB93" s="3299"/>
      <c r="AC93" s="3299"/>
    </row>
    <row r="94" spans="1:29" ht="15.75" thickBot="1">
      <c r="A94" s="3202"/>
      <c r="B94" s="3354"/>
      <c r="C94" s="3371"/>
      <c r="D94" s="3346"/>
      <c r="E94" s="3346"/>
      <c r="F94" s="3346"/>
      <c r="G94" s="3346"/>
      <c r="H94" s="3346"/>
      <c r="I94" s="3346"/>
      <c r="J94" s="3346"/>
      <c r="K94" s="3346"/>
      <c r="L94" s="3346"/>
      <c r="M94" s="3347"/>
      <c r="N94" s="3348"/>
      <c r="O94" s="3348"/>
      <c r="P94" s="3325"/>
      <c r="Q94" s="3178"/>
      <c r="R94" s="3299"/>
      <c r="S94" s="3299"/>
      <c r="T94" s="3299"/>
      <c r="U94" s="3299"/>
      <c r="V94" s="3299"/>
      <c r="W94" s="3299"/>
      <c r="X94" s="3299"/>
      <c r="Y94" s="3299"/>
      <c r="Z94" s="3299"/>
      <c r="AA94" s="3299"/>
      <c r="AB94" s="3299"/>
      <c r="AC94" s="3299"/>
    </row>
    <row r="95" spans="1:29" ht="15.75" thickTop="1">
      <c r="A95" s="3202"/>
      <c r="B95" s="3349">
        <f>B30</f>
        <v>111</v>
      </c>
      <c r="C95" s="3365"/>
      <c r="D95" s="3365"/>
      <c r="E95" s="3365"/>
      <c r="F95" s="3365"/>
      <c r="G95" s="3350"/>
      <c r="H95" s="3350"/>
      <c r="I95" s="3350"/>
      <c r="J95" s="3350"/>
      <c r="K95" s="3351"/>
      <c r="L95" s="3352"/>
      <c r="M95" s="3353"/>
      <c r="N95" s="3213"/>
      <c r="O95" s="3213"/>
      <c r="P95" s="3325"/>
      <c r="Q95" s="3178"/>
      <c r="R95" s="3299"/>
      <c r="S95" s="3299"/>
      <c r="T95" s="3299"/>
      <c r="U95" s="3299"/>
      <c r="V95" s="3299"/>
      <c r="W95" s="3299"/>
      <c r="X95" s="3299"/>
      <c r="Y95" s="3299"/>
      <c r="Z95" s="3299"/>
      <c r="AA95" s="3299"/>
      <c r="AB95" s="3299"/>
      <c r="AC95" s="3299"/>
    </row>
    <row r="96" spans="1:29" ht="15.75" thickBot="1">
      <c r="A96" s="3202"/>
      <c r="B96" s="3354"/>
      <c r="C96" s="3371"/>
      <c r="D96" s="3371"/>
      <c r="E96" s="3371"/>
      <c r="F96" s="3371"/>
      <c r="G96" s="3346"/>
      <c r="H96" s="3346"/>
      <c r="I96" s="3346"/>
      <c r="J96" s="3346"/>
      <c r="K96" s="3346"/>
      <c r="L96" s="3346"/>
      <c r="M96" s="3347"/>
      <c r="N96" s="3348"/>
      <c r="O96" s="3348"/>
      <c r="P96" s="3325"/>
      <c r="Q96" s="3178"/>
      <c r="R96" s="3299"/>
      <c r="S96" s="3299"/>
      <c r="T96" s="3299"/>
      <c r="U96" s="3299"/>
      <c r="V96" s="3299"/>
      <c r="W96" s="3299"/>
      <c r="X96" s="3299"/>
      <c r="Y96" s="3299"/>
      <c r="Z96" s="3299"/>
      <c r="AA96" s="3299"/>
      <c r="AB96" s="3299"/>
      <c r="AC96" s="3299"/>
    </row>
    <row r="97" spans="1:29" ht="15.75" thickTop="1">
      <c r="A97" s="3202"/>
      <c r="B97" s="3349">
        <f>B31</f>
        <v>111</v>
      </c>
      <c r="C97" s="3365"/>
      <c r="D97" s="3365"/>
      <c r="E97" s="3365"/>
      <c r="F97" s="3365"/>
      <c r="G97" s="3350"/>
      <c r="H97" s="3350"/>
      <c r="I97" s="3350"/>
      <c r="J97" s="3350"/>
      <c r="K97" s="3351"/>
      <c r="L97" s="3352"/>
      <c r="M97" s="3353"/>
      <c r="N97" s="3213"/>
      <c r="O97" s="3213"/>
      <c r="P97" s="3325"/>
      <c r="Q97" s="3178"/>
      <c r="R97" s="3299"/>
      <c r="S97" s="3299"/>
      <c r="T97" s="3299"/>
      <c r="U97" s="3299"/>
      <c r="V97" s="3299"/>
      <c r="W97" s="3299"/>
      <c r="X97" s="3299"/>
      <c r="Y97" s="3299"/>
      <c r="Z97" s="3299"/>
      <c r="AA97" s="3299"/>
      <c r="AB97" s="3299"/>
      <c r="AC97" s="3299"/>
    </row>
    <row r="98" spans="1:29" ht="15.75" thickBot="1">
      <c r="A98" s="3202"/>
      <c r="B98" s="3354"/>
      <c r="C98" s="3371"/>
      <c r="D98" s="3346"/>
      <c r="E98" s="3346"/>
      <c r="F98" s="3346"/>
      <c r="G98" s="3346"/>
      <c r="H98" s="3346"/>
      <c r="I98" s="3346"/>
      <c r="J98" s="3346"/>
      <c r="K98" s="3346"/>
      <c r="L98" s="3346"/>
      <c r="M98" s="3347"/>
      <c r="N98" s="3348"/>
      <c r="O98" s="3348"/>
      <c r="P98" s="3325"/>
      <c r="Q98" s="3178"/>
      <c r="R98" s="3299"/>
      <c r="S98" s="3299"/>
      <c r="T98" s="3299"/>
      <c r="U98" s="3299"/>
      <c r="V98" s="3299"/>
      <c r="W98" s="3299"/>
      <c r="X98" s="3299"/>
      <c r="Y98" s="3299"/>
      <c r="Z98" s="3299"/>
      <c r="AA98" s="3299"/>
      <c r="AB98" s="3299"/>
      <c r="AC98" s="3299"/>
    </row>
    <row r="99" spans="1:29" ht="15.75" thickTop="1">
      <c r="A99" s="3202"/>
      <c r="B99" s="3355">
        <f>B32</f>
        <v>111</v>
      </c>
      <c r="C99" s="3333"/>
      <c r="D99" s="3333"/>
      <c r="E99" s="3333"/>
      <c r="F99" s="3333"/>
      <c r="G99" s="3399"/>
      <c r="H99" s="3399"/>
      <c r="I99" s="3399"/>
      <c r="J99" s="3399"/>
      <c r="K99" s="3400"/>
      <c r="L99" s="3401"/>
      <c r="M99" s="3402"/>
      <c r="N99" s="3213"/>
      <c r="O99" s="3213"/>
      <c r="P99" s="3325"/>
      <c r="Q99" s="3178"/>
      <c r="R99" s="3299"/>
      <c r="S99" s="3299"/>
      <c r="T99" s="3299"/>
      <c r="U99" s="3299"/>
      <c r="V99" s="3299"/>
      <c r="W99" s="3299"/>
      <c r="X99" s="3299"/>
      <c r="Y99" s="3299"/>
      <c r="Z99" s="3299"/>
      <c r="AA99" s="3299"/>
      <c r="AB99" s="3299"/>
      <c r="AC99" s="3299"/>
    </row>
    <row r="100" spans="1:29" ht="15.75" thickBot="1">
      <c r="A100" s="3214"/>
      <c r="B100" s="3380"/>
      <c r="C100" s="3381"/>
      <c r="D100" s="3381"/>
      <c r="E100" s="3381"/>
      <c r="F100" s="3381"/>
      <c r="G100" s="3403"/>
      <c r="H100" s="3403"/>
      <c r="I100" s="3403"/>
      <c r="J100" s="3403"/>
      <c r="K100" s="3403"/>
      <c r="L100" s="3403"/>
      <c r="M100" s="3404"/>
      <c r="N100" s="3348"/>
      <c r="O100" s="3348"/>
      <c r="P100" s="3325"/>
      <c r="Q100" s="3178"/>
      <c r="R100" s="3299"/>
      <c r="S100" s="3299"/>
      <c r="T100" s="3299"/>
      <c r="U100" s="3299"/>
      <c r="V100" s="3299"/>
      <c r="W100" s="3299"/>
      <c r="X100" s="3299"/>
      <c r="Y100" s="3299"/>
      <c r="Z100" s="3299"/>
      <c r="AA100" s="3299"/>
      <c r="AB100" s="3299"/>
      <c r="AC100" s="3299"/>
    </row>
    <row r="101" spans="1:29">
      <c r="A101" s="3219" t="s">
        <v>1694</v>
      </c>
      <c r="B101" s="3339" t="s">
        <v>1736</v>
      </c>
      <c r="C101" s="3405" t="s">
        <v>3571</v>
      </c>
      <c r="D101" s="3341"/>
      <c r="E101" s="3341"/>
      <c r="F101" s="3341"/>
      <c r="G101" s="3341"/>
      <c r="H101" s="3341"/>
      <c r="I101" s="3341"/>
      <c r="J101" s="3341"/>
      <c r="K101" s="3342"/>
      <c r="L101" s="3343"/>
      <c r="M101" s="3344"/>
      <c r="N101" s="3213"/>
      <c r="O101" s="3213"/>
      <c r="P101" s="3325"/>
      <c r="Q101" s="3178"/>
      <c r="R101" s="3299"/>
      <c r="S101" s="3299"/>
      <c r="T101" s="3299"/>
      <c r="U101" s="3299"/>
      <c r="V101" s="3299"/>
      <c r="W101" s="3299"/>
      <c r="X101" s="3299"/>
      <c r="Y101" s="3299"/>
      <c r="Z101" s="3299"/>
      <c r="AA101" s="3299"/>
      <c r="AB101" s="3299"/>
      <c r="AC101" s="3299"/>
    </row>
    <row r="102" spans="1:29" ht="15.75" thickBot="1">
      <c r="A102" s="3202"/>
      <c r="B102" s="3354"/>
      <c r="C102" s="3362">
        <v>100</v>
      </c>
      <c r="D102" s="3362">
        <f t="shared" ref="D102:M102" si="22">C102-$K33</f>
        <v>100</v>
      </c>
      <c r="E102" s="3362">
        <f t="shared" si="22"/>
        <v>100</v>
      </c>
      <c r="F102" s="3362">
        <f t="shared" si="22"/>
        <v>100</v>
      </c>
      <c r="G102" s="3362">
        <f t="shared" si="22"/>
        <v>100</v>
      </c>
      <c r="H102" s="3362">
        <f t="shared" si="22"/>
        <v>100</v>
      </c>
      <c r="I102" s="3362">
        <f t="shared" si="22"/>
        <v>100</v>
      </c>
      <c r="J102" s="3362">
        <f t="shared" si="22"/>
        <v>100</v>
      </c>
      <c r="K102" s="3362">
        <f t="shared" si="22"/>
        <v>100</v>
      </c>
      <c r="L102" s="3362">
        <f t="shared" si="22"/>
        <v>100</v>
      </c>
      <c r="M102" s="3363">
        <f t="shared" si="22"/>
        <v>100</v>
      </c>
      <c r="N102" s="3348"/>
      <c r="O102" s="3348"/>
      <c r="P102" s="3325"/>
      <c r="Q102" s="3178"/>
      <c r="R102" s="3299"/>
      <c r="S102" s="3299"/>
      <c r="T102" s="3299"/>
      <c r="U102" s="3299"/>
      <c r="V102" s="3299"/>
      <c r="W102" s="3299"/>
      <c r="X102" s="3299"/>
      <c r="Y102" s="3299"/>
      <c r="Z102" s="3299"/>
      <c r="AA102" s="3299"/>
      <c r="AB102" s="3299"/>
      <c r="AC102" s="3299"/>
    </row>
    <row r="103" spans="1:29" ht="29.25" thickTop="1">
      <c r="A103" s="3202"/>
      <c r="B103" s="3349" t="s">
        <v>1737</v>
      </c>
      <c r="C103" s="3388" t="str">
        <f>C104&amp;"(含)"&amp;"-"&amp;D104</f>
        <v>0(含)-100</v>
      </c>
      <c r="D103" s="3388" t="str">
        <f t="shared" ref="D103:L103" si="23">D104&amp;"(含)"&amp;"-"&amp;E104</f>
        <v>100(含)-600</v>
      </c>
      <c r="E103" s="3388" t="str">
        <f t="shared" si="23"/>
        <v>600(含)-1500</v>
      </c>
      <c r="F103" s="3388" t="str">
        <f t="shared" si="23"/>
        <v>1500(含)-2000</v>
      </c>
      <c r="G103" s="3388" t="str">
        <f t="shared" si="23"/>
        <v>2000(含)-</v>
      </c>
      <c r="H103" s="3388" t="str">
        <f t="shared" si="23"/>
        <v>(含)-</v>
      </c>
      <c r="I103" s="3388" t="str">
        <f t="shared" si="23"/>
        <v>(含)-</v>
      </c>
      <c r="J103" s="3388" t="str">
        <f t="shared" si="23"/>
        <v>(含)-</v>
      </c>
      <c r="K103" s="3388" t="str">
        <f t="shared" si="23"/>
        <v>(含)-</v>
      </c>
      <c r="L103" s="3388" t="str">
        <f t="shared" si="23"/>
        <v>(含)-</v>
      </c>
      <c r="M103" s="3406" t="str">
        <f>M104&amp;"(含)"&amp;"-"&amp;P104</f>
        <v>(含)-</v>
      </c>
      <c r="N103" s="3178"/>
      <c r="O103" s="3178"/>
      <c r="P103" s="3325"/>
      <c r="Q103" s="3178"/>
      <c r="R103" s="3299"/>
      <c r="S103" s="3299"/>
      <c r="T103" s="3299"/>
      <c r="U103" s="3299"/>
      <c r="V103" s="3299"/>
      <c r="W103" s="3299"/>
      <c r="X103" s="3299"/>
      <c r="Y103" s="3299"/>
      <c r="Z103" s="3299"/>
      <c r="AA103" s="3299"/>
      <c r="AB103" s="3299"/>
      <c r="AC103" s="3299"/>
    </row>
    <row r="104" spans="1:29" s="3270" customFormat="1">
      <c r="A104" s="3262"/>
      <c r="B104" s="3407"/>
      <c r="C104" s="3408">
        <v>0</v>
      </c>
      <c r="D104" s="3408">
        <v>100</v>
      </c>
      <c r="E104" s="3408">
        <v>600</v>
      </c>
      <c r="F104" s="3408">
        <v>1500</v>
      </c>
      <c r="G104" s="3408">
        <v>2000</v>
      </c>
      <c r="H104" s="3408"/>
      <c r="I104" s="3408"/>
      <c r="J104" s="3409"/>
      <c r="K104" s="3409"/>
      <c r="L104" s="3410"/>
      <c r="M104" s="3411"/>
      <c r="N104" s="3204"/>
      <c r="O104" s="3204"/>
      <c r="P104" s="3369"/>
      <c r="Q104" s="3204"/>
      <c r="R104" s="3370"/>
      <c r="S104" s="3370"/>
      <c r="T104" s="3370"/>
      <c r="U104" s="3370"/>
      <c r="V104" s="3370"/>
      <c r="W104" s="3370"/>
      <c r="X104" s="3370"/>
      <c r="Y104" s="3370"/>
      <c r="Z104" s="3370"/>
      <c r="AA104" s="3370"/>
      <c r="AB104" s="3370"/>
      <c r="AC104" s="3370"/>
    </row>
    <row r="105" spans="1:29" s="3270" customFormat="1" ht="15.75" thickBot="1">
      <c r="A105" s="3364"/>
      <c r="B105" s="3354"/>
      <c r="C105" s="3371"/>
      <c r="D105" s="3346"/>
      <c r="E105" s="3346"/>
      <c r="F105" s="3346"/>
      <c r="G105" s="3346"/>
      <c r="H105" s="3346"/>
      <c r="I105" s="3346"/>
      <c r="J105" s="3346"/>
      <c r="K105" s="3346"/>
      <c r="L105" s="3346"/>
      <c r="M105" s="3347"/>
      <c r="N105" s="3348"/>
      <c r="O105" s="3348"/>
      <c r="P105" s="3369"/>
      <c r="Q105" s="3204"/>
      <c r="R105" s="3370"/>
      <c r="S105" s="3370"/>
      <c r="T105" s="3370"/>
      <c r="U105" s="3370"/>
      <c r="V105" s="3370"/>
      <c r="W105" s="3370"/>
      <c r="X105" s="3370"/>
      <c r="Y105" s="3370"/>
      <c r="Z105" s="3370"/>
      <c r="AA105" s="3370"/>
      <c r="AB105" s="3370"/>
      <c r="AC105" s="3370"/>
    </row>
    <row r="106" spans="1:29" ht="15" thickTop="1">
      <c r="A106" s="3271"/>
      <c r="B106" s="3349" t="s">
        <v>1738</v>
      </c>
      <c r="C106" s="3412" t="s">
        <v>3569</v>
      </c>
      <c r="D106" s="3365"/>
      <c r="E106" s="3350"/>
      <c r="F106" s="3350"/>
      <c r="G106" s="3350"/>
      <c r="H106" s="3350"/>
      <c r="I106" s="3350"/>
      <c r="J106" s="3350"/>
      <c r="K106" s="3351"/>
      <c r="L106" s="3352"/>
      <c r="M106" s="3353"/>
      <c r="N106" s="3213"/>
      <c r="O106" s="3213"/>
      <c r="P106" s="3325"/>
      <c r="Q106" s="3178"/>
      <c r="R106" s="3299"/>
      <c r="S106" s="3299"/>
      <c r="T106" s="3299"/>
      <c r="U106" s="3299"/>
      <c r="V106" s="3299"/>
      <c r="W106" s="3299"/>
      <c r="X106" s="3299"/>
      <c r="Y106" s="3299"/>
      <c r="Z106" s="3299"/>
      <c r="AA106" s="3299"/>
      <c r="AB106" s="3299"/>
      <c r="AC106" s="3299"/>
    </row>
    <row r="107" spans="1:29" ht="15.75" thickBot="1">
      <c r="A107" s="3202"/>
      <c r="B107" s="3354"/>
      <c r="C107" s="3362">
        <v>100</v>
      </c>
      <c r="D107" s="3362">
        <f t="shared" ref="D107:M107" si="24">C107-$K35</f>
        <v>100</v>
      </c>
      <c r="E107" s="3362">
        <f t="shared" si="24"/>
        <v>100</v>
      </c>
      <c r="F107" s="3362">
        <f t="shared" si="24"/>
        <v>100</v>
      </c>
      <c r="G107" s="3362">
        <f t="shared" si="24"/>
        <v>100</v>
      </c>
      <c r="H107" s="3362">
        <f t="shared" si="24"/>
        <v>100</v>
      </c>
      <c r="I107" s="3362">
        <f t="shared" si="24"/>
        <v>100</v>
      </c>
      <c r="J107" s="3362">
        <f t="shared" si="24"/>
        <v>100</v>
      </c>
      <c r="K107" s="3362">
        <f t="shared" si="24"/>
        <v>100</v>
      </c>
      <c r="L107" s="3362">
        <f t="shared" si="24"/>
        <v>100</v>
      </c>
      <c r="M107" s="3363">
        <f t="shared" si="24"/>
        <v>100</v>
      </c>
      <c r="N107" s="3348"/>
      <c r="O107" s="3348"/>
      <c r="P107" s="3325"/>
      <c r="Q107" s="3178"/>
      <c r="R107" s="3299"/>
      <c r="S107" s="3299"/>
      <c r="T107" s="3299"/>
      <c r="U107" s="3299"/>
      <c r="V107" s="3299"/>
      <c r="W107" s="3299"/>
      <c r="X107" s="3299"/>
      <c r="Y107" s="3299"/>
      <c r="Z107" s="3299"/>
      <c r="AA107" s="3299"/>
      <c r="AB107" s="3299"/>
      <c r="AC107" s="3299"/>
    </row>
    <row r="108" spans="1:29" ht="15" thickTop="1">
      <c r="A108" s="3271"/>
      <c r="B108" s="3349" t="s">
        <v>1740</v>
      </c>
      <c r="C108" s="3412" t="str">
        <f>C123</f>
        <v>精装修</v>
      </c>
      <c r="D108" s="3412" t="str">
        <f t="shared" ref="D108:E108" si="25">D123</f>
        <v>普通装修</v>
      </c>
      <c r="E108" s="3412" t="str">
        <f t="shared" si="25"/>
        <v>毛坯</v>
      </c>
      <c r="F108" s="3350"/>
      <c r="G108" s="3350"/>
      <c r="H108" s="3350"/>
      <c r="I108" s="3350"/>
      <c r="J108" s="3350"/>
      <c r="K108" s="3351"/>
      <c r="L108" s="3352"/>
      <c r="M108" s="3353"/>
      <c r="N108" s="3213"/>
      <c r="O108" s="3213"/>
      <c r="P108" s="3325"/>
      <c r="Q108" s="3178"/>
      <c r="R108" s="3299"/>
      <c r="S108" s="3299"/>
      <c r="T108" s="3299"/>
      <c r="U108" s="3299"/>
      <c r="V108" s="3299"/>
      <c r="W108" s="3299"/>
      <c r="X108" s="3299"/>
      <c r="Y108" s="3299"/>
      <c r="Z108" s="3299"/>
      <c r="AA108" s="3299"/>
      <c r="AB108" s="3299"/>
      <c r="AC108" s="3299"/>
    </row>
    <row r="109" spans="1:29" ht="15.75" thickBot="1">
      <c r="A109" s="3202"/>
      <c r="B109" s="3354"/>
      <c r="C109" s="3362">
        <v>100</v>
      </c>
      <c r="D109" s="3362">
        <f t="shared" ref="D109:M109" si="26">C109-$K36</f>
        <v>100</v>
      </c>
      <c r="E109" s="3362">
        <f t="shared" si="26"/>
        <v>100</v>
      </c>
      <c r="F109" s="3362">
        <f t="shared" si="26"/>
        <v>100</v>
      </c>
      <c r="G109" s="3362">
        <f t="shared" si="26"/>
        <v>100</v>
      </c>
      <c r="H109" s="3362">
        <f t="shared" si="26"/>
        <v>100</v>
      </c>
      <c r="I109" s="3362">
        <f t="shared" si="26"/>
        <v>100</v>
      </c>
      <c r="J109" s="3362">
        <f t="shared" si="26"/>
        <v>100</v>
      </c>
      <c r="K109" s="3362">
        <f t="shared" si="26"/>
        <v>100</v>
      </c>
      <c r="L109" s="3362">
        <f t="shared" si="26"/>
        <v>100</v>
      </c>
      <c r="M109" s="3363">
        <f t="shared" si="26"/>
        <v>100</v>
      </c>
      <c r="N109" s="3348"/>
      <c r="O109" s="3348"/>
      <c r="P109" s="3325"/>
      <c r="Q109" s="3178"/>
      <c r="R109" s="3299"/>
      <c r="S109" s="3299"/>
      <c r="T109" s="3299"/>
      <c r="U109" s="3299"/>
      <c r="V109" s="3299"/>
      <c r="W109" s="3299"/>
      <c r="X109" s="3299"/>
      <c r="Y109" s="3299"/>
      <c r="Z109" s="3299"/>
      <c r="AA109" s="3299"/>
      <c r="AB109" s="3299"/>
      <c r="AC109" s="3299"/>
    </row>
    <row r="110" spans="1:29" ht="15" thickTop="1">
      <c r="A110" s="3271"/>
      <c r="B110" s="3349" t="s">
        <v>1190</v>
      </c>
      <c r="C110" s="3388" t="str">
        <f>C111&amp;"(含)"&amp;"-"&amp;D111</f>
        <v>0.5(含)-0.6</v>
      </c>
      <c r="D110" s="3388" t="str">
        <f>D111&amp;"(含)"&amp;"-"&amp;E111</f>
        <v>0.6(含)-0.7</v>
      </c>
      <c r="E110" s="3388" t="str">
        <f>E111&amp;"(含)"&amp;"-"&amp;F111</f>
        <v>0.7(含)-0.8</v>
      </c>
      <c r="F110" s="3388" t="str">
        <f>F111&amp;"(含)"&amp;"-"&amp;G111</f>
        <v>0.8(含)-0.9</v>
      </c>
      <c r="G110" s="3388" t="str">
        <f>G111&amp;"(含)"&amp;"-"&amp;ROUND(H111,0)&amp;"(含)"</f>
        <v>0.9(含)-1(含)</v>
      </c>
      <c r="H110" s="3388"/>
      <c r="I110" s="3350"/>
      <c r="J110" s="3350"/>
      <c r="K110" s="3351"/>
      <c r="L110" s="3352"/>
      <c r="M110" s="3353"/>
      <c r="N110" s="3213"/>
      <c r="O110" s="3213"/>
      <c r="P110" s="3325"/>
      <c r="Q110" s="3178"/>
      <c r="R110" s="3299"/>
      <c r="S110" s="3299"/>
      <c r="T110" s="3299"/>
      <c r="U110" s="3299"/>
      <c r="V110" s="3299"/>
      <c r="W110" s="3299"/>
      <c r="X110" s="3299"/>
      <c r="Y110" s="3299"/>
      <c r="Z110" s="3299"/>
      <c r="AA110" s="3299"/>
      <c r="AB110" s="3299"/>
      <c r="AC110" s="3299"/>
    </row>
    <row r="111" spans="1:29">
      <c r="A111" s="3271"/>
      <c r="B111" s="3355"/>
      <c r="C111" s="3193">
        <v>0.5</v>
      </c>
      <c r="D111" s="3193">
        <v>0.6</v>
      </c>
      <c r="E111" s="3193">
        <v>0.7</v>
      </c>
      <c r="F111" s="3193">
        <v>0.8</v>
      </c>
      <c r="G111" s="3193">
        <v>0.9</v>
      </c>
      <c r="H111" s="3193">
        <v>1.0001</v>
      </c>
      <c r="I111" s="3413"/>
      <c r="J111" s="3413"/>
      <c r="K111" s="3414"/>
      <c r="L111" s="3415"/>
      <c r="M111" s="3416"/>
      <c r="N111" s="3213"/>
      <c r="O111" s="3213"/>
      <c r="P111" s="3325"/>
      <c r="Q111" s="3178"/>
      <c r="R111" s="3299"/>
      <c r="S111" s="3299"/>
      <c r="T111" s="3299"/>
      <c r="U111" s="3299"/>
      <c r="V111" s="3299"/>
      <c r="W111" s="3299"/>
      <c r="X111" s="3299"/>
      <c r="Y111" s="3299"/>
      <c r="Z111" s="3299"/>
      <c r="AA111" s="3299"/>
      <c r="AB111" s="3299"/>
      <c r="AC111" s="3299"/>
    </row>
    <row r="112" spans="1:29" ht="15.75" thickBot="1">
      <c r="A112" s="3202"/>
      <c r="B112" s="3354"/>
      <c r="C112" s="3397">
        <v>100</v>
      </c>
      <c r="D112" s="3362">
        <f>C112+$K37</f>
        <v>102</v>
      </c>
      <c r="E112" s="3362">
        <f t="shared" ref="E112:M112" si="27">D112+$K37</f>
        <v>104</v>
      </c>
      <c r="F112" s="3362">
        <f t="shared" si="27"/>
        <v>106</v>
      </c>
      <c r="G112" s="3362">
        <f t="shared" si="27"/>
        <v>108</v>
      </c>
      <c r="H112" s="3362">
        <f t="shared" si="27"/>
        <v>110</v>
      </c>
      <c r="I112" s="3362">
        <f t="shared" si="27"/>
        <v>112</v>
      </c>
      <c r="J112" s="3362">
        <f t="shared" si="27"/>
        <v>114</v>
      </c>
      <c r="K112" s="3362">
        <f t="shared" si="27"/>
        <v>116</v>
      </c>
      <c r="L112" s="3362">
        <f t="shared" si="27"/>
        <v>118</v>
      </c>
      <c r="M112" s="3362">
        <f t="shared" si="27"/>
        <v>120</v>
      </c>
      <c r="N112" s="3348"/>
      <c r="O112" s="3348"/>
      <c r="P112" s="3325"/>
      <c r="Q112" s="3178"/>
      <c r="R112" s="3299"/>
      <c r="S112" s="3299"/>
      <c r="T112" s="3299"/>
      <c r="U112" s="3299"/>
      <c r="V112" s="3299"/>
      <c r="W112" s="3299"/>
      <c r="X112" s="3299"/>
      <c r="Y112" s="3299"/>
      <c r="Z112" s="3299"/>
      <c r="AA112" s="3299"/>
      <c r="AB112" s="3299"/>
      <c r="AC112" s="3299"/>
    </row>
    <row r="113" spans="1:29" s="3270" customFormat="1" ht="15" thickTop="1">
      <c r="A113" s="3262"/>
      <c r="B113" s="3349" t="s">
        <v>1824</v>
      </c>
      <c r="C113" s="3412" t="s">
        <v>3573</v>
      </c>
      <c r="D113" s="3365"/>
      <c r="E113" s="3365"/>
      <c r="F113" s="3365"/>
      <c r="G113" s="3365"/>
      <c r="H113" s="3350"/>
      <c r="I113" s="3350"/>
      <c r="J113" s="3350"/>
      <c r="K113" s="3351"/>
      <c r="L113" s="3352"/>
      <c r="M113" s="3353"/>
      <c r="N113" s="3204"/>
      <c r="O113" s="3204"/>
      <c r="P113" s="3369"/>
      <c r="Q113" s="3204"/>
      <c r="R113" s="3370"/>
      <c r="S113" s="3370"/>
      <c r="T113" s="3370"/>
      <c r="U113" s="3370"/>
      <c r="V113" s="3370"/>
      <c r="W113" s="3370"/>
      <c r="X113" s="3370"/>
      <c r="Y113" s="3370"/>
      <c r="Z113" s="3370"/>
      <c r="AA113" s="3370"/>
      <c r="AB113" s="3370"/>
      <c r="AC113" s="3370"/>
    </row>
    <row r="114" spans="1:29" s="3270" customFormat="1" ht="15.75" thickBot="1">
      <c r="A114" s="3364"/>
      <c r="B114" s="3354"/>
      <c r="C114" s="3362">
        <v>100</v>
      </c>
      <c r="D114" s="3362">
        <f>C114-$K38</f>
        <v>100</v>
      </c>
      <c r="E114" s="3362">
        <f t="shared" ref="E114:M114" si="28">D114-$K38</f>
        <v>100</v>
      </c>
      <c r="F114" s="3362">
        <f t="shared" si="28"/>
        <v>100</v>
      </c>
      <c r="G114" s="3362">
        <f t="shared" si="28"/>
        <v>100</v>
      </c>
      <c r="H114" s="3362">
        <f t="shared" si="28"/>
        <v>100</v>
      </c>
      <c r="I114" s="3362">
        <f t="shared" si="28"/>
        <v>100</v>
      </c>
      <c r="J114" s="3362">
        <f t="shared" si="28"/>
        <v>100</v>
      </c>
      <c r="K114" s="3362">
        <f t="shared" si="28"/>
        <v>100</v>
      </c>
      <c r="L114" s="3362">
        <f t="shared" si="28"/>
        <v>100</v>
      </c>
      <c r="M114" s="3362">
        <f t="shared" si="28"/>
        <v>100</v>
      </c>
      <c r="N114" s="3204"/>
      <c r="O114" s="3204"/>
      <c r="P114" s="3369"/>
      <c r="Q114" s="3204"/>
      <c r="R114" s="3370"/>
      <c r="S114" s="3370"/>
      <c r="T114" s="3370"/>
      <c r="U114" s="3370"/>
      <c r="V114" s="3370"/>
      <c r="W114" s="3370"/>
      <c r="X114" s="3370"/>
      <c r="Y114" s="3370"/>
      <c r="Z114" s="3370"/>
      <c r="AA114" s="3370"/>
      <c r="AB114" s="3370"/>
      <c r="AC114" s="3370"/>
    </row>
    <row r="115" spans="1:29" ht="15" thickTop="1">
      <c r="A115" s="3271"/>
      <c r="B115" s="3349" t="s">
        <v>1741</v>
      </c>
      <c r="C115" s="3412" t="s">
        <v>3575</v>
      </c>
      <c r="D115" s="3365"/>
      <c r="E115" s="3350"/>
      <c r="F115" s="3350"/>
      <c r="G115" s="3350"/>
      <c r="H115" s="3350"/>
      <c r="I115" s="3350"/>
      <c r="J115" s="3350"/>
      <c r="K115" s="3351"/>
      <c r="L115" s="3352"/>
      <c r="M115" s="3353"/>
      <c r="N115" s="3213"/>
      <c r="O115" s="3213"/>
      <c r="P115" s="3325"/>
      <c r="Q115" s="3178"/>
      <c r="R115" s="3299"/>
      <c r="S115" s="3299"/>
      <c r="T115" s="3299"/>
      <c r="U115" s="3299"/>
      <c r="V115" s="3299"/>
      <c r="W115" s="3299"/>
      <c r="X115" s="3299"/>
      <c r="Y115" s="3299"/>
      <c r="Z115" s="3299"/>
      <c r="AA115" s="3299"/>
      <c r="AB115" s="3299"/>
      <c r="AC115" s="3299"/>
    </row>
    <row r="116" spans="1:29" ht="15.75" thickBot="1">
      <c r="A116" s="3202"/>
      <c r="B116" s="3354"/>
      <c r="C116" s="3362">
        <v>100</v>
      </c>
      <c r="D116" s="3362">
        <f t="shared" ref="D116:M116" si="29">C116-$K39</f>
        <v>100</v>
      </c>
      <c r="E116" s="3362">
        <f t="shared" si="29"/>
        <v>100</v>
      </c>
      <c r="F116" s="3362">
        <f t="shared" si="29"/>
        <v>100</v>
      </c>
      <c r="G116" s="3362">
        <f t="shared" si="29"/>
        <v>100</v>
      </c>
      <c r="H116" s="3362">
        <f t="shared" si="29"/>
        <v>100</v>
      </c>
      <c r="I116" s="3362">
        <f t="shared" si="29"/>
        <v>100</v>
      </c>
      <c r="J116" s="3362">
        <f t="shared" si="29"/>
        <v>100</v>
      </c>
      <c r="K116" s="3362">
        <f t="shared" si="29"/>
        <v>100</v>
      </c>
      <c r="L116" s="3362">
        <f t="shared" si="29"/>
        <v>100</v>
      </c>
      <c r="M116" s="3363">
        <f t="shared" si="29"/>
        <v>100</v>
      </c>
      <c r="N116" s="3348"/>
      <c r="O116" s="3348"/>
      <c r="P116" s="3325"/>
      <c r="Q116" s="3178"/>
      <c r="R116" s="3299"/>
      <c r="S116" s="3299"/>
      <c r="T116" s="3299"/>
      <c r="U116" s="3299"/>
      <c r="V116" s="3299"/>
      <c r="W116" s="3299"/>
      <c r="X116" s="3299"/>
      <c r="Y116" s="3299"/>
      <c r="Z116" s="3299"/>
      <c r="AA116" s="3299"/>
      <c r="AB116" s="3299"/>
      <c r="AC116" s="3299"/>
    </row>
    <row r="117" spans="1:29" ht="15" thickTop="1">
      <c r="A117" s="3271"/>
      <c r="B117" s="3349" t="s">
        <v>1742</v>
      </c>
      <c r="C117" s="3412" t="s">
        <v>3525</v>
      </c>
      <c r="D117" s="3412" t="s">
        <v>3564</v>
      </c>
      <c r="E117" s="3412" t="s">
        <v>3565</v>
      </c>
      <c r="F117" s="3412" t="s">
        <v>3566</v>
      </c>
      <c r="G117" s="3412" t="s">
        <v>3567</v>
      </c>
      <c r="H117" s="3350"/>
      <c r="I117" s="3350"/>
      <c r="J117" s="3350"/>
      <c r="K117" s="3351"/>
      <c r="L117" s="3352"/>
      <c r="M117" s="3353"/>
      <c r="N117" s="3213"/>
      <c r="O117" s="3213"/>
      <c r="P117" s="3325"/>
      <c r="Q117" s="3178"/>
      <c r="R117" s="3299"/>
      <c r="S117" s="3299"/>
      <c r="T117" s="3299"/>
      <c r="U117" s="3299"/>
      <c r="V117" s="3299"/>
      <c r="W117" s="3299"/>
      <c r="X117" s="3299"/>
      <c r="Y117" s="3299"/>
      <c r="Z117" s="3299"/>
      <c r="AA117" s="3299"/>
      <c r="AB117" s="3299"/>
      <c r="AC117" s="3299"/>
    </row>
    <row r="118" spans="1:29" ht="15.75" thickBot="1">
      <c r="A118" s="3202"/>
      <c r="B118" s="3354"/>
      <c r="C118" s="3362">
        <v>100</v>
      </c>
      <c r="D118" s="3362">
        <f>C118-$K40</f>
        <v>100</v>
      </c>
      <c r="E118" s="3362">
        <f>D118-$K40</f>
        <v>100</v>
      </c>
      <c r="F118" s="3362">
        <f>E118-$K40</f>
        <v>100</v>
      </c>
      <c r="G118" s="3362">
        <f>F118-$K40</f>
        <v>100</v>
      </c>
      <c r="H118" s="3362"/>
      <c r="I118" s="3362"/>
      <c r="J118" s="3362"/>
      <c r="K118" s="3362"/>
      <c r="L118" s="3362"/>
      <c r="M118" s="3363"/>
      <c r="N118" s="3348"/>
      <c r="O118" s="3348"/>
      <c r="P118" s="3325"/>
      <c r="Q118" s="3178"/>
      <c r="R118" s="3299"/>
      <c r="S118" s="3299"/>
      <c r="T118" s="3299"/>
      <c r="U118" s="3299"/>
      <c r="V118" s="3299"/>
      <c r="W118" s="3299"/>
      <c r="X118" s="3299"/>
      <c r="Y118" s="3299"/>
      <c r="Z118" s="3299"/>
      <c r="AA118" s="3299"/>
      <c r="AB118" s="3299"/>
      <c r="AC118" s="3299"/>
    </row>
    <row r="119" spans="1:29" ht="15" thickTop="1">
      <c r="A119" s="3271"/>
      <c r="B119" s="3417" t="s">
        <v>1825</v>
      </c>
      <c r="C119" s="3350" t="str">
        <f>'比较法-商业租金'!C116</f>
        <v>4.4-4.6</v>
      </c>
      <c r="D119" s="3350" t="str">
        <f>'比较法-商业租金'!D116</f>
        <v>4.1-4.3</v>
      </c>
      <c r="E119" s="3350" t="str">
        <f>'比较法-商业租金'!E116</f>
        <v>3.8-4</v>
      </c>
      <c r="F119" s="3350" t="str">
        <f>'比较法-商业租金'!F116</f>
        <v>3.5-3.7</v>
      </c>
      <c r="G119" s="3350"/>
      <c r="H119" s="3350"/>
      <c r="I119" s="3350"/>
      <c r="J119" s="3350"/>
      <c r="K119" s="3350"/>
      <c r="L119" s="3418"/>
      <c r="M119" s="3419"/>
      <c r="N119" s="3348"/>
      <c r="O119" s="3348"/>
      <c r="P119" s="3420"/>
      <c r="Q119" s="3348"/>
      <c r="R119" s="3299"/>
      <c r="S119" s="3299"/>
      <c r="T119" s="3299"/>
      <c r="U119" s="3299"/>
      <c r="V119" s="3299"/>
      <c r="W119" s="3299"/>
      <c r="X119" s="3299"/>
      <c r="Y119" s="3299"/>
      <c r="Z119" s="3299"/>
      <c r="AA119" s="3299"/>
      <c r="AB119" s="3299"/>
      <c r="AC119" s="3299"/>
    </row>
    <row r="120" spans="1:29" ht="15.75" thickBot="1">
      <c r="A120" s="3202"/>
      <c r="B120" s="3354"/>
      <c r="C120" s="3397">
        <v>100</v>
      </c>
      <c r="D120" s="3362">
        <f>C120-$K41</f>
        <v>98</v>
      </c>
      <c r="E120" s="3362">
        <f t="shared" ref="E120:M120" si="30">D120-$K41</f>
        <v>96</v>
      </c>
      <c r="F120" s="3362">
        <f t="shared" si="30"/>
        <v>94</v>
      </c>
      <c r="G120" s="3362">
        <f t="shared" si="30"/>
        <v>92</v>
      </c>
      <c r="H120" s="3362">
        <f t="shared" si="30"/>
        <v>90</v>
      </c>
      <c r="I120" s="3362">
        <f t="shared" si="30"/>
        <v>88</v>
      </c>
      <c r="J120" s="3362">
        <f t="shared" si="30"/>
        <v>86</v>
      </c>
      <c r="K120" s="3362">
        <f t="shared" si="30"/>
        <v>84</v>
      </c>
      <c r="L120" s="3362">
        <f t="shared" si="30"/>
        <v>82</v>
      </c>
      <c r="M120" s="3362">
        <f t="shared" si="30"/>
        <v>80</v>
      </c>
      <c r="N120" s="3348"/>
      <c r="O120" s="3348"/>
      <c r="P120" s="3325"/>
      <c r="Q120" s="3178"/>
      <c r="R120" s="3299"/>
      <c r="S120" s="3299"/>
      <c r="T120" s="3299"/>
      <c r="U120" s="3299"/>
      <c r="V120" s="3299"/>
      <c r="W120" s="3299"/>
      <c r="X120" s="3299"/>
      <c r="Y120" s="3299"/>
      <c r="Z120" s="3299"/>
      <c r="AA120" s="3299"/>
      <c r="AB120" s="3299"/>
      <c r="AC120" s="3299"/>
    </row>
    <row r="121" spans="1:29" s="3270" customFormat="1" ht="15" thickTop="1">
      <c r="A121" s="3262"/>
      <c r="B121" s="3349" t="s">
        <v>1808</v>
      </c>
      <c r="C121" s="3365">
        <f>C42</f>
        <v>343.31</v>
      </c>
      <c r="D121" s="3365">
        <f>E42</f>
        <v>0</v>
      </c>
      <c r="E121" s="3365">
        <f>G42</f>
        <v>0</v>
      </c>
      <c r="F121" s="3350">
        <f>I42</f>
        <v>0</v>
      </c>
      <c r="G121" s="3366" t="str">
        <f>'比较法-商业租金'!G118</f>
        <v>100以下</v>
      </c>
      <c r="H121" s="3366" t="str">
        <f>'比较法-商业租金'!H118</f>
        <v>100-300</v>
      </c>
      <c r="I121" s="3366" t="str">
        <f>'比较法-商业租金'!I118</f>
        <v>300-500</v>
      </c>
      <c r="J121" s="3366" t="str">
        <f>'比较法-商业租金'!J118</f>
        <v>500以上</v>
      </c>
      <c r="K121" s="3366"/>
      <c r="L121" s="3367"/>
      <c r="M121" s="3368"/>
      <c r="N121" s="3204"/>
      <c r="O121" s="3204"/>
      <c r="P121" s="3369"/>
      <c r="Q121" s="3204"/>
      <c r="R121" s="3370"/>
      <c r="S121" s="3370"/>
      <c r="T121" s="3370"/>
      <c r="U121" s="3370"/>
      <c r="V121" s="3370"/>
      <c r="W121" s="3370"/>
      <c r="X121" s="3370"/>
      <c r="Y121" s="3370"/>
      <c r="Z121" s="3370"/>
      <c r="AA121" s="3370"/>
      <c r="AB121" s="3370"/>
      <c r="AC121" s="3370"/>
    </row>
    <row r="122" spans="1:29" s="3270" customFormat="1" ht="15.75" thickBot="1">
      <c r="A122" s="3364"/>
      <c r="B122" s="3345"/>
      <c r="C122" s="3371">
        <v>100</v>
      </c>
      <c r="D122" s="3371">
        <v>100</v>
      </c>
      <c r="E122" s="3371">
        <v>96</v>
      </c>
      <c r="F122" s="3371">
        <v>100</v>
      </c>
      <c r="G122" s="3371"/>
      <c r="H122" s="3371"/>
      <c r="I122" s="3371"/>
      <c r="J122" s="3371"/>
      <c r="K122" s="3371"/>
      <c r="L122" s="3371"/>
      <c r="M122" s="3371"/>
      <c r="N122" s="3204"/>
      <c r="O122" s="3204"/>
      <c r="P122" s="3369"/>
      <c r="Q122" s="3204"/>
      <c r="R122" s="3370"/>
      <c r="S122" s="3370"/>
      <c r="T122" s="3370"/>
      <c r="U122" s="3370"/>
      <c r="V122" s="3370"/>
      <c r="W122" s="3370"/>
      <c r="X122" s="3370"/>
      <c r="Y122" s="3370"/>
      <c r="Z122" s="3370"/>
      <c r="AA122" s="3370"/>
      <c r="AB122" s="3370"/>
      <c r="AC122" s="3370"/>
    </row>
    <row r="123" spans="1:29" ht="15" thickTop="1">
      <c r="A123" s="3271"/>
      <c r="B123" s="3349" t="s">
        <v>1744</v>
      </c>
      <c r="C123" s="3365" t="str">
        <f>'比较法-商业租金'!C122</f>
        <v>精装修</v>
      </c>
      <c r="D123" s="3365" t="str">
        <f>'比较法-商业租金'!D122</f>
        <v>普通装修</v>
      </c>
      <c r="E123" s="3365" t="str">
        <f>'比较法-商业租金'!E122</f>
        <v>毛坯</v>
      </c>
      <c r="F123" s="3350"/>
      <c r="G123" s="3350"/>
      <c r="H123" s="3350"/>
      <c r="I123" s="3350"/>
      <c r="J123" s="3350"/>
      <c r="K123" s="3351"/>
      <c r="L123" s="3352"/>
      <c r="M123" s="3353"/>
      <c r="N123" s="3213"/>
      <c r="O123" s="3213"/>
      <c r="P123" s="3325"/>
      <c r="Q123" s="3178"/>
      <c r="R123" s="3299"/>
      <c r="S123" s="3299"/>
      <c r="T123" s="3299"/>
      <c r="U123" s="3299"/>
      <c r="V123" s="3299"/>
      <c r="W123" s="3299"/>
      <c r="X123" s="3299"/>
      <c r="Y123" s="3299"/>
      <c r="Z123" s="3299"/>
      <c r="AA123" s="3299"/>
      <c r="AB123" s="3299"/>
      <c r="AC123" s="3299"/>
    </row>
    <row r="124" spans="1:29" ht="15.75" thickBot="1">
      <c r="A124" s="3202"/>
      <c r="B124" s="3354"/>
      <c r="C124" s="3362">
        <v>100</v>
      </c>
      <c r="D124" s="3362">
        <f t="shared" ref="D124:M124" si="31">C124-$K43</f>
        <v>100</v>
      </c>
      <c r="E124" s="3362">
        <f t="shared" si="31"/>
        <v>100</v>
      </c>
      <c r="F124" s="3362">
        <f t="shared" si="31"/>
        <v>100</v>
      </c>
      <c r="G124" s="3362">
        <f t="shared" si="31"/>
        <v>100</v>
      </c>
      <c r="H124" s="3362">
        <f t="shared" si="31"/>
        <v>100</v>
      </c>
      <c r="I124" s="3362">
        <f t="shared" si="31"/>
        <v>100</v>
      </c>
      <c r="J124" s="3362">
        <f t="shared" si="31"/>
        <v>100</v>
      </c>
      <c r="K124" s="3362">
        <f t="shared" si="31"/>
        <v>100</v>
      </c>
      <c r="L124" s="3362">
        <f t="shared" si="31"/>
        <v>100</v>
      </c>
      <c r="M124" s="3363">
        <f t="shared" si="31"/>
        <v>100</v>
      </c>
      <c r="N124" s="3348"/>
      <c r="O124" s="3348"/>
      <c r="P124" s="3325"/>
      <c r="Q124" s="3178"/>
      <c r="R124" s="3299"/>
      <c r="S124" s="3299"/>
      <c r="T124" s="3299"/>
      <c r="U124" s="3299"/>
      <c r="V124" s="3299"/>
      <c r="W124" s="3299"/>
      <c r="X124" s="3299"/>
      <c r="Y124" s="3299"/>
      <c r="Z124" s="3299"/>
      <c r="AA124" s="3299"/>
      <c r="AB124" s="3299"/>
      <c r="AC124" s="3299"/>
    </row>
    <row r="125" spans="1:29" ht="15" thickTop="1">
      <c r="A125" s="3271"/>
      <c r="B125" s="3349" t="s">
        <v>1745</v>
      </c>
      <c r="C125" s="3388" t="s">
        <v>1721</v>
      </c>
      <c r="D125" s="3388" t="s">
        <v>1722</v>
      </c>
      <c r="E125" s="3388" t="s">
        <v>1723</v>
      </c>
      <c r="F125" s="3388" t="s">
        <v>1724</v>
      </c>
      <c r="G125" s="3388" t="s">
        <v>1725</v>
      </c>
      <c r="H125" s="3389"/>
      <c r="I125" s="3389"/>
      <c r="J125" s="3389"/>
      <c r="K125" s="3390"/>
      <c r="L125" s="3391"/>
      <c r="M125" s="3392"/>
      <c r="N125" s="3213"/>
      <c r="O125" s="3213"/>
      <c r="P125" s="3369"/>
      <c r="Q125" s="3178"/>
      <c r="R125" s="3299"/>
      <c r="S125" s="3299"/>
      <c r="T125" s="3299"/>
      <c r="U125" s="3299"/>
      <c r="V125" s="3299"/>
      <c r="W125" s="3299"/>
      <c r="X125" s="3299"/>
      <c r="Y125" s="3299"/>
      <c r="Z125" s="3299"/>
      <c r="AA125" s="3299"/>
      <c r="AB125" s="3299"/>
      <c r="AC125" s="3299"/>
    </row>
    <row r="126" spans="1:29" ht="15.75" thickBot="1">
      <c r="A126" s="3202"/>
      <c r="B126" s="3354"/>
      <c r="C126" s="3362">
        <v>100</v>
      </c>
      <c r="D126" s="3362">
        <f>C126-$K44</f>
        <v>100</v>
      </c>
      <c r="E126" s="3362">
        <f>D126-$K44</f>
        <v>100</v>
      </c>
      <c r="F126" s="3362">
        <f>E126-$K44</f>
        <v>100</v>
      </c>
      <c r="G126" s="3362">
        <f>F126-$K44</f>
        <v>100</v>
      </c>
      <c r="H126" s="3362"/>
      <c r="I126" s="3362"/>
      <c r="J126" s="3362"/>
      <c r="K126" s="3362"/>
      <c r="L126" s="3362"/>
      <c r="M126" s="3363"/>
      <c r="N126" s="3348"/>
      <c r="O126" s="3348"/>
      <c r="P126" s="3325"/>
      <c r="Q126" s="3178"/>
      <c r="R126" s="3299"/>
      <c r="S126" s="3299"/>
      <c r="T126" s="3299"/>
      <c r="U126" s="3299"/>
      <c r="V126" s="3299"/>
      <c r="W126" s="3299"/>
      <c r="X126" s="3299"/>
      <c r="Y126" s="3299"/>
      <c r="Z126" s="3299"/>
      <c r="AA126" s="3299"/>
      <c r="AB126" s="3299"/>
      <c r="AC126" s="3299"/>
    </row>
    <row r="127" spans="1:29" s="3270" customFormat="1" ht="15" thickTop="1">
      <c r="A127" s="3262"/>
      <c r="B127" s="3349">
        <f>B45</f>
        <v>111</v>
      </c>
      <c r="C127" s="3365"/>
      <c r="D127" s="3365"/>
      <c r="E127" s="3365"/>
      <c r="F127" s="3365"/>
      <c r="G127" s="3365"/>
      <c r="H127" s="3366"/>
      <c r="I127" s="3366"/>
      <c r="J127" s="3366"/>
      <c r="K127" s="3366"/>
      <c r="L127" s="3367"/>
      <c r="M127" s="3368"/>
      <c r="N127" s="3204"/>
      <c r="O127" s="3204"/>
      <c r="P127" s="3369"/>
      <c r="Q127" s="3204"/>
      <c r="R127" s="3370"/>
      <c r="S127" s="3370"/>
      <c r="T127" s="3370"/>
      <c r="U127" s="3370"/>
      <c r="V127" s="3370"/>
      <c r="W127" s="3370"/>
      <c r="X127" s="3370"/>
      <c r="Y127" s="3370"/>
      <c r="Z127" s="3370"/>
      <c r="AA127" s="3370"/>
      <c r="AB127" s="3370"/>
      <c r="AC127" s="3370"/>
    </row>
    <row r="128" spans="1:29" s="3270" customFormat="1" ht="15.75" thickBot="1">
      <c r="A128" s="3364"/>
      <c r="B128" s="3354"/>
      <c r="C128" s="3371"/>
      <c r="D128" s="3346"/>
      <c r="E128" s="3346"/>
      <c r="F128" s="3346"/>
      <c r="G128" s="3371"/>
      <c r="H128" s="3373"/>
      <c r="I128" s="3373"/>
      <c r="J128" s="3373"/>
      <c r="K128" s="3373"/>
      <c r="L128" s="3373"/>
      <c r="M128" s="3374"/>
      <c r="N128" s="3204"/>
      <c r="O128" s="3204"/>
      <c r="P128" s="3369"/>
      <c r="Q128" s="3204"/>
      <c r="R128" s="3370"/>
      <c r="S128" s="3370"/>
      <c r="T128" s="3370"/>
      <c r="U128" s="3370"/>
      <c r="V128" s="3370"/>
      <c r="W128" s="3370"/>
      <c r="X128" s="3370"/>
      <c r="Y128" s="3370"/>
      <c r="Z128" s="3370"/>
      <c r="AA128" s="3370"/>
      <c r="AB128" s="3370"/>
      <c r="AC128" s="3370"/>
    </row>
    <row r="129" spans="1:29" ht="15" thickTop="1">
      <c r="A129" s="3271"/>
      <c r="B129" s="3349">
        <f>B46</f>
        <v>111</v>
      </c>
      <c r="C129" s="3365"/>
      <c r="D129" s="3365"/>
      <c r="E129" s="3365"/>
      <c r="F129" s="3365"/>
      <c r="G129" s="3350"/>
      <c r="H129" s="3350"/>
      <c r="I129" s="3350"/>
      <c r="J129" s="3350"/>
      <c r="K129" s="3351"/>
      <c r="L129" s="3352"/>
      <c r="M129" s="3353"/>
      <c r="N129" s="3213"/>
      <c r="O129" s="3213"/>
      <c r="P129" s="3325"/>
      <c r="Q129" s="3178"/>
      <c r="R129" s="3299"/>
      <c r="S129" s="3299"/>
      <c r="T129" s="3299"/>
      <c r="U129" s="3299"/>
      <c r="V129" s="3299"/>
      <c r="W129" s="3299"/>
      <c r="X129" s="3299"/>
      <c r="Y129" s="3299"/>
      <c r="Z129" s="3299"/>
      <c r="AA129" s="3299"/>
      <c r="AB129" s="3299"/>
      <c r="AC129" s="3299"/>
    </row>
    <row r="130" spans="1:29" ht="15.75" thickBot="1">
      <c r="A130" s="3202"/>
      <c r="B130" s="3354"/>
      <c r="C130" s="3371"/>
      <c r="D130" s="3371"/>
      <c r="E130" s="3371"/>
      <c r="F130" s="3371"/>
      <c r="G130" s="3346"/>
      <c r="H130" s="3346"/>
      <c r="I130" s="3346"/>
      <c r="J130" s="3346"/>
      <c r="K130" s="3346"/>
      <c r="L130" s="3346"/>
      <c r="M130" s="3347"/>
      <c r="N130" s="3348"/>
      <c r="O130" s="3348"/>
      <c r="P130" s="3325"/>
      <c r="Q130" s="3178"/>
      <c r="R130" s="3299"/>
      <c r="S130" s="3299"/>
      <c r="T130" s="3299"/>
      <c r="U130" s="3299"/>
      <c r="V130" s="3299"/>
      <c r="W130" s="3299"/>
      <c r="X130" s="3299"/>
      <c r="Y130" s="3299"/>
      <c r="Z130" s="3299"/>
      <c r="AA130" s="3299"/>
      <c r="AB130" s="3299"/>
      <c r="AC130" s="3299"/>
    </row>
    <row r="131" spans="1:29" ht="15" thickTop="1">
      <c r="A131" s="3271"/>
      <c r="B131" s="3355">
        <f>B47</f>
        <v>111</v>
      </c>
      <c r="C131" s="3333"/>
      <c r="D131" s="3333"/>
      <c r="E131" s="3333"/>
      <c r="F131" s="3333"/>
      <c r="G131" s="3399"/>
      <c r="H131" s="3399"/>
      <c r="I131" s="3399"/>
      <c r="J131" s="3399"/>
      <c r="K131" s="3333"/>
      <c r="L131" s="3334"/>
      <c r="M131" s="3402"/>
      <c r="N131" s="3213"/>
      <c r="O131" s="3213"/>
      <c r="P131" s="3325"/>
      <c r="Q131" s="3178"/>
      <c r="R131" s="3299"/>
      <c r="S131" s="3299"/>
      <c r="T131" s="3299"/>
      <c r="U131" s="3299"/>
      <c r="V131" s="3299"/>
      <c r="W131" s="3299"/>
      <c r="X131" s="3299"/>
      <c r="Y131" s="3299"/>
      <c r="Z131" s="3299"/>
      <c r="AA131" s="3299"/>
      <c r="AB131" s="3299"/>
      <c r="AC131" s="3299"/>
    </row>
    <row r="132" spans="1:29" ht="15.75" thickBot="1">
      <c r="A132" s="3214"/>
      <c r="B132" s="3380"/>
      <c r="C132" s="3381"/>
      <c r="D132" s="3381"/>
      <c r="E132" s="3381"/>
      <c r="F132" s="3381"/>
      <c r="G132" s="3403"/>
      <c r="H132" s="3403"/>
      <c r="I132" s="3403"/>
      <c r="J132" s="3403"/>
      <c r="K132" s="3403"/>
      <c r="L132" s="3403"/>
      <c r="M132" s="3404"/>
      <c r="N132" s="3348"/>
      <c r="O132" s="3348"/>
      <c r="P132" s="3325"/>
      <c r="Q132" s="3178"/>
      <c r="R132" s="3299"/>
      <c r="S132" s="3299"/>
      <c r="T132" s="3299"/>
      <c r="U132" s="3299"/>
      <c r="V132" s="3299"/>
      <c r="W132" s="3299"/>
      <c r="X132" s="3299"/>
      <c r="Y132" s="3299"/>
      <c r="Z132" s="3299"/>
      <c r="AA132" s="3299"/>
      <c r="AB132" s="3299"/>
      <c r="AC132" s="32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634" customWidth="1"/>
    <col min="2" max="9" width="15.75" style="3634" customWidth="1"/>
    <col min="10" max="16384" width="9" style="3634"/>
  </cols>
  <sheetData>
    <row r="1" spans="1:11" ht="16.5">
      <c r="A1" s="3630" t="s">
        <v>665</v>
      </c>
      <c r="B1" s="3630">
        <f>SUM(B14:B23)</f>
        <v>343.31</v>
      </c>
      <c r="C1" s="3631"/>
      <c r="D1" s="3631"/>
      <c r="E1" s="3631"/>
      <c r="F1" s="3631"/>
      <c r="G1" s="3632"/>
      <c r="H1" s="3633"/>
      <c r="I1" s="3633"/>
      <c r="J1" s="3633"/>
      <c r="K1" s="3633"/>
    </row>
    <row r="2" spans="1:11" ht="16.5">
      <c r="A2" s="3630" t="s">
        <v>653</v>
      </c>
      <c r="B2" s="3630">
        <f>SUM(C14:C23)</f>
        <v>0</v>
      </c>
      <c r="C2" s="3631"/>
      <c r="D2" s="3631"/>
      <c r="E2" s="3631"/>
      <c r="F2" s="3631"/>
      <c r="G2" s="3632"/>
      <c r="H2" s="3633"/>
      <c r="I2" s="3633"/>
      <c r="J2" s="3633"/>
      <c r="K2" s="3633"/>
    </row>
    <row r="3" spans="1:11" ht="16.5">
      <c r="A3" s="3630" t="s">
        <v>662</v>
      </c>
      <c r="B3" s="2237">
        <f>项目基本情况!D3</f>
        <v>45142</v>
      </c>
      <c r="C3" s="3631"/>
      <c r="D3" s="3631"/>
      <c r="E3" s="3631"/>
      <c r="F3" s="3631"/>
      <c r="G3" s="3632"/>
      <c r="H3" s="3633"/>
      <c r="I3" s="3633"/>
      <c r="J3" s="3633"/>
      <c r="K3" s="3633"/>
    </row>
    <row r="4" spans="1:11" ht="33">
      <c r="A4" s="3630" t="s">
        <v>661</v>
      </c>
      <c r="B4" s="3630" t="s">
        <v>660</v>
      </c>
      <c r="C4" s="3630" t="s">
        <v>659</v>
      </c>
      <c r="D4" s="3630" t="s">
        <v>658</v>
      </c>
      <c r="E4" s="3631"/>
      <c r="F4" s="3632"/>
      <c r="G4" s="3632"/>
      <c r="H4" s="3633"/>
      <c r="I4" s="3633"/>
      <c r="J4" s="3633"/>
      <c r="K4" s="3633"/>
    </row>
    <row r="5" spans="1:11" ht="16.5">
      <c r="A5" s="3630" t="s">
        <v>657</v>
      </c>
      <c r="B5" s="3630">
        <f>SUM(D14:D23)</f>
        <v>962.77859999999998</v>
      </c>
      <c r="C5" s="3630" t="e">
        <f ca="1">IF(B5=D14,结果表!H102,ROUND(B5*10000/$B$1,0))</f>
        <v>#REF!</v>
      </c>
      <c r="D5" s="3630" t="e">
        <f>ROUND(B5*10000/$B$2,0)</f>
        <v>#DIV/0!</v>
      </c>
      <c r="E5" s="3631"/>
      <c r="F5" s="3632"/>
      <c r="G5" s="3632"/>
      <c r="H5" s="3633"/>
      <c r="I5" s="3633"/>
      <c r="J5" s="3633"/>
      <c r="K5" s="3633"/>
    </row>
    <row r="6" spans="1:11" ht="16.5">
      <c r="A6" s="3630" t="s">
        <v>656</v>
      </c>
      <c r="B6" s="3630">
        <f>SUM(G14:G23)</f>
        <v>0</v>
      </c>
      <c r="C6" s="3630" t="e">
        <f ca="1">IF(B6=G14,结果表!H108,ROUND(B6*10000/$B$1,0))</f>
        <v>#REF!</v>
      </c>
      <c r="D6" s="3630" t="e">
        <f>ROUND(B6*10000/$B$2,0)</f>
        <v>#DIV/0!</v>
      </c>
      <c r="E6" s="3631"/>
      <c r="F6" s="3632"/>
      <c r="G6" s="3632"/>
      <c r="H6" s="3633"/>
      <c r="I6" s="3633"/>
      <c r="J6" s="3633"/>
      <c r="K6" s="3633"/>
    </row>
    <row r="7" spans="1:11" ht="16.5">
      <c r="A7" s="3630" t="s">
        <v>664</v>
      </c>
      <c r="B7" s="3630">
        <f>SUM(H14:H23)</f>
        <v>0</v>
      </c>
      <c r="C7" s="3630" t="str">
        <f>IF(B7=H14,结果表!H110,ROUND(B7*10000/$B$1,0))</f>
        <v>——</v>
      </c>
      <c r="D7" s="3630" t="e">
        <f>ROUND(B7*10000/$B$2,0)</f>
        <v>#DIV/0!</v>
      </c>
      <c r="E7" s="3631"/>
      <c r="F7" s="3632"/>
      <c r="G7" s="3632"/>
      <c r="H7" s="3633"/>
      <c r="I7" s="3633"/>
      <c r="J7" s="3633"/>
      <c r="K7" s="3633"/>
    </row>
    <row r="8" spans="1:11" ht="16.5">
      <c r="A8" s="3630" t="s">
        <v>587</v>
      </c>
      <c r="B8" s="3630">
        <f>SUM(I14:I23)</f>
        <v>0</v>
      </c>
      <c r="C8" s="3630" t="str">
        <f>IF(B8=I14,结果表!H112,ROUND(B8*10000/$B$1,0))</f>
        <v>——</v>
      </c>
      <c r="D8" s="3630" t="e">
        <f>ROUND(B8*10000/$B$2,0)</f>
        <v>#DIV/0!</v>
      </c>
      <c r="E8" s="3631"/>
      <c r="F8" s="3632"/>
      <c r="G8" s="3632"/>
      <c r="H8" s="3633"/>
      <c r="I8" s="3633"/>
      <c r="J8" s="3633"/>
      <c r="K8" s="3633"/>
    </row>
    <row r="9" spans="1:11" ht="16.5">
      <c r="A9" s="3630" t="s">
        <v>655</v>
      </c>
      <c r="B9" s="3635"/>
      <c r="C9" s="3631"/>
      <c r="D9" s="3631"/>
      <c r="E9" s="3631"/>
      <c r="F9" s="3632"/>
      <c r="G9" s="3632"/>
      <c r="H9" s="3633"/>
      <c r="I9" s="3633"/>
      <c r="J9" s="3633"/>
      <c r="K9" s="3633"/>
    </row>
    <row r="10" spans="1:11" ht="16.5">
      <c r="A10" s="3630" t="s">
        <v>654</v>
      </c>
      <c r="B10" s="3645">
        <v>2285.13</v>
      </c>
      <c r="C10" s="3630" t="s">
        <v>3353</v>
      </c>
      <c r="D10" s="3630" t="s">
        <v>3354</v>
      </c>
      <c r="E10" s="3636"/>
      <c r="F10" s="3637" t="s">
        <v>3355</v>
      </c>
      <c r="G10" s="3638"/>
      <c r="H10" s="3633"/>
      <c r="I10" s="3633"/>
      <c r="J10" s="3633"/>
      <c r="K10" s="3633"/>
    </row>
    <row r="11" spans="1:11" ht="16.5">
      <c r="A11" s="3630" t="s">
        <v>670</v>
      </c>
      <c r="B11" s="3635"/>
      <c r="C11" s="3631"/>
      <c r="D11" s="3631"/>
      <c r="E11" s="3631"/>
      <c r="F11" s="3632"/>
      <c r="G11" s="3632"/>
      <c r="H11" s="3633"/>
      <c r="I11" s="3633"/>
      <c r="J11" s="3633"/>
      <c r="K11" s="3633"/>
    </row>
    <row r="12" spans="1:11" ht="16.5">
      <c r="A12" s="3631"/>
      <c r="B12" s="3631"/>
      <c r="C12" s="3631"/>
      <c r="D12" s="3631"/>
      <c r="E12" s="3631"/>
      <c r="F12" s="3632"/>
      <c r="G12" s="3632"/>
      <c r="H12" s="3633"/>
      <c r="I12" s="3633"/>
      <c r="J12" s="3633"/>
      <c r="K12" s="3633"/>
    </row>
    <row r="13" spans="1:11" ht="33">
      <c r="A13" s="3639" t="s">
        <v>669</v>
      </c>
      <c r="B13" s="3640" t="s">
        <v>666</v>
      </c>
      <c r="C13" s="3640" t="s">
        <v>668</v>
      </c>
      <c r="D13" s="3640" t="s">
        <v>667</v>
      </c>
      <c r="E13" s="3630" t="s">
        <v>659</v>
      </c>
      <c r="F13" s="3630" t="s">
        <v>658</v>
      </c>
      <c r="G13" s="3640" t="s">
        <v>652</v>
      </c>
      <c r="H13" s="3640" t="s">
        <v>663</v>
      </c>
      <c r="I13" s="3640" t="s">
        <v>651</v>
      </c>
      <c r="J13" s="3632"/>
      <c r="K13" s="3633"/>
    </row>
    <row r="14" spans="1:11" ht="16.5">
      <c r="A14" s="3641" t="s">
        <v>650</v>
      </c>
      <c r="B14" s="3642">
        <f>收益法倒推!I3</f>
        <v>343.31</v>
      </c>
      <c r="C14" s="3642"/>
      <c r="D14" s="3646">
        <f>收益法倒推!C3/10000</f>
        <v>962.77859999999998</v>
      </c>
      <c r="E14" s="3642">
        <f>ROUND(D14*10000/B14,0)</f>
        <v>28044</v>
      </c>
      <c r="F14" s="3642" t="e">
        <f>ROUND(D14*10000/C14,0)</f>
        <v>#DIV/0!</v>
      </c>
      <c r="G14" s="3642"/>
      <c r="H14" s="3642"/>
      <c r="I14" s="3642"/>
      <c r="J14" s="3632"/>
      <c r="K14" s="3633"/>
    </row>
    <row r="15" spans="1:11" ht="16.5">
      <c r="A15" s="3641" t="s">
        <v>649</v>
      </c>
      <c r="B15" s="3643"/>
      <c r="C15" s="3643"/>
      <c r="D15" s="3643"/>
      <c r="E15" s="3642" t="e">
        <f t="shared" ref="E15:E23" si="0">ROUND(D15*10000/B15,0)</f>
        <v>#DIV/0!</v>
      </c>
      <c r="F15" s="3642" t="e">
        <f t="shared" ref="F15:F23" si="1">ROUND(D15*10000/C15,0)</f>
        <v>#DIV/0!</v>
      </c>
      <c r="G15" s="3644"/>
      <c r="H15" s="3644"/>
      <c r="I15" s="3643"/>
      <c r="J15" s="3632"/>
      <c r="K15" s="3633"/>
    </row>
    <row r="16" spans="1:11" ht="16.5">
      <c r="A16" s="3641" t="s">
        <v>648</v>
      </c>
      <c r="B16" s="3643"/>
      <c r="C16" s="3643"/>
      <c r="D16" s="3643"/>
      <c r="E16" s="3642" t="e">
        <f t="shared" si="0"/>
        <v>#DIV/0!</v>
      </c>
      <c r="F16" s="3642" t="e">
        <f t="shared" si="1"/>
        <v>#DIV/0!</v>
      </c>
      <c r="G16" s="3644"/>
      <c r="H16" s="3644"/>
      <c r="I16" s="3643"/>
      <c r="J16" s="3633"/>
      <c r="K16" s="3633"/>
    </row>
    <row r="17" spans="1:11" ht="16.5">
      <c r="A17" s="3641" t="s">
        <v>647</v>
      </c>
      <c r="B17" s="3643"/>
      <c r="C17" s="3643"/>
      <c r="D17" s="3643"/>
      <c r="E17" s="3642" t="e">
        <f t="shared" si="0"/>
        <v>#DIV/0!</v>
      </c>
      <c r="F17" s="3642" t="e">
        <f t="shared" si="1"/>
        <v>#DIV/0!</v>
      </c>
      <c r="G17" s="3644"/>
      <c r="H17" s="3644"/>
      <c r="I17" s="3643"/>
      <c r="J17" s="3633"/>
      <c r="K17" s="3633"/>
    </row>
    <row r="18" spans="1:11" ht="16.5">
      <c r="A18" s="3641" t="s">
        <v>646</v>
      </c>
      <c r="B18" s="3643"/>
      <c r="C18" s="3643"/>
      <c r="D18" s="3643"/>
      <c r="E18" s="3642" t="e">
        <f t="shared" si="0"/>
        <v>#DIV/0!</v>
      </c>
      <c r="F18" s="3642" t="e">
        <f t="shared" si="1"/>
        <v>#DIV/0!</v>
      </c>
      <c r="G18" s="3643"/>
      <c r="H18" s="3643"/>
      <c r="I18" s="3643"/>
      <c r="J18" s="3633"/>
      <c r="K18" s="3633"/>
    </row>
    <row r="19" spans="1:11" ht="16.5">
      <c r="A19" s="3641" t="s">
        <v>645</v>
      </c>
      <c r="B19" s="3643"/>
      <c r="C19" s="3643"/>
      <c r="D19" s="3643"/>
      <c r="E19" s="3642" t="e">
        <f t="shared" si="0"/>
        <v>#DIV/0!</v>
      </c>
      <c r="F19" s="3642" t="e">
        <f t="shared" si="1"/>
        <v>#DIV/0!</v>
      </c>
      <c r="G19" s="3643"/>
      <c r="H19" s="3643"/>
      <c r="I19" s="3643"/>
      <c r="J19" s="3633"/>
      <c r="K19" s="3633"/>
    </row>
    <row r="20" spans="1:11" ht="16.5">
      <c r="A20" s="3641" t="s">
        <v>644</v>
      </c>
      <c r="B20" s="3643"/>
      <c r="C20" s="3643"/>
      <c r="D20" s="3643"/>
      <c r="E20" s="3642" t="e">
        <f t="shared" si="0"/>
        <v>#DIV/0!</v>
      </c>
      <c r="F20" s="3642" t="e">
        <f t="shared" si="1"/>
        <v>#DIV/0!</v>
      </c>
      <c r="G20" s="3643"/>
      <c r="H20" s="3643"/>
      <c r="I20" s="3643"/>
      <c r="J20" s="3633"/>
      <c r="K20" s="3633"/>
    </row>
    <row r="21" spans="1:11" ht="16.5">
      <c r="A21" s="3641" t="s">
        <v>643</v>
      </c>
      <c r="B21" s="3643"/>
      <c r="C21" s="3643"/>
      <c r="D21" s="3643"/>
      <c r="E21" s="3642" t="e">
        <f t="shared" si="0"/>
        <v>#DIV/0!</v>
      </c>
      <c r="F21" s="3642" t="e">
        <f t="shared" si="1"/>
        <v>#DIV/0!</v>
      </c>
      <c r="G21" s="3643"/>
      <c r="H21" s="3643"/>
      <c r="I21" s="3643"/>
      <c r="J21" s="3633"/>
      <c r="K21" s="3633"/>
    </row>
    <row r="22" spans="1:11" ht="16.5">
      <c r="A22" s="3641" t="s">
        <v>642</v>
      </c>
      <c r="B22" s="3643"/>
      <c r="C22" s="3643"/>
      <c r="D22" s="3643"/>
      <c r="E22" s="3642" t="e">
        <f t="shared" si="0"/>
        <v>#DIV/0!</v>
      </c>
      <c r="F22" s="3642" t="e">
        <f t="shared" si="1"/>
        <v>#DIV/0!</v>
      </c>
      <c r="G22" s="3643"/>
      <c r="H22" s="3643"/>
      <c r="I22" s="3643"/>
      <c r="J22" s="3633"/>
      <c r="K22" s="3633"/>
    </row>
    <row r="23" spans="1:11" ht="16.5">
      <c r="A23" s="3641" t="s">
        <v>641</v>
      </c>
      <c r="B23" s="3643"/>
      <c r="C23" s="3643"/>
      <c r="D23" s="3643"/>
      <c r="E23" s="3635" t="e">
        <f t="shared" si="0"/>
        <v>#DIV/0!</v>
      </c>
      <c r="F23" s="3635" t="e">
        <f t="shared" si="1"/>
        <v>#DIV/0!</v>
      </c>
      <c r="G23" s="3643"/>
      <c r="H23" s="3643"/>
      <c r="I23" s="3643"/>
      <c r="J23" s="3633"/>
      <c r="K23" s="3633"/>
    </row>
    <row r="24" spans="1:11">
      <c r="A24" s="3633"/>
      <c r="B24" s="3633"/>
      <c r="C24" s="3633"/>
      <c r="D24" s="3633"/>
      <c r="E24" s="3633"/>
      <c r="F24" s="3633"/>
      <c r="G24" s="3633"/>
      <c r="H24" s="3633"/>
      <c r="I24" s="3633"/>
      <c r="J24" s="3633"/>
      <c r="K24" s="3633"/>
    </row>
    <row r="25" spans="1:11">
      <c r="A25" s="3633"/>
      <c r="B25" s="3633"/>
      <c r="C25" s="3633"/>
      <c r="D25" s="3633"/>
      <c r="E25" s="3633"/>
      <c r="F25" s="3633"/>
      <c r="G25" s="3633"/>
      <c r="H25" s="3633"/>
      <c r="I25" s="3633"/>
      <c r="J25" s="3633"/>
      <c r="K25" s="3633"/>
    </row>
    <row r="26" spans="1:11">
      <c r="A26" s="3633"/>
      <c r="B26" s="3633"/>
      <c r="C26" s="3633"/>
      <c r="D26" s="3633"/>
      <c r="E26" s="3633"/>
      <c r="F26" s="3633"/>
      <c r="G26" s="3633"/>
      <c r="H26" s="3633"/>
      <c r="I26" s="3633"/>
      <c r="J26" s="3633"/>
      <c r="K26" s="3633"/>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126" t="str">
        <f>项目基本情况!S2</f>
        <v>北京市宣武门西大街甲127号0101、0102号房屋房地产</v>
      </c>
      <c r="B2" s="4127"/>
      <c r="C2" s="4127"/>
      <c r="D2" s="4127"/>
      <c r="E2" s="4127"/>
      <c r="F2" s="4127"/>
      <c r="G2" s="4127"/>
      <c r="H2" s="4127"/>
      <c r="I2" s="4128"/>
    </row>
    <row r="3" spans="1:12" ht="12.75">
      <c r="A3" s="4130" t="s">
        <v>1264</v>
      </c>
      <c r="B3" s="4131"/>
      <c r="C3" s="4131"/>
      <c r="D3" s="4131"/>
      <c r="E3" s="4131"/>
      <c r="F3" s="4131"/>
      <c r="G3" s="4131"/>
      <c r="H3" s="4131"/>
      <c r="I3" s="4131"/>
    </row>
    <row r="4" spans="1:12" ht="14.25">
      <c r="A4" s="1574" t="s">
        <v>1265</v>
      </c>
      <c r="B4" s="1575" t="s">
        <v>1266</v>
      </c>
      <c r="C4" s="1576"/>
      <c r="D4" s="1576"/>
      <c r="E4" s="4135" t="s">
        <v>1267</v>
      </c>
      <c r="F4" s="4136"/>
      <c r="G4" s="4136"/>
      <c r="H4" s="4136"/>
      <c r="I4" s="4137"/>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4" t="s">
        <v>1268</v>
      </c>
      <c r="B5" s="4129">
        <v>25</v>
      </c>
      <c r="C5" s="4132"/>
      <c r="D5" s="4120"/>
      <c r="E5" s="70" t="s">
        <v>1269</v>
      </c>
      <c r="F5" s="1577"/>
      <c r="G5" s="1577"/>
      <c r="H5" s="1577"/>
      <c r="I5" s="1268"/>
    </row>
    <row r="6" spans="1:12" ht="12.75">
      <c r="A6" s="4074"/>
      <c r="B6" s="4129"/>
      <c r="C6" s="4134"/>
      <c r="D6" s="4120"/>
      <c r="E6" s="70" t="s">
        <v>1270</v>
      </c>
      <c r="F6" s="1577"/>
      <c r="G6" s="1577"/>
      <c r="H6" s="1577"/>
      <c r="I6" s="1268"/>
    </row>
    <row r="7" spans="1:12" ht="12.75">
      <c r="A7" s="4074"/>
      <c r="B7" s="4129"/>
      <c r="C7" s="4133"/>
      <c r="D7" s="4120"/>
      <c r="E7" s="70" t="s">
        <v>1271</v>
      </c>
      <c r="F7" s="1577"/>
      <c r="G7" s="1577"/>
      <c r="H7" s="1577"/>
      <c r="I7" s="1268"/>
    </row>
    <row r="8" spans="1:12" ht="12.75">
      <c r="A8" s="4074" t="s">
        <v>1272</v>
      </c>
      <c r="B8" s="4129">
        <v>15</v>
      </c>
      <c r="C8" s="4132"/>
      <c r="D8" s="4120"/>
      <c r="E8" s="70" t="s">
        <v>1273</v>
      </c>
      <c r="F8" s="1577"/>
      <c r="G8" s="1577"/>
      <c r="H8" s="1577"/>
      <c r="I8" s="1268"/>
    </row>
    <row r="9" spans="1:12" ht="12.75">
      <c r="A9" s="4074"/>
      <c r="B9" s="4129"/>
      <c r="C9" s="4133"/>
      <c r="D9" s="4120"/>
      <c r="E9" s="70" t="s">
        <v>1274</v>
      </c>
      <c r="F9" s="1577"/>
      <c r="G9" s="1577"/>
      <c r="H9" s="1577"/>
      <c r="I9" s="1268"/>
    </row>
    <row r="10" spans="1:12" ht="12.75">
      <c r="A10" s="4074" t="s">
        <v>1275</v>
      </c>
      <c r="B10" s="4129">
        <v>15</v>
      </c>
      <c r="C10" s="4132"/>
      <c r="D10" s="4120"/>
      <c r="E10" s="70" t="s">
        <v>1276</v>
      </c>
      <c r="F10" s="1577"/>
      <c r="G10" s="1577"/>
      <c r="H10" s="1577"/>
      <c r="I10" s="1268"/>
    </row>
    <row r="11" spans="1:12" ht="12.75">
      <c r="A11" s="4074"/>
      <c r="B11" s="4129"/>
      <c r="C11" s="4133"/>
      <c r="D11" s="4120"/>
      <c r="E11" s="70" t="s">
        <v>1277</v>
      </c>
      <c r="F11" s="1577"/>
      <c r="G11" s="1577"/>
      <c r="H11" s="1577"/>
      <c r="I11" s="1268"/>
    </row>
    <row r="12" spans="1:12" ht="12.75">
      <c r="A12" s="4074" t="s">
        <v>1278</v>
      </c>
      <c r="B12" s="4129">
        <v>15</v>
      </c>
      <c r="C12" s="4132"/>
      <c r="D12" s="4120"/>
      <c r="E12" s="70" t="s">
        <v>1279</v>
      </c>
      <c r="F12" s="1577"/>
      <c r="G12" s="1577"/>
      <c r="H12" s="1577"/>
      <c r="I12" s="1268"/>
    </row>
    <row r="13" spans="1:12" ht="12.75">
      <c r="A13" s="4074"/>
      <c r="B13" s="4129"/>
      <c r="C13" s="4133"/>
      <c r="D13" s="4120"/>
      <c r="E13" s="70" t="s">
        <v>1280</v>
      </c>
      <c r="F13" s="1577"/>
      <c r="G13" s="1577"/>
      <c r="H13" s="1577"/>
      <c r="I13" s="1268"/>
    </row>
    <row r="14" spans="1:12" ht="12.75">
      <c r="A14" s="4074" t="s">
        <v>1281</v>
      </c>
      <c r="B14" s="4129">
        <v>30</v>
      </c>
      <c r="C14" s="4132"/>
      <c r="D14" s="4120"/>
      <c r="E14" s="70" t="s">
        <v>1282</v>
      </c>
      <c r="F14" s="1577"/>
      <c r="G14" s="1577"/>
      <c r="H14" s="1577"/>
      <c r="I14" s="1268"/>
    </row>
    <row r="15" spans="1:12" ht="12.75">
      <c r="A15" s="4074"/>
      <c r="B15" s="4129"/>
      <c r="C15" s="4134"/>
      <c r="D15" s="4120"/>
      <c r="E15" s="70" t="s">
        <v>1283</v>
      </c>
      <c r="F15" s="1577"/>
      <c r="G15" s="1577"/>
      <c r="H15" s="1577"/>
      <c r="I15" s="1268"/>
    </row>
    <row r="16" spans="1:12" ht="12.75">
      <c r="A16" s="4074"/>
      <c r="B16" s="4129"/>
      <c r="C16" s="4133"/>
      <c r="D16" s="4120"/>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151" t="s">
        <v>2131</v>
      </c>
      <c r="F18" s="4152"/>
      <c r="G18" s="4152"/>
      <c r="H18" s="4152"/>
      <c r="I18" s="4152"/>
      <c r="K18" s="241" t="s">
        <v>1289</v>
      </c>
      <c r="L18" s="241">
        <f>IF(C1="",'数据-汇总表'!E3,SUMIF(项目类型,C1,'数据-汇总表'!E17:E26)+SUMIF(项目类型,C1,'数据-汇总表'!I17:I26))</f>
        <v>343.31</v>
      </c>
      <c r="M18" s="241">
        <f>IF(C1="",'数据-汇总表'!E3,SUMIF(项目类型,C1,'数据-汇总表'!E17:E26))</f>
        <v>343.31</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144" t="s">
        <v>1299</v>
      </c>
      <c r="B24" s="1582" t="s">
        <v>1291</v>
      </c>
      <c r="C24" s="75">
        <f>IF(B30=0,0,D30)</f>
        <v>0</v>
      </c>
      <c r="D24" s="1589"/>
      <c r="E24" s="68"/>
      <c r="F24" s="68"/>
      <c r="G24" s="68"/>
      <c r="H24" s="68"/>
      <c r="I24" s="68"/>
    </row>
    <row r="25" spans="1:36" ht="14.25">
      <c r="A25" s="4145"/>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121" t="s">
        <v>1312</v>
      </c>
      <c r="B36" s="1607" t="s">
        <v>1313</v>
      </c>
      <c r="C36" s="84"/>
      <c r="D36" s="1608"/>
      <c r="E36" s="1609"/>
      <c r="F36" s="1610"/>
      <c r="G36" s="68"/>
      <c r="H36" s="68"/>
      <c r="I36" s="68"/>
    </row>
    <row r="37" spans="1:15" ht="15.75" thickBot="1">
      <c r="A37" s="4122"/>
      <c r="B37" s="1559" t="s">
        <v>1314</v>
      </c>
      <c r="C37" s="86"/>
      <c r="D37" s="1040"/>
      <c r="E37" s="1040"/>
      <c r="F37" s="1610"/>
      <c r="G37" s="68"/>
      <c r="H37" s="68"/>
      <c r="I37" s="68"/>
    </row>
    <row r="38" spans="1:15" ht="15.75" thickBot="1">
      <c r="A38" s="4123"/>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141" t="s">
        <v>1326</v>
      </c>
      <c r="B45" s="4142"/>
      <c r="C45" s="4143"/>
      <c r="D45" s="94" t="e">
        <f ca="1">ROUND(H101*F45,0)</f>
        <v>#REF!</v>
      </c>
      <c r="E45" s="95" t="s">
        <v>1327</v>
      </c>
      <c r="F45" s="96">
        <v>1</v>
      </c>
      <c r="G45" s="97" t="s">
        <v>1328</v>
      </c>
      <c r="H45" s="68"/>
      <c r="I45" s="68"/>
      <c r="J45" s="4061" t="s">
        <v>1329</v>
      </c>
      <c r="K45" s="4061"/>
      <c r="L45" s="4061"/>
      <c r="M45" s="4061"/>
      <c r="N45" s="4061"/>
      <c r="O45" s="4061"/>
    </row>
    <row r="46" spans="1:15" ht="14.25" customHeight="1">
      <c r="A46" s="4138" t="s">
        <v>1330</v>
      </c>
      <c r="B46" s="4139"/>
      <c r="C46" s="4139"/>
      <c r="D46" s="4139"/>
      <c r="E46" s="4139"/>
      <c r="F46" s="4139"/>
      <c r="G46" s="4140"/>
      <c r="H46" s="1626"/>
      <c r="I46" s="98"/>
      <c r="J46" s="2240">
        <v>1</v>
      </c>
      <c r="K46" s="4062" t="s">
        <v>1331</v>
      </c>
      <c r="L46" s="4062"/>
      <c r="M46" s="4063"/>
      <c r="N46" s="4063"/>
      <c r="O46" s="4063"/>
    </row>
    <row r="47" spans="1:15" ht="12" customHeight="1">
      <c r="A47" s="99" t="s">
        <v>1332</v>
      </c>
      <c r="B47" s="100"/>
      <c r="C47" s="101"/>
      <c r="D47" s="988" t="s">
        <v>1333</v>
      </c>
      <c r="E47" s="241" t="s">
        <v>1334</v>
      </c>
      <c r="F47" s="102" t="s">
        <v>1335</v>
      </c>
      <c r="G47" s="2263" t="s">
        <v>1336</v>
      </c>
      <c r="H47" s="2264"/>
      <c r="I47" s="98"/>
      <c r="J47" s="2240">
        <v>2</v>
      </c>
      <c r="K47" s="4062" t="s">
        <v>1337</v>
      </c>
      <c r="L47" s="4062"/>
      <c r="M47" s="4064">
        <f>'数据-取费表'!B2</f>
        <v>45142</v>
      </c>
      <c r="N47" s="4064"/>
      <c r="O47" s="4064"/>
    </row>
    <row r="48" spans="1:15" ht="25.5">
      <c r="A48" s="4124" t="s">
        <v>1338</v>
      </c>
      <c r="B48" s="4125"/>
      <c r="C48" s="4125"/>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062" t="s">
        <v>1340</v>
      </c>
      <c r="L48" s="4062"/>
      <c r="M48" s="4065" t="e">
        <f ca="1">H101</f>
        <v>#REF!</v>
      </c>
      <c r="N48" s="4065"/>
      <c r="O48" s="4065"/>
    </row>
    <row r="49" spans="1:35" ht="25.5" customHeight="1">
      <c r="A49" s="2134" t="s">
        <v>1341</v>
      </c>
      <c r="B49" s="4110" t="s">
        <v>1342</v>
      </c>
      <c r="C49" s="4110"/>
      <c r="D49" s="1475">
        <v>0</v>
      </c>
      <c r="E49" s="262" t="s">
        <v>1343</v>
      </c>
      <c r="F49" s="2168" t="s">
        <v>28</v>
      </c>
      <c r="G49" s="4093"/>
      <c r="H49" s="2113" t="s">
        <v>2134</v>
      </c>
      <c r="I49" s="2114"/>
      <c r="J49" s="2240">
        <v>4</v>
      </c>
      <c r="K49" s="4062" t="str">
        <f>IF(项目基本情况!E8="房地产抵押价值","房地产抵押价值","抵押担保权已注销时的房地产抵押价值")</f>
        <v>抵押担保权已注销时的房地产抵押价值</v>
      </c>
      <c r="L49" s="4062"/>
      <c r="M49" s="4065" t="str">
        <f>IF(项目基本情况!E8="房地产抵押价值",H107,H109)</f>
        <v>——</v>
      </c>
      <c r="N49" s="4065"/>
      <c r="O49" s="4065"/>
    </row>
    <row r="50" spans="1:35" ht="25.5" customHeight="1">
      <c r="A50" s="2268"/>
      <c r="B50" s="4110" t="s">
        <v>1344</v>
      </c>
      <c r="C50" s="4110"/>
      <c r="D50" s="2269"/>
      <c r="E50" s="270"/>
      <c r="F50" s="2168"/>
      <c r="G50" s="4094"/>
      <c r="H50" s="2115" t="s">
        <v>2135</v>
      </c>
      <c r="I50" s="2114"/>
      <c r="J50" s="4061" t="s">
        <v>1345</v>
      </c>
      <c r="K50" s="4061"/>
      <c r="L50" s="4061"/>
      <c r="M50" s="4061"/>
      <c r="N50" s="4061"/>
      <c r="O50" s="4061"/>
    </row>
    <row r="51" spans="1:35" ht="20.45" customHeight="1">
      <c r="A51" s="2270"/>
      <c r="B51" s="4110" t="s">
        <v>1346</v>
      </c>
      <c r="C51" s="4110"/>
      <c r="D51" s="988"/>
      <c r="E51" s="265"/>
      <c r="F51" s="2168"/>
      <c r="G51" s="4095"/>
      <c r="H51" s="2115" t="s">
        <v>2136</v>
      </c>
      <c r="I51" s="2114"/>
      <c r="J51" s="2241" t="s">
        <v>1347</v>
      </c>
      <c r="K51" s="4062" t="s">
        <v>1348</v>
      </c>
      <c r="L51" s="4062"/>
      <c r="M51" s="2241" t="s">
        <v>1349</v>
      </c>
      <c r="N51" s="2241" t="s">
        <v>1350</v>
      </c>
      <c r="O51" s="2241" t="s">
        <v>1351</v>
      </c>
    </row>
    <row r="52" spans="1:35" ht="24" customHeight="1">
      <c r="A52" s="2136" t="s">
        <v>1352</v>
      </c>
      <c r="B52" s="4110" t="s">
        <v>1353</v>
      </c>
      <c r="C52" s="4110"/>
      <c r="D52" s="988" t="e">
        <f ca="1">ROUND(D45*'数据-取费表'!B41/(1+'数据-取费表'!C42),0)</f>
        <v>#REF!</v>
      </c>
      <c r="E52" s="2135" t="s">
        <v>1354</v>
      </c>
      <c r="F52" s="2271">
        <f>'数据-取费表'!B41</f>
        <v>0</v>
      </c>
      <c r="G52" s="2272"/>
      <c r="H52" s="2261"/>
      <c r="I52" s="1627"/>
      <c r="J52" s="2240">
        <v>1</v>
      </c>
      <c r="K52" s="4087" t="s">
        <v>1355</v>
      </c>
      <c r="L52" s="4087"/>
      <c r="M52" s="2242" t="b">
        <f>D48</f>
        <v>0</v>
      </c>
      <c r="N52" s="2240" t="str">
        <f>E48</f>
        <v>销售额×税（费）率</v>
      </c>
      <c r="O52" s="2243">
        <f>F48</f>
        <v>0</v>
      </c>
    </row>
    <row r="53" spans="1:35" ht="12" customHeight="1">
      <c r="A53" s="2136" t="s">
        <v>1356</v>
      </c>
      <c r="B53" s="4111" t="s">
        <v>2281</v>
      </c>
      <c r="C53" s="4112"/>
      <c r="D53" s="988" t="e">
        <f ca="1">ROUND(D45*'数据-取费表'!B41/(1+'数据-取费表'!C42),0)</f>
        <v>#REF!</v>
      </c>
      <c r="E53" s="2135" t="s">
        <v>1354</v>
      </c>
      <c r="F53" s="2271">
        <f>'数据-取费表'!B41</f>
        <v>0</v>
      </c>
      <c r="G53" s="2272"/>
      <c r="H53" s="2261"/>
      <c r="I53" s="1627"/>
      <c r="J53" s="2240">
        <v>2</v>
      </c>
      <c r="K53" s="4087" t="s">
        <v>1357</v>
      </c>
      <c r="L53" s="4087"/>
      <c r="M53" s="2242" t="e">
        <f t="shared" ref="M53:O54" ca="1" si="0">D55</f>
        <v>#REF!</v>
      </c>
      <c r="N53" s="2240" t="str">
        <f t="shared" si="0"/>
        <v>销售额×税（费）率</v>
      </c>
      <c r="O53" s="2243" t="str">
        <f t="shared" si="0"/>
        <v>免征</v>
      </c>
    </row>
    <row r="54" spans="1:35" ht="12" customHeight="1">
      <c r="A54" s="2136" t="s">
        <v>1358</v>
      </c>
      <c r="B54" s="4111" t="s">
        <v>2282</v>
      </c>
      <c r="C54" s="4112"/>
      <c r="D54" s="988" t="e">
        <f ca="1">C68</f>
        <v>#REF!</v>
      </c>
      <c r="E54" s="265" t="s">
        <v>1359</v>
      </c>
      <c r="F54" s="2271">
        <f>'数据-取费表'!B41</f>
        <v>0</v>
      </c>
      <c r="G54" s="2272"/>
      <c r="H54" s="2273"/>
      <c r="I54" s="1627"/>
      <c r="J54" s="2240">
        <v>3</v>
      </c>
      <c r="K54" s="4087" t="s">
        <v>1360</v>
      </c>
      <c r="L54" s="4087"/>
      <c r="M54" s="2242" t="e">
        <f t="shared" ca="1" si="0"/>
        <v>#REF!</v>
      </c>
      <c r="N54" s="2240" t="str">
        <f t="shared" si="0"/>
        <v>增值额×税（费）率</v>
      </c>
      <c r="O54" s="2244" t="str">
        <f t="shared" si="0"/>
        <v>免征</v>
      </c>
    </row>
    <row r="55" spans="1:35" ht="24" customHeight="1">
      <c r="A55" s="4147" t="s">
        <v>1361</v>
      </c>
      <c r="B55" s="4125"/>
      <c r="C55" s="4125"/>
      <c r="D55" s="2125" t="e">
        <f ca="1">IF(H55="个人住宅",0,ROUND(D45*I55,0))</f>
        <v>#REF!</v>
      </c>
      <c r="E55" s="2135" t="s">
        <v>1362</v>
      </c>
      <c r="F55" s="2271" t="str">
        <f>IF(H55="正常",I55,"免征")</f>
        <v>免征</v>
      </c>
      <c r="G55" s="2272"/>
      <c r="H55" s="2267"/>
      <c r="I55" s="104">
        <f>'数据-取费表'!B49</f>
        <v>0</v>
      </c>
      <c r="J55" s="2240">
        <f>IF(H59="非个人房产","",4)</f>
        <v>4</v>
      </c>
      <c r="K55" s="4087" t="str">
        <f>IF(H59="非个人房产","——","个人所得税")</f>
        <v>个人所得税</v>
      </c>
      <c r="L55" s="4087"/>
      <c r="M55" s="2245" t="e">
        <f ca="1">D59</f>
        <v>#REF!</v>
      </c>
      <c r="N55" s="1843" t="str">
        <f>E59</f>
        <v>差额计税</v>
      </c>
      <c r="O55" s="2246">
        <f>F59</f>
        <v>0.01</v>
      </c>
    </row>
    <row r="56" spans="1:35" ht="24.75">
      <c r="A56" s="4147" t="s">
        <v>1363</v>
      </c>
      <c r="B56" s="4125"/>
      <c r="C56" s="4125"/>
      <c r="D56" s="2125" t="e">
        <f ca="1">IF(H56="个人住宅",D57,D58)</f>
        <v>#REF!</v>
      </c>
      <c r="E56" s="2135" t="s">
        <v>1364</v>
      </c>
      <c r="F56" s="2271" t="str">
        <f>IF(H56="正常",F58,"免征")</f>
        <v>免征</v>
      </c>
      <c r="G56" s="2274" t="s">
        <v>1365</v>
      </c>
      <c r="H56" s="2275"/>
      <c r="I56" s="1628"/>
      <c r="J56" s="2240" t="str">
        <f>IF(项目基本情况!K6="上海银行",IF(J55="",4,J55+1),"")</f>
        <v/>
      </c>
      <c r="K56" s="4068" t="str">
        <f>IF(项目基本情况!K6="上海银行","其他处置费用","")</f>
        <v/>
      </c>
      <c r="L56" s="4069"/>
      <c r="M56" s="2242" t="str">
        <f>IF(项目基本情况!K6="上海银行",M69,"")</f>
        <v/>
      </c>
      <c r="N56" s="4068" t="str">
        <f>IF(项目基本情况!K6="上海银行","包含处置中涉及的律师、诉讼、拍卖、评估等费用","")</f>
        <v/>
      </c>
      <c r="O56" s="4071"/>
    </row>
    <row r="57" spans="1:35" ht="12.75">
      <c r="A57" s="2136" t="s">
        <v>1341</v>
      </c>
      <c r="B57" s="4111" t="s">
        <v>1366</v>
      </c>
      <c r="C57" s="4112"/>
      <c r="D57" s="1475">
        <v>0</v>
      </c>
      <c r="E57" s="262" t="s">
        <v>1343</v>
      </c>
      <c r="F57" s="241"/>
      <c r="G57" s="2272"/>
      <c r="H57" s="2276"/>
      <c r="I57" s="1628"/>
      <c r="J57" s="4087">
        <f>IF(AND(J55="",J56=""),4,IF(项目基本情况!K6="上海银行",结果表!J56+1,结果表!J55+1))</f>
        <v>5</v>
      </c>
      <c r="K57" s="4087" t="s">
        <v>1367</v>
      </c>
      <c r="L57" s="2247" t="s">
        <v>1368</v>
      </c>
      <c r="M57" s="2248"/>
      <c r="N57" s="2249">
        <f ca="1">SUMIF(M52:M56,"&lt;9e307")</f>
        <v>0</v>
      </c>
      <c r="O57" s="2250"/>
      <c r="P57" s="2344" t="e">
        <f ca="1">N57/M49</f>
        <v>#VALUE!</v>
      </c>
    </row>
    <row r="58" spans="1:35" ht="24.75">
      <c r="A58" s="2136" t="s">
        <v>1352</v>
      </c>
      <c r="B58" s="4111" t="s">
        <v>1369</v>
      </c>
      <c r="C58" s="4110"/>
      <c r="D58" s="2125" t="e">
        <f ca="1">IF(H58="转让取得",C81,C97)</f>
        <v>#REF!</v>
      </c>
      <c r="E58" s="2135" t="s">
        <v>1364</v>
      </c>
      <c r="F58" s="241" t="s">
        <v>28</v>
      </c>
      <c r="G58" s="2272"/>
      <c r="H58" s="2275"/>
      <c r="I58" s="1628"/>
      <c r="J58" s="4087"/>
      <c r="K58" s="4087"/>
      <c r="L58" s="2247" t="s">
        <v>1370</v>
      </c>
      <c r="M58" s="2251"/>
      <c r="N58" s="2252" t="str">
        <f ca="1">NUMBERSTRING(INT(N57*10000),2)&amp;"元整"</f>
        <v>零元整</v>
      </c>
      <c r="O58" s="2253"/>
    </row>
    <row r="59" spans="1:35" ht="24.75" thickBot="1">
      <c r="A59" s="4091" t="s">
        <v>1371</v>
      </c>
      <c r="B59" s="4092"/>
      <c r="C59" s="4092"/>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089">
        <f>J57+1</f>
        <v>6</v>
      </c>
      <c r="K59" s="4087" t="s">
        <v>1372</v>
      </c>
      <c r="L59" s="2240" t="s">
        <v>1368</v>
      </c>
      <c r="M59" s="2254"/>
      <c r="N59" s="2255" t="e">
        <f ca="1">M49-N57</f>
        <v>#VALUE!</v>
      </c>
      <c r="O59" s="2256"/>
    </row>
    <row r="60" spans="1:35" ht="12" customHeight="1">
      <c r="A60" s="1629"/>
      <c r="B60" s="1567"/>
      <c r="C60" s="1567"/>
      <c r="D60" s="1567"/>
      <c r="E60" s="1463"/>
      <c r="F60" s="1628"/>
      <c r="G60" s="1628"/>
      <c r="H60" s="1630"/>
      <c r="I60" s="68"/>
      <c r="J60" s="4090"/>
      <c r="K60" s="4087"/>
      <c r="L60" s="2247" t="s">
        <v>1370</v>
      </c>
      <c r="M60" s="2251"/>
      <c r="N60" s="2252" t="e">
        <f ca="1">NUMBERSTRING(INT(N59*10000),2)&amp;"元整"</f>
        <v>#VALUE!</v>
      </c>
      <c r="O60" s="2253"/>
    </row>
    <row r="61" spans="1:35" ht="13.5" thickBot="1">
      <c r="A61" s="4146" t="s">
        <v>1373</v>
      </c>
      <c r="B61" s="4146"/>
      <c r="C61" s="4146"/>
      <c r="D61" s="4146"/>
      <c r="E61" s="4146"/>
      <c r="F61" s="1628"/>
      <c r="G61" s="1628"/>
      <c r="H61" s="1630"/>
      <c r="I61" s="68"/>
      <c r="J61" s="2240">
        <f>J59+1</f>
        <v>7</v>
      </c>
      <c r="K61" s="4087" t="s">
        <v>1374</v>
      </c>
      <c r="L61" s="4087"/>
      <c r="M61" s="2257"/>
      <c r="N61" s="2258" t="e">
        <f ca="1">ROUND(N59*10000/'数据-汇总表'!E3,0)</f>
        <v>#VALUE!</v>
      </c>
      <c r="O61" s="2259"/>
    </row>
    <row r="62" spans="1:35" ht="12.75">
      <c r="A62" s="4106" t="s">
        <v>1375</v>
      </c>
      <c r="B62" s="4107"/>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070"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070"/>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070"/>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070"/>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070"/>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070"/>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070"/>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114" t="s">
        <v>1394</v>
      </c>
      <c r="B70" s="4115"/>
      <c r="C70" s="4115"/>
      <c r="D70" s="4115"/>
      <c r="E70" s="4115"/>
      <c r="F70" s="4115"/>
      <c r="G70" s="4115"/>
      <c r="H70" s="4115"/>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106" t="s">
        <v>1375</v>
      </c>
      <c r="B71" s="4107"/>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111" t="s">
        <v>1402</v>
      </c>
      <c r="F76" s="4110"/>
      <c r="G76" s="4110"/>
      <c r="H76" s="4113"/>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103" t="s">
        <v>1406</v>
      </c>
      <c r="F78" s="4104"/>
      <c r="G78" s="4104"/>
      <c r="H78" s="4105"/>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114" t="s">
        <v>1410</v>
      </c>
      <c r="B83" s="4115"/>
      <c r="C83" s="4115"/>
      <c r="D83" s="4115"/>
      <c r="E83" s="4115"/>
      <c r="F83" s="4115"/>
      <c r="G83" s="4115"/>
      <c r="H83" s="4115"/>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106" t="s">
        <v>1375</v>
      </c>
      <c r="B84" s="4107"/>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072" t="s">
        <v>2129</v>
      </c>
      <c r="H90" s="4073"/>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103" t="s">
        <v>1419</v>
      </c>
      <c r="F91" s="4104"/>
      <c r="G91" s="4104"/>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103" t="s">
        <v>1422</v>
      </c>
      <c r="F92" s="4104"/>
      <c r="G92" s="4104"/>
      <c r="H92" s="4105"/>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103" t="s">
        <v>1406</v>
      </c>
      <c r="F93" s="4104"/>
      <c r="G93" s="4104"/>
      <c r="H93" s="4105"/>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148" t="s">
        <v>1426</v>
      </c>
      <c r="F94" s="4149"/>
      <c r="G94" s="4149"/>
      <c r="H94" s="4150"/>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28" t="s">
        <v>1428</v>
      </c>
      <c r="B100" s="3929"/>
      <c r="C100" s="3929"/>
      <c r="D100" s="4088"/>
      <c r="E100" s="3929" t="s">
        <v>1429</v>
      </c>
      <c r="F100" s="3929"/>
      <c r="G100" s="3929"/>
      <c r="H100" s="4088"/>
      <c r="I100" s="68"/>
    </row>
    <row r="101" spans="1:35" ht="18.75" customHeight="1">
      <c r="A101" s="4096" t="s">
        <v>1430</v>
      </c>
      <c r="B101" s="4097"/>
      <c r="C101" s="2302">
        <f>C4</f>
        <v>0</v>
      </c>
      <c r="D101" s="2303">
        <f>D4</f>
        <v>0</v>
      </c>
      <c r="E101" s="4066" t="s">
        <v>1431</v>
      </c>
      <c r="F101" s="4067"/>
      <c r="G101" s="1647" t="s">
        <v>1432</v>
      </c>
      <c r="H101" s="2312" t="e">
        <f ca="1">H118</f>
        <v>#REF!</v>
      </c>
      <c r="I101" s="68"/>
    </row>
    <row r="102" spans="1:35" ht="18.75" customHeight="1">
      <c r="A102" s="4098" t="s">
        <v>1433</v>
      </c>
      <c r="B102" s="2301" t="s">
        <v>1432</v>
      </c>
      <c r="C102" s="2302" t="e">
        <f ca="1">IF(D32="楼面单价",ROUND(C19,0),C19)</f>
        <v>#REF!</v>
      </c>
      <c r="D102" s="2303" t="e">
        <f ca="1">IF(D32="楼面单价",ROUND(D19,0),D19)</f>
        <v>#REF!</v>
      </c>
      <c r="E102" s="4066"/>
      <c r="F102" s="4067"/>
      <c r="G102" s="1647" t="s">
        <v>1434</v>
      </c>
      <c r="H102" s="2272" t="e">
        <f ca="1">I118</f>
        <v>#REF!</v>
      </c>
      <c r="I102" s="68"/>
    </row>
    <row r="103" spans="1:35" ht="42.75" customHeight="1">
      <c r="A103" s="4098"/>
      <c r="B103" s="2301" t="s">
        <v>1434</v>
      </c>
      <c r="C103" s="2304" t="e">
        <f ca="1">C20</f>
        <v>#REF!</v>
      </c>
      <c r="D103" s="2305" t="e">
        <f ca="1">D20</f>
        <v>#REF!</v>
      </c>
      <c r="E103" s="4059" t="s">
        <v>1435</v>
      </c>
      <c r="F103" s="4060"/>
      <c r="G103" s="1648" t="s">
        <v>1436</v>
      </c>
      <c r="H103" s="2312">
        <f>IF(D36="正常操作",H104+H105+H106,H105+H106)</f>
        <v>0</v>
      </c>
      <c r="I103" s="68"/>
    </row>
    <row r="104" spans="1:35" ht="18.75" customHeight="1">
      <c r="A104" s="4098"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108"/>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099" t="str">
        <f>IF(项目基本情况!E8="已注销","——","3.房地产抵押价值")</f>
        <v>3.房地产抵押价值</v>
      </c>
      <c r="F107" s="4067"/>
      <c r="G107" s="1647" t="s">
        <v>1432</v>
      </c>
      <c r="H107" s="2312" t="e">
        <f ca="1">IF(E107="——","——",H101-H103)</f>
        <v>#REF!</v>
      </c>
      <c r="I107" s="68"/>
    </row>
    <row r="108" spans="1:35" ht="18.75" customHeight="1">
      <c r="A108" s="68"/>
      <c r="B108" s="68"/>
      <c r="C108" s="68"/>
      <c r="D108" s="68"/>
      <c r="E108" s="4099"/>
      <c r="F108" s="4067"/>
      <c r="G108" s="1647" t="s">
        <v>1434</v>
      </c>
      <c r="H108" s="2272" t="e">
        <f ca="1">IF(H107=H101,H102,ROUND(H107*10000/'数据-汇总表'!E3,0))</f>
        <v>#REF!</v>
      </c>
      <c r="I108" s="68"/>
    </row>
    <row r="109" spans="1:35" ht="18.75" customHeight="1">
      <c r="A109" s="68"/>
      <c r="B109" s="68"/>
      <c r="C109" s="68"/>
      <c r="D109" s="68"/>
      <c r="E109" s="4099" t="str">
        <f>IF(项目基本情况!E8="已注销及未注销","4.抵押担保权已注销时的房地产抵押价值",IF(项目基本情况!E8="已注销","3.抵押担保权已注销时的房地产抵押价值","——"))</f>
        <v>——</v>
      </c>
      <c r="F109" s="4067"/>
      <c r="G109" s="1647" t="s">
        <v>1432</v>
      </c>
      <c r="H109" s="2315" t="str">
        <f>IF(E109="——","——",H101-H105-H106)</f>
        <v>——</v>
      </c>
      <c r="I109" s="68"/>
    </row>
    <row r="110" spans="1:35" ht="18.75" customHeight="1">
      <c r="A110" s="68"/>
      <c r="B110" s="68"/>
      <c r="C110" s="68"/>
      <c r="D110" s="68"/>
      <c r="E110" s="4099"/>
      <c r="F110" s="4067"/>
      <c r="G110" s="1647" t="s">
        <v>1434</v>
      </c>
      <c r="H110" s="2272" t="str">
        <f>IF(H109="——","——",ROUND(H109*10000/'数据-汇总表'!E3,0))</f>
        <v>——</v>
      </c>
      <c r="I110" s="68"/>
    </row>
    <row r="111" spans="1:35" ht="18.75" customHeight="1">
      <c r="A111" s="68"/>
      <c r="B111" s="68"/>
      <c r="C111" s="68"/>
      <c r="D111" s="68"/>
      <c r="E111" s="4100" t="str">
        <f>IF(项目基本情况!E9="抵押净值",IF(OR(项目基本情况!E8="已注销",项目基本情况!E8="房地产抵押价值"),"4.抵押净值","5.抵押净值"),"——")</f>
        <v>——</v>
      </c>
      <c r="F111" s="4086"/>
      <c r="G111" s="1647" t="s">
        <v>1432</v>
      </c>
      <c r="H111" s="2312" t="str">
        <f>IF(E111="——","——",N59)</f>
        <v>——</v>
      </c>
      <c r="I111" s="68"/>
    </row>
    <row r="112" spans="1:35" ht="18.75" customHeight="1" thickBot="1">
      <c r="A112" s="68"/>
      <c r="B112" s="68"/>
      <c r="C112" s="68"/>
      <c r="D112" s="68"/>
      <c r="E112" s="4101"/>
      <c r="F112" s="4102"/>
      <c r="G112" s="1650" t="s">
        <v>1434</v>
      </c>
      <c r="H112" s="2316" t="str">
        <f>IF(E111="——","——",N61)</f>
        <v>——</v>
      </c>
      <c r="I112" s="68"/>
    </row>
    <row r="113" spans="1:27" ht="18.75" customHeight="1">
      <c r="A113" s="68"/>
      <c r="B113" s="68"/>
      <c r="C113" s="68"/>
      <c r="D113" s="68"/>
      <c r="E113" s="4109" t="s">
        <v>1440</v>
      </c>
      <c r="F113" s="4109"/>
      <c r="G113" s="4109"/>
      <c r="H113" s="4109"/>
      <c r="I113" s="68"/>
    </row>
    <row r="114" spans="1:27" ht="3.75" customHeight="1">
      <c r="A114" s="1567"/>
      <c r="B114" s="1567"/>
      <c r="C114" s="1567"/>
      <c r="D114" s="1567"/>
      <c r="E114" s="1629"/>
      <c r="F114" s="1629"/>
      <c r="G114" s="1629"/>
      <c r="H114" s="1629"/>
      <c r="I114" s="1567"/>
    </row>
    <row r="115" spans="1:27" ht="18.75" customHeight="1">
      <c r="A115" s="4117" t="s">
        <v>1442</v>
      </c>
      <c r="B115" s="4118"/>
      <c r="C115" s="4118"/>
      <c r="D115" s="4118"/>
      <c r="E115" s="4118"/>
      <c r="F115" s="4118"/>
      <c r="G115" s="4118"/>
      <c r="H115" s="4118"/>
      <c r="I115" s="4119"/>
    </row>
    <row r="116" spans="1:27" ht="27" customHeight="1">
      <c r="A116" s="4074" t="s">
        <v>1443</v>
      </c>
      <c r="B116" s="4078" t="s">
        <v>1444</v>
      </c>
      <c r="C116" s="4078" t="s">
        <v>1445</v>
      </c>
      <c r="D116" s="4084" t="s">
        <v>1446</v>
      </c>
      <c r="E116" s="4085"/>
      <c r="F116" s="4116" t="s">
        <v>1447</v>
      </c>
      <c r="G116" s="4116"/>
      <c r="H116" s="4074" t="s">
        <v>1448</v>
      </c>
      <c r="I116" s="4074"/>
    </row>
    <row r="117" spans="1:27" ht="18.75" customHeight="1">
      <c r="A117" s="4074"/>
      <c r="B117" s="4079"/>
      <c r="C117" s="4079"/>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343.31</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74" t="s">
        <v>1452</v>
      </c>
      <c r="B119" s="4074"/>
      <c r="C119" s="4074"/>
      <c r="D119" s="4080" t="e">
        <f ca="1">NUMBERSTRING(INT(D118*10000),2)&amp;"元整"</f>
        <v>#REF!</v>
      </c>
      <c r="E119" s="4081"/>
      <c r="F119" s="4080" t="e">
        <f ca="1">NUMBERSTRING(INT(F118*10000),2)&amp;"元整"</f>
        <v>#REF!</v>
      </c>
      <c r="G119" s="4081"/>
      <c r="H119" s="4080" t="e">
        <f ca="1">NUMBERSTRING(INT(H118*10000),2)&amp;"元整"</f>
        <v>#REF!</v>
      </c>
      <c r="I119" s="4081"/>
    </row>
    <row r="120" spans="1:27" ht="18.75" customHeight="1">
      <c r="A120" s="4075" t="str">
        <f>IF(项目基本情况!B9="房地产市场价值","",MID(E103,3,LEN(E103)-2))</f>
        <v>估价师知悉的法定优先受偿款</v>
      </c>
      <c r="B120" s="4076"/>
      <c r="C120" s="4077"/>
      <c r="D120" s="4075">
        <f>H103</f>
        <v>0</v>
      </c>
      <c r="E120" s="4076"/>
      <c r="F120" s="4076"/>
      <c r="G120" s="4076"/>
      <c r="H120" s="4076"/>
      <c r="I120" s="4077"/>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080" t="s">
        <v>1452</v>
      </c>
      <c r="B121" s="4082"/>
      <c r="C121" s="4081"/>
      <c r="D121" s="4080" t="str">
        <f>IF(D120=0,"零元整",NUMBERSTRING(INT(D120*10000),2)&amp;"元整")</f>
        <v>零元整</v>
      </c>
      <c r="E121" s="4082"/>
      <c r="F121" s="4082"/>
      <c r="G121" s="4082"/>
      <c r="H121" s="4082"/>
      <c r="I121" s="4081"/>
      <c r="AA121" s="656"/>
    </row>
    <row r="122" spans="1:27" ht="18.75" customHeight="1">
      <c r="A122" s="4086" t="str">
        <f>IF(项目基本情况!B9="房地产市场价值","",MID(E107,3,LEN(E107)-2))</f>
        <v>房地产抵押价值</v>
      </c>
      <c r="B122" s="4086"/>
      <c r="C122" s="4086"/>
      <c r="D122" s="4075" t="e">
        <f ca="1">H107</f>
        <v>#REF!</v>
      </c>
      <c r="E122" s="4076"/>
      <c r="F122" s="4076"/>
      <c r="G122" s="4076"/>
      <c r="H122" s="4076"/>
      <c r="I122" s="4077"/>
      <c r="AA122" s="656"/>
    </row>
    <row r="123" spans="1:27" ht="18.75" customHeight="1">
      <c r="A123" s="4074" t="s">
        <v>1452</v>
      </c>
      <c r="B123" s="4074"/>
      <c r="C123" s="4074"/>
      <c r="D123" s="4080" t="e">
        <f ca="1">NUMBERSTRING(INT(D122*10000),2)&amp;"元整"</f>
        <v>#REF!</v>
      </c>
      <c r="E123" s="4082"/>
      <c r="F123" s="4082"/>
      <c r="G123" s="4082"/>
      <c r="H123" s="4082"/>
      <c r="I123" s="4081"/>
      <c r="AA123" s="656"/>
    </row>
    <row r="124" spans="1:27" ht="18.75" customHeight="1">
      <c r="A124" s="4086" t="str">
        <f>IF(项目基本情况!B9="房地产市场价值","",MID(E109,3,LEN(E109)-2))</f>
        <v/>
      </c>
      <c r="B124" s="4086"/>
      <c r="C124" s="4086"/>
      <c r="D124" s="4075" t="str">
        <f>H109</f>
        <v>——</v>
      </c>
      <c r="E124" s="4076"/>
      <c r="F124" s="4076"/>
      <c r="G124" s="4076"/>
      <c r="H124" s="4076"/>
      <c r="I124" s="4077"/>
      <c r="AA124" s="656"/>
    </row>
    <row r="125" spans="1:27" ht="18.75" customHeight="1">
      <c r="A125" s="4074" t="s">
        <v>1452</v>
      </c>
      <c r="B125" s="4074"/>
      <c r="C125" s="4074"/>
      <c r="D125" s="4080" t="e">
        <f>NUMBERSTRING(INT(D124*10000),2)&amp;"元整"</f>
        <v>#VALUE!</v>
      </c>
      <c r="E125" s="4082"/>
      <c r="F125" s="4082"/>
      <c r="G125" s="4082"/>
      <c r="H125" s="4082"/>
      <c r="I125" s="4081"/>
      <c r="AA125" s="656"/>
    </row>
    <row r="126" spans="1:27" ht="18.75" customHeight="1">
      <c r="A126" s="4086" t="str">
        <f>IF(项目基本情况!B9="房地产市场价值","",MID(E111,3,LEN(E111)-2))</f>
        <v/>
      </c>
      <c r="B126" s="4086"/>
      <c r="C126" s="4086"/>
      <c r="D126" s="4075" t="str">
        <f>H111</f>
        <v>——</v>
      </c>
      <c r="E126" s="4076"/>
      <c r="F126" s="4076"/>
      <c r="G126" s="4076"/>
      <c r="H126" s="4076"/>
      <c r="I126" s="4077"/>
      <c r="AA126" s="656"/>
    </row>
    <row r="127" spans="1:27" ht="18.75" customHeight="1">
      <c r="A127" s="4074" t="s">
        <v>1452</v>
      </c>
      <c r="B127" s="4074"/>
      <c r="C127" s="4074"/>
      <c r="D127" s="4080" t="e">
        <f>NUMBERSTRING(INT(D126*10000),2)&amp;"元整"</f>
        <v>#VALUE!</v>
      </c>
      <c r="E127" s="4082"/>
      <c r="F127" s="4082"/>
      <c r="G127" s="4082"/>
      <c r="H127" s="4082"/>
      <c r="I127" s="4081"/>
      <c r="AA127" s="656"/>
    </row>
    <row r="128" spans="1:27" ht="21.75" customHeight="1">
      <c r="A128" s="4083" t="s">
        <v>1453</v>
      </c>
      <c r="B128" s="4083"/>
      <c r="C128" s="4083"/>
      <c r="D128" s="4083"/>
      <c r="E128" s="4083"/>
      <c r="F128" s="4083"/>
      <c r="G128" s="4083"/>
      <c r="H128" s="4083"/>
      <c r="I128" s="4083"/>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#DIV/0!</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#DIV/0!</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343.31</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343.31</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f ca="1">ROUND(SUM(C23:C25),0)</f>
        <v>0</v>
      </c>
      <c r="D22" s="174">
        <f ca="1">C26</f>
        <v>0</v>
      </c>
      <c r="E22" s="175" t="s">
        <v>1498</v>
      </c>
      <c r="F22" s="176">
        <f ca="1">'数据-取费表'!B40</f>
        <v>4.7500000000000001E-2</v>
      </c>
      <c r="G22" s="173" t="str">
        <f>IF('数据-取费表'!B22&lt;=1,"单利计息","复利计息")</f>
        <v>复利计息</v>
      </c>
    </row>
    <row r="23" spans="1:7" s="153" customFormat="1" ht="13.5" customHeight="1">
      <c r="A23" s="702" t="s">
        <v>1502</v>
      </c>
      <c r="B23" s="154" t="s">
        <v>1503</v>
      </c>
      <c r="C23" s="1006">
        <f ca="1">ROUND(IF('数据-取费表'!B22&lt;=1,C5*F22*'数据-取费表'!B23,C5*(POWER((1+F22),'数据-取费表'!B23)-1)),0)</f>
        <v>0</v>
      </c>
      <c r="D23" s="177"/>
      <c r="E23" s="177"/>
      <c r="F23" s="178"/>
      <c r="G23" s="179" t="s">
        <v>1504</v>
      </c>
    </row>
    <row r="24" spans="1:7" s="153" customFormat="1" ht="13.5" customHeight="1">
      <c r="A24" s="702" t="s">
        <v>1505</v>
      </c>
      <c r="B24" s="154" t="s">
        <v>1506</v>
      </c>
      <c r="C24" s="1006">
        <f ca="1">ROUND(IF('数据-取费表'!B22&lt;=1,C19*F22*('数据-取费表'!B19/2+'数据-取费表'!B21),C19*(POWER((1+F22),('数据-取费表'!B19/2+'数据-取费表'!B21))-1)),0)</f>
        <v>0</v>
      </c>
      <c r="D24" s="177"/>
      <c r="E24" s="177"/>
      <c r="F24" s="178"/>
      <c r="G24" s="179" t="s">
        <v>1507</v>
      </c>
    </row>
    <row r="25" spans="1:7" s="153" customFormat="1" ht="24">
      <c r="A25" s="702" t="s">
        <v>1508</v>
      </c>
      <c r="B25" s="154" t="s">
        <v>1509</v>
      </c>
      <c r="C25" s="1006">
        <f ca="1">ROUND(IF('数据-取费表'!B22&lt;=1,C20*F22*'数据-取费表'!B23/2,C20*(POWER((1+F22),'数据-取费表'!B23/2)-1)),0)</f>
        <v>0</v>
      </c>
      <c r="D25" s="177"/>
      <c r="E25" s="180"/>
      <c r="F25" s="178"/>
      <c r="G25" s="181" t="s">
        <v>1510</v>
      </c>
    </row>
    <row r="26" spans="1:7" s="153" customFormat="1">
      <c r="A26" s="702" t="s">
        <v>350</v>
      </c>
      <c r="B26" s="154" t="s">
        <v>1511</v>
      </c>
      <c r="C26" s="177">
        <f ca="1">ROUND(IF('数据-取费表'!B22&lt;=1,F21*F22*'数据-取费表'!B23/2,F21*(POWER((1+F22),'数据-取费表'!B23/2)-1)),4)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343.31</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ROUND(IF('数据-取费表'!B22&lt;=1,C33*F22*'数据-取费表'!B21/2,C33*(POWER((1+F22),'数据-取费表'!B21/2)-1)),0)</f>
        <v>0</v>
      </c>
      <c r="D42" s="177"/>
      <c r="E42" s="177"/>
      <c r="F42" s="178"/>
      <c r="G42" s="4153" t="s">
        <v>1544</v>
      </c>
    </row>
    <row r="43" spans="1:7" ht="13.5" customHeight="1">
      <c r="A43" s="702" t="s">
        <v>347</v>
      </c>
      <c r="B43" s="154" t="s">
        <v>1545</v>
      </c>
      <c r="C43" s="177">
        <f ca="1">ROUND(IF('数据-取费表'!B22&lt;=1,C39*F22*'数据-取费表'!B21/2,C39*(POWER((1+F22),'数据-取费表'!B21/2)-1)),0)</f>
        <v>0</v>
      </c>
      <c r="D43" s="177"/>
      <c r="E43" s="177"/>
      <c r="F43" s="178"/>
      <c r="G43" s="4154"/>
    </row>
    <row r="44" spans="1:7" ht="13.5" customHeight="1">
      <c r="A44" s="702" t="s">
        <v>348</v>
      </c>
      <c r="B44" s="154" t="s">
        <v>1546</v>
      </c>
      <c r="C44" s="177">
        <f ca="1">ROUND(IF('数据-取费表'!B22&lt;=1,C40*F22*'数据-取费表'!B21/2,C40*(POWER((1+F22),'数据-取费表'!B21/2)-1)),4)</f>
        <v>0</v>
      </c>
      <c r="D44" s="177"/>
      <c r="E44" s="177"/>
      <c r="F44" s="178"/>
      <c r="G44" s="4155"/>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#DIV/0!</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#DIV/0!</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#DIV/0!</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343.31</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343.31</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f ca="1">ROUND(SUM(C23:C25),0)</f>
        <v>0</v>
      </c>
      <c r="D22" s="174">
        <f ca="1">C26</f>
        <v>0</v>
      </c>
      <c r="E22" s="175" t="s">
        <v>1579</v>
      </c>
      <c r="F22" s="176">
        <f ca="1">'数据-取费表'!B40</f>
        <v>4.7500000000000001E-2</v>
      </c>
      <c r="G22" s="173" t="str">
        <f>IF('数据-取费表'!B22&lt;=1,"单利计息","复利计息")</f>
        <v>复利计息</v>
      </c>
    </row>
    <row r="23" spans="1:7" s="153" customFormat="1" ht="13.5" customHeight="1">
      <c r="A23" s="702" t="s">
        <v>1472</v>
      </c>
      <c r="B23" s="154" t="s">
        <v>1583</v>
      </c>
      <c r="C23" s="1029">
        <f ca="1">ROUND(IF('数据-取费表'!B22&lt;=1,C5*F22*'数据-取费表'!B22,C5*(POWER((1+F22),'数据-取费表'!B22)-1)),0)</f>
        <v>0</v>
      </c>
      <c r="D23" s="177"/>
      <c r="E23" s="177"/>
      <c r="F23" s="178"/>
      <c r="G23" s="179" t="s">
        <v>1584</v>
      </c>
    </row>
    <row r="24" spans="1:7" s="153" customFormat="1" ht="13.5" customHeight="1">
      <c r="A24" s="702" t="s">
        <v>1474</v>
      </c>
      <c r="B24" s="154" t="s">
        <v>1585</v>
      </c>
      <c r="C24" s="1029">
        <f ca="1">ROUND(IF('数据-取费表'!B22&lt;=1,C19*F22*('数据-取费表'!B19/2+'数据-取费表'!B20),C19*(POWER((1+F22),('数据-取费表'!B19/2+'数据-取费表'!B20))-1)),0)</f>
        <v>0</v>
      </c>
      <c r="D24" s="177"/>
      <c r="E24" s="177"/>
      <c r="F24" s="178"/>
      <c r="G24" s="179" t="s">
        <v>1586</v>
      </c>
    </row>
    <row r="25" spans="1:7" s="153" customFormat="1" ht="24">
      <c r="A25" s="702" t="s">
        <v>1476</v>
      </c>
      <c r="B25" s="154" t="s">
        <v>1587</v>
      </c>
      <c r="C25" s="1029">
        <f ca="1">ROUND(IF('数据-取费表'!B22&lt;=1,C20*F22*'数据-取费表'!B22/2,C20*(POWER((1+F22),'数据-取费表'!B22/2)-1)),0)</f>
        <v>0</v>
      </c>
      <c r="D25" s="177"/>
      <c r="E25" s="180"/>
      <c r="F25" s="178"/>
      <c r="G25" s="181" t="s">
        <v>1588</v>
      </c>
    </row>
    <row r="26" spans="1:7" s="153" customFormat="1">
      <c r="A26" s="702" t="s">
        <v>350</v>
      </c>
      <c r="B26" s="154" t="s">
        <v>1511</v>
      </c>
      <c r="C26" s="177">
        <f ca="1">ROUND(IF('数据-取费表'!B22&lt;=1,F21*F22*'数据-取费表'!B22/2,F21*(POWER((1+F22),'数据-取费表'!B22/2)-1)),4)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343.31</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ROUND(IF('数据-取费表'!B22&lt;=1,C33*F22*'数据-取费表'!B20/2,C33*(POWER((1+F22),'数据-取费表'!B20/2)-1)),0)</f>
        <v>0</v>
      </c>
      <c r="D42" s="177"/>
      <c r="E42" s="177"/>
      <c r="F42" s="178"/>
      <c r="G42" s="4153" t="s">
        <v>1591</v>
      </c>
    </row>
    <row r="43" spans="1:7" ht="13.5" customHeight="1">
      <c r="A43" s="702" t="s">
        <v>347</v>
      </c>
      <c r="B43" s="154" t="s">
        <v>1545</v>
      </c>
      <c r="C43" s="177">
        <f ca="1">ROUND(IF('数据-取费表'!B22&lt;=1,C39*F22*'数据-取费表'!B20/2,C39*(POWER((1+F22),'数据-取费表'!B20/2)-1)),0)</f>
        <v>0</v>
      </c>
      <c r="D43" s="177"/>
      <c r="E43" s="177"/>
      <c r="F43" s="178"/>
      <c r="G43" s="4154"/>
    </row>
    <row r="44" spans="1:7" ht="13.5" customHeight="1">
      <c r="A44" s="702" t="s">
        <v>348</v>
      </c>
      <c r="B44" s="154" t="s">
        <v>1546</v>
      </c>
      <c r="C44" s="177">
        <f ca="1">ROUND(IF('数据-取费表'!B22&lt;=1,C40*F22*'数据-取费表'!B20/2,C40*(POWER((1+F22),'数据-取费表'!B20/2)-1)),4)</f>
        <v>0</v>
      </c>
      <c r="D44" s="177"/>
      <c r="E44" s="177"/>
      <c r="F44" s="178"/>
      <c r="G44" s="4155"/>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#DIV/0!</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#DIV/0!</v>
      </c>
      <c r="C2" s="215" t="s">
        <v>1595</v>
      </c>
      <c r="D2" s="215"/>
      <c r="E2" s="2441"/>
      <c r="F2" s="2441"/>
      <c r="G2" s="2441"/>
      <c r="H2" s="2441"/>
      <c r="I2" s="2441"/>
      <c r="J2" s="2441"/>
      <c r="K2" s="2441"/>
    </row>
    <row r="3" spans="1:33" ht="18" customHeight="1" thickBot="1">
      <c r="A3" s="142" t="s">
        <v>1464</v>
      </c>
      <c r="B3" s="143" t="e">
        <f ca="1">ROUND(B2*10000/IF(C1="",'数据-汇总表'!E3,INDIRECT("'数据-取费表'!K"&amp;$K$1)),0)</f>
        <v>#DIV/0!</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343.31</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343.31</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343.31</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f ca="1">C27</f>
        <v>0</v>
      </c>
      <c r="D25" s="219">
        <f ca="1">C26</f>
        <v>0</v>
      </c>
      <c r="E25" s="221" t="s">
        <v>12</v>
      </c>
      <c r="F25" s="222">
        <f ca="1">'数据-取费表'!B40</f>
        <v>4.7500000000000001E-2</v>
      </c>
      <c r="G25" s="70" t="str">
        <f>IF('数据-取费表'!B22&lt;=1,"单利计息。","复利计息。")&amp;"后续开发成本、管理费用及销售费用产生的利息。"</f>
        <v>复利计息。后续开发成本、管理费用及销售费用产生的利息。</v>
      </c>
      <c r="H25" s="740"/>
      <c r="I25" s="740"/>
      <c r="J25" s="740"/>
      <c r="K25" s="741"/>
    </row>
    <row r="26" spans="1:33" s="743" customFormat="1" ht="13.5" customHeight="1">
      <c r="A26" s="722" t="s">
        <v>358</v>
      </c>
      <c r="B26" s="742" t="s">
        <v>1639</v>
      </c>
      <c r="C26" s="1008">
        <f ca="1">ROUND(IF('数据-取费表'!B22&lt;=1,(1+C24)*F25*'数据-取费表'!B24,(1+C24)*(POWER((1+F25),'数据-取费表'!B24)-1)),4)</f>
        <v>0</v>
      </c>
      <c r="D26" s="223"/>
      <c r="E26" s="224"/>
      <c r="F26" s="225"/>
      <c r="G26" s="1684" t="str">
        <f>IF('数据-取费表'!B22&lt;=1,"（(1)+取得税费率/(1+5%)）×年利率×建设期","（(1)+取得税费率）/(1+5%)×((1+年利率)^建设期-1)")</f>
        <v>（(1)+取得税费率）/(1+5%)×((1+年利率)^建设期-1)</v>
      </c>
      <c r="H26" s="729"/>
      <c r="I26" s="729"/>
      <c r="J26" s="729"/>
      <c r="K26" s="730"/>
    </row>
    <row r="27" spans="1:33" s="743" customFormat="1" ht="13.5" customHeight="1">
      <c r="A27" s="722" t="s">
        <v>359</v>
      </c>
      <c r="B27" s="742" t="s">
        <v>1640</v>
      </c>
      <c r="C27" s="1009">
        <f ca="1">ROUND(IF('数据-取费表'!B22&lt;=1,(C21+C22+C23)*F25*'数据-取费表'!B24/2,(C21+C22+C23)*(POWER((1+F25),'数据-取费表'!B24/2)-1)),0)</f>
        <v>0</v>
      </c>
      <c r="D27" s="223"/>
      <c r="E27" s="224"/>
      <c r="F27" s="225"/>
      <c r="G27" s="1684" t="str">
        <f>IF('数据-取费表'!B22&lt;=1,"（1）-（3）项×年利率×建设期÷2","（1）-（3）项×((1+年利率)^(建设期÷2)-1)")</f>
        <v>（1）-（3）项×((1+年利率)^(建设期÷2)-1)</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#DIV/0!</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#DIV/0!</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58" t="s">
        <v>694</v>
      </c>
      <c r="C6" s="976">
        <f ca="1">ROUND(F6*F8*F7*(1-F9)/10000,0)</f>
        <v>0</v>
      </c>
      <c r="D6" s="94" t="s">
        <v>2109</v>
      </c>
      <c r="E6" s="241" t="s">
        <v>696</v>
      </c>
      <c r="F6" s="242">
        <f ca="1">INDIRECT("'数据-取费表'!u"&amp;$G$1)</f>
        <v>0</v>
      </c>
      <c r="G6" s="1279"/>
      <c r="H6" s="971" t="s">
        <v>398</v>
      </c>
      <c r="I6" s="4158" t="s">
        <v>694</v>
      </c>
      <c r="J6" s="240">
        <f ca="1">ROUND(M6*M8*M7*(1-M9)/10000,0)</f>
        <v>0</v>
      </c>
      <c r="K6" s="94" t="s">
        <v>2108</v>
      </c>
      <c r="L6" s="241" t="s">
        <v>696</v>
      </c>
      <c r="M6" s="242">
        <f ca="1">INDIRECT("'数据-取费表'!z"&amp;$G$1)</f>
        <v>0</v>
      </c>
    </row>
    <row r="7" spans="1:37" ht="18" customHeight="1">
      <c r="A7" s="975"/>
      <c r="B7" s="4159"/>
      <c r="C7" s="977"/>
      <c r="D7" s="246"/>
      <c r="E7" s="978" t="s">
        <v>697</v>
      </c>
      <c r="F7" s="242">
        <f ca="1">IF(INDIRECT("'数据-取费表'!ah"&amp;$G$1)="",INDIRECT("'数据-取费表'!k"&amp;$G$1),INDIRECT("'数据-取费表'!ah"&amp;$G$1))</f>
        <v>0</v>
      </c>
      <c r="G7" s="1279"/>
      <c r="H7" s="243"/>
      <c r="I7" s="4159"/>
      <c r="J7" s="245"/>
      <c r="K7" s="246"/>
      <c r="L7" s="241" t="s">
        <v>697</v>
      </c>
      <c r="M7" s="242">
        <f ca="1">F7</f>
        <v>0</v>
      </c>
    </row>
    <row r="8" spans="1:37" ht="18" customHeight="1">
      <c r="A8" s="243"/>
      <c r="B8" s="4159"/>
      <c r="C8" s="245"/>
      <c r="D8" s="246"/>
      <c r="E8" s="241" t="s">
        <v>698</v>
      </c>
      <c r="F8" s="242">
        <f ca="1">INDIRECT("'数据-取费表'!ai"&amp;$G$1)</f>
        <v>0</v>
      </c>
      <c r="G8" s="1279"/>
      <c r="H8" s="243"/>
      <c r="I8" s="4159"/>
      <c r="J8" s="245"/>
      <c r="K8" s="246"/>
      <c r="L8" s="241" t="s">
        <v>698</v>
      </c>
      <c r="M8" s="242">
        <f ca="1">INDIRECT("'数据-取费表'!ai"&amp;$G$1)</f>
        <v>0</v>
      </c>
    </row>
    <row r="9" spans="1:37" ht="18" customHeight="1">
      <c r="A9" s="243"/>
      <c r="B9" s="4160"/>
      <c r="C9" s="245"/>
      <c r="D9" s="246"/>
      <c r="E9" s="241" t="s">
        <v>699</v>
      </c>
      <c r="F9" s="251">
        <f ca="1">INDIRECT("'数据-取费表'!w"&amp;$G$1)</f>
        <v>0</v>
      </c>
      <c r="G9" s="1279"/>
      <c r="H9" s="243"/>
      <c r="I9" s="4160"/>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ROUND(J14*M22,2)</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ROUND(J13*M23,2)</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ROUND(C29*F36,2)</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ROUND(C13*F37,2)</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#DIV/0!</v>
      </c>
      <c r="D46" s="1301" t="str">
        <f>C2</f>
        <v>万元</v>
      </c>
      <c r="E46" s="1295"/>
      <c r="F46" s="1295"/>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56" t="s">
        <v>837</v>
      </c>
      <c r="L53" s="4157"/>
      <c r="O53" s="1313" t="s">
        <v>409</v>
      </c>
      <c r="P53" s="1314" t="s">
        <v>838</v>
      </c>
      <c r="Q53" s="1315" t="e">
        <f ca="1">Q47+Q48</f>
        <v>#DIV/0!</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f ca="1">C13</f>
        <v>0</v>
      </c>
      <c r="D56" s="1342"/>
      <c r="E56" s="1343"/>
      <c r="F56" s="1335"/>
      <c r="I56" s="1344" t="s">
        <v>842</v>
      </c>
      <c r="J56" s="1345"/>
      <c r="K56" s="1316" t="s">
        <v>843</v>
      </c>
      <c r="L56" s="1319">
        <f ca="1">IF(L48&lt;J51,"——",L48-J53)</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845</v>
      </c>
      <c r="L57" s="1319">
        <f ca="1">IF(L48&lt;J51,"——",IF(L55="比较法",L49,IF(L55="基准地价",L50,L51)))</f>
        <v>0</v>
      </c>
      <c r="O57" s="1313" t="s">
        <v>404</v>
      </c>
      <c r="P57" s="1314" t="s">
        <v>846</v>
      </c>
      <c r="Q57" s="1315" t="e">
        <f ca="1">L60</f>
        <v>#DIV/0!</v>
      </c>
      <c r="R57" s="1315" t="s">
        <v>847</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ROUND(C57*F64,2)</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ROUND(C56*F65,2)</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ROUND(C68*10000/F71,0)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#DIV/0!</v>
      </c>
      <c r="C2" s="1282" t="s">
        <v>879</v>
      </c>
      <c r="D2" s="1366" t="e">
        <f ca="1">C40+J29+L46</f>
        <v>#DIV/0!</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58" t="s">
        <v>694</v>
      </c>
      <c r="C6" s="976">
        <f ca="1">ROUND(F6*F8*F7*(1-F9),0)</f>
        <v>0</v>
      </c>
      <c r="D6" s="94" t="s">
        <v>2106</v>
      </c>
      <c r="E6" s="241" t="s">
        <v>696</v>
      </c>
      <c r="F6" s="242">
        <f ca="1">INDIRECT("'数据-取费表'!u"&amp;$G$1)</f>
        <v>0</v>
      </c>
      <c r="G6" s="1279"/>
      <c r="H6" s="971" t="s">
        <v>398</v>
      </c>
      <c r="I6" s="4158" t="s">
        <v>694</v>
      </c>
      <c r="J6" s="240">
        <f ca="1">ROUND(M6*M8*M7*(1-M9),0)</f>
        <v>0</v>
      </c>
      <c r="K6" s="1271" t="s">
        <v>2107</v>
      </c>
      <c r="L6" s="241" t="s">
        <v>696</v>
      </c>
      <c r="M6" s="242">
        <f ca="1">INDIRECT("'数据-取费表'!z"&amp;$G$1)</f>
        <v>0</v>
      </c>
    </row>
    <row r="7" spans="1:37" ht="18" customHeight="1">
      <c r="A7" s="975"/>
      <c r="B7" s="4159"/>
      <c r="C7" s="977"/>
      <c r="D7" s="246"/>
      <c r="E7" s="978" t="s">
        <v>697</v>
      </c>
      <c r="F7" s="242">
        <f ca="1">IF(INDIRECT("'数据-取费表'!ah"&amp;$G$1)="",INDIRECT("'数据-取费表'!k"&amp;$G$1),INDIRECT("'数据-取费表'!ah"&amp;$G$1))</f>
        <v>0</v>
      </c>
      <c r="G7" s="1279"/>
      <c r="H7" s="243"/>
      <c r="I7" s="4159"/>
      <c r="J7" s="245"/>
      <c r="K7" s="246"/>
      <c r="L7" s="241" t="s">
        <v>697</v>
      </c>
      <c r="M7" s="242">
        <f ca="1">F7</f>
        <v>0</v>
      </c>
    </row>
    <row r="8" spans="1:37" ht="18" customHeight="1">
      <c r="A8" s="243"/>
      <c r="B8" s="4159"/>
      <c r="C8" s="245"/>
      <c r="D8" s="246"/>
      <c r="E8" s="241" t="s">
        <v>698</v>
      </c>
      <c r="F8" s="242">
        <f ca="1">INDIRECT("'数据-取费表'!ai"&amp;$G$1)</f>
        <v>0</v>
      </c>
      <c r="G8" s="1279"/>
      <c r="H8" s="243"/>
      <c r="I8" s="4159"/>
      <c r="J8" s="245"/>
      <c r="K8" s="246"/>
      <c r="L8" s="241" t="s">
        <v>698</v>
      </c>
      <c r="M8" s="242">
        <f ca="1">INDIRECT("'数据-取费表'!ai"&amp;$G$1)</f>
        <v>0</v>
      </c>
    </row>
    <row r="9" spans="1:37" ht="18" customHeight="1">
      <c r="A9" s="243"/>
      <c r="B9" s="4160"/>
      <c r="C9" s="245"/>
      <c r="D9" s="246"/>
      <c r="E9" s="241" t="s">
        <v>699</v>
      </c>
      <c r="F9" s="251">
        <f ca="1">INDIRECT("'数据-取费表'!w"&amp;$G$1)</f>
        <v>0</v>
      </c>
      <c r="G9" s="1279"/>
      <c r="H9" s="243"/>
      <c r="I9" s="4160"/>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ROUND(J14*M22,0)</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ROUND(J13*M23,0)</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ROUND(C29*F36,0)</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ROUND(C13*F37,0)</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3349</v>
      </c>
      <c r="B45" s="1295"/>
      <c r="C45" s="1367" t="e">
        <f ca="1">ROUND((C68-C40)/10000,4)</f>
        <v>#DIV/0!</v>
      </c>
      <c r="D45" s="3054" t="s">
        <v>3350</v>
      </c>
      <c r="E45" s="1295"/>
      <c r="F45" s="1295"/>
      <c r="O45" s="1298" t="s">
        <v>808</v>
      </c>
      <c r="P45" s="1356"/>
      <c r="Q45" s="1356"/>
      <c r="R45" s="1356"/>
    </row>
    <row r="46" spans="1:18" s="1279"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56" t="s">
        <v>837</v>
      </c>
      <c r="L53" s="4157"/>
      <c r="O53" s="1313" t="s">
        <v>409</v>
      </c>
      <c r="P53" s="1314" t="s">
        <v>838</v>
      </c>
      <c r="Q53" s="1315" t="e">
        <f ca="1">Q47+Q48</f>
        <v>#DIV/0!</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f ca="1">C13</f>
        <v>0</v>
      </c>
      <c r="D56" s="1342"/>
      <c r="E56" s="1343"/>
      <c r="F56" s="1335"/>
      <c r="I56" s="1344" t="s">
        <v>842</v>
      </c>
      <c r="J56" s="1345"/>
      <c r="K56" s="1316" t="s">
        <v>843</v>
      </c>
      <c r="L56" s="1319">
        <f ca="1">IF(L48&lt;J51,"——",L48-J51)</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892</v>
      </c>
      <c r="L57" s="1319">
        <f ca="1">IF(L48&lt;J51,"——",IF(L55="比较法",L49,IF(L55="基准地价",L50,L51)))</f>
        <v>0</v>
      </c>
      <c r="O57" s="1313" t="s">
        <v>404</v>
      </c>
      <c r="P57" s="1314" t="s">
        <v>893</v>
      </c>
      <c r="Q57" s="1315" t="e">
        <f ca="1">L60</f>
        <v>#DIV/0!</v>
      </c>
      <c r="R57" s="1315" t="s">
        <v>894</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ROUND(C57*F64,0)</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ROUND(C56*F65,0)</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估价对象为北京市宣武门西大街甲127号0101、0102号房屋房地产，为所有。根据《国有土地使用证》[]，估价对象（分摊）出让国有建设用地使用权面积为0平方米，建筑面积为343.31平方米。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343.31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2023年8月4日（评估专业人员实地查勘之日）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2428</v>
      </c>
      <c r="B1" s="2465"/>
      <c r="C1" s="2477"/>
      <c r="D1" s="2477"/>
      <c r="E1" s="2466"/>
      <c r="F1" s="2467"/>
      <c r="G1" s="2468"/>
      <c r="J1" s="2471" t="s">
        <v>2307</v>
      </c>
      <c r="K1" s="2472"/>
      <c r="L1" s="2472"/>
      <c r="M1" s="2472"/>
      <c r="N1" s="2472"/>
      <c r="O1" s="2472"/>
      <c r="P1" s="2472"/>
      <c r="Q1" s="2472"/>
      <c r="R1" s="2473"/>
      <c r="S1" s="2474"/>
      <c r="T1" s="2474"/>
      <c r="U1" s="2474"/>
    </row>
    <row r="2" spans="1:22" s="2486" customFormat="1" ht="13.15" customHeight="1">
      <c r="A2" s="1280" t="s">
        <v>2308</v>
      </c>
      <c r="B2" s="2476" t="e">
        <f>IF(D2="——",C40,C40+E2)</f>
        <v>#DIV/0!</v>
      </c>
      <c r="C2" s="2477" t="s">
        <v>2309</v>
      </c>
      <c r="D2" s="3063" t="s">
        <v>3356</v>
      </c>
      <c r="E2" s="3064"/>
      <c r="F2" s="2479"/>
      <c r="G2" s="2480"/>
      <c r="H2" s="2481"/>
      <c r="I2" s="2482"/>
      <c r="J2" s="4161" t="s">
        <v>2310</v>
      </c>
      <c r="K2" s="4162"/>
      <c r="L2" s="2483" t="s">
        <v>2311</v>
      </c>
      <c r="M2" s="2483" t="s">
        <v>2312</v>
      </c>
      <c r="N2" s="2483" t="s">
        <v>2313</v>
      </c>
      <c r="O2" s="2483" t="s">
        <v>2314</v>
      </c>
      <c r="P2" s="2483" t="s">
        <v>2315</v>
      </c>
      <c r="Q2" s="2484" t="s">
        <v>2316</v>
      </c>
      <c r="R2" s="2485" t="s">
        <v>2317</v>
      </c>
      <c r="S2" s="2474"/>
      <c r="T2" s="2474"/>
      <c r="U2" s="2474"/>
      <c r="V2" s="2482"/>
    </row>
    <row r="3" spans="1:22" s="2486" customFormat="1" ht="13.15" customHeight="1">
      <c r="A3" s="2487" t="s">
        <v>2318</v>
      </c>
      <c r="B3" s="2488" t="e">
        <f>ROUND(B2*10000/B4,0)</f>
        <v>#DIV/0!</v>
      </c>
      <c r="C3" s="2477" t="s">
        <v>2319</v>
      </c>
      <c r="D3" s="2477"/>
      <c r="E3" s="2478"/>
      <c r="F3" s="2479"/>
      <c r="G3" s="2480"/>
      <c r="H3" s="2481"/>
      <c r="I3" s="2482"/>
      <c r="J3" s="4163" t="s">
        <v>2320</v>
      </c>
      <c r="K3" s="4164"/>
      <c r="L3" s="2489"/>
      <c r="M3" s="2489"/>
      <c r="N3" s="2489"/>
      <c r="O3" s="2489"/>
      <c r="P3" s="2489"/>
      <c r="Q3" s="2490"/>
      <c r="R3" s="2491">
        <f>SUM(L3:Q3)</f>
        <v>0</v>
      </c>
      <c r="S3" s="2474"/>
      <c r="T3" s="2474"/>
      <c r="U3" s="2474"/>
      <c r="V3" s="2482"/>
    </row>
    <row r="4" spans="1:22" s="2486" customFormat="1" ht="13.15" customHeight="1">
      <c r="A4" s="2492" t="s">
        <v>2321</v>
      </c>
      <c r="B4" s="2493"/>
      <c r="C4" s="2477"/>
      <c r="D4" s="2477"/>
      <c r="E4" s="2478"/>
      <c r="F4" s="2479"/>
      <c r="G4" s="2480"/>
      <c r="H4" s="2481"/>
      <c r="I4" s="2482"/>
      <c r="J4" s="4163" t="s">
        <v>2322</v>
      </c>
      <c r="K4" s="4164"/>
      <c r="L4" s="2494"/>
      <c r="M4" s="2494"/>
      <c r="N4" s="2494"/>
      <c r="O4" s="2494"/>
      <c r="P4" s="2494"/>
      <c r="Q4" s="2495"/>
      <c r="R4" s="2496">
        <f>SUM(L4:Q4)</f>
        <v>0</v>
      </c>
      <c r="S4" s="2474"/>
      <c r="T4" s="2474"/>
      <c r="U4" s="2474"/>
      <c r="V4" s="2482"/>
    </row>
    <row r="5" spans="1:22" s="2486" customFormat="1" ht="13.15" customHeight="1" thickBot="1">
      <c r="A5" s="2497" t="s">
        <v>2323</v>
      </c>
      <c r="B5" s="2498"/>
      <c r="C5" s="2477"/>
      <c r="D5" s="2499"/>
      <c r="E5" s="2479"/>
      <c r="F5" s="2479"/>
      <c r="G5" s="2480"/>
      <c r="H5" s="2481"/>
      <c r="I5" s="2482"/>
      <c r="J5" s="2500" t="s">
        <v>2324</v>
      </c>
      <c r="K5" s="2501"/>
      <c r="L5" s="2501"/>
      <c r="M5" s="2502"/>
      <c r="N5" s="2502"/>
      <c r="O5" s="2502"/>
      <c r="P5" s="2502"/>
      <c r="Q5" s="2502"/>
      <c r="R5" s="2485">
        <f>SUM(R14,R19,R24,R25,R27,R28)</f>
        <v>0</v>
      </c>
      <c r="S5" s="2474"/>
      <c r="T5" s="2474" t="s">
        <v>2325</v>
      </c>
      <c r="U5" s="2474" t="e">
        <f>ROUND(R5*10000/365/R3,1)</f>
        <v>#DIV/0!</v>
      </c>
      <c r="V5" s="2482"/>
    </row>
    <row r="6" spans="1:22" s="2486" customFormat="1" ht="13.15" customHeight="1" thickBot="1">
      <c r="A6" s="4165" t="s">
        <v>2326</v>
      </c>
      <c r="B6" s="4166"/>
      <c r="C6" s="4167"/>
      <c r="D6" s="2503"/>
      <c r="E6" s="2504"/>
      <c r="F6" s="2505"/>
      <c r="G6" s="2506"/>
      <c r="H6" s="2481"/>
      <c r="I6" s="2482"/>
      <c r="J6" s="4168">
        <v>1</v>
      </c>
      <c r="K6" s="4169" t="s">
        <v>2327</v>
      </c>
      <c r="L6" s="2507" t="s">
        <v>2328</v>
      </c>
      <c r="M6" s="2508" t="s">
        <v>2329</v>
      </c>
      <c r="N6" s="2508" t="s">
        <v>2330</v>
      </c>
      <c r="O6" s="2508" t="s">
        <v>2331</v>
      </c>
      <c r="P6" s="2508" t="s">
        <v>2332</v>
      </c>
      <c r="Q6" s="2508" t="s">
        <v>2333</v>
      </c>
      <c r="R6" s="2491" t="s">
        <v>2334</v>
      </c>
      <c r="S6" s="2474"/>
      <c r="T6" s="2474" t="s">
        <v>2335</v>
      </c>
      <c r="U6" s="2474"/>
      <c r="V6" s="2482"/>
    </row>
    <row r="7" spans="1:22" s="2486" customFormat="1" ht="13.15" customHeight="1">
      <c r="A7" s="2509" t="s">
        <v>2336</v>
      </c>
      <c r="B7" s="2510"/>
      <c r="C7" s="2511"/>
      <c r="D7" s="2512">
        <f>SUM(D9,D10,D11,D17,0)</f>
        <v>0</v>
      </c>
      <c r="E7" s="2513" t="e">
        <f>E9+E10+E11+E17</f>
        <v>#DIV/0!</v>
      </c>
      <c r="F7" s="2514"/>
      <c r="G7" s="2515"/>
      <c r="H7" s="2481"/>
      <c r="I7" s="2482"/>
      <c r="J7" s="4168"/>
      <c r="K7" s="4170"/>
      <c r="L7" s="2516" t="s">
        <v>2337</v>
      </c>
      <c r="M7" s="2517"/>
      <c r="N7" s="2493"/>
      <c r="O7" s="2518"/>
      <c r="P7" s="2518"/>
      <c r="Q7" s="2519">
        <v>365</v>
      </c>
      <c r="R7" s="2520">
        <f>ROUND(M7*N7*O7*P7*Q7/10000,0)</f>
        <v>0</v>
      </c>
      <c r="S7" s="2474"/>
      <c r="T7" s="2474" t="s">
        <v>2338</v>
      </c>
      <c r="U7" s="2474"/>
      <c r="V7" s="2482"/>
    </row>
    <row r="8" spans="1:22" s="2486" customFormat="1" ht="13.15" customHeight="1">
      <c r="A8" s="2521" t="s">
        <v>2339</v>
      </c>
      <c r="B8" s="4172" t="s">
        <v>2340</v>
      </c>
      <c r="C8" s="4173"/>
      <c r="D8" s="2522" t="s">
        <v>2341</v>
      </c>
      <c r="E8" s="2523" t="s">
        <v>2342</v>
      </c>
      <c r="F8" s="2524" t="s">
        <v>2343</v>
      </c>
      <c r="G8" s="2525"/>
      <c r="H8" s="2481"/>
      <c r="I8" s="2482"/>
      <c r="J8" s="4168"/>
      <c r="K8" s="4170"/>
      <c r="L8" s="2516" t="s">
        <v>2344</v>
      </c>
      <c r="M8" s="2517"/>
      <c r="N8" s="2493"/>
      <c r="O8" s="2518"/>
      <c r="P8" s="2518"/>
      <c r="Q8" s="2519">
        <v>365</v>
      </c>
      <c r="R8" s="2520">
        <f t="shared" ref="R8:R13" si="0">ROUND(M8*N8*O8*P8*Q8/10000,0)</f>
        <v>0</v>
      </c>
      <c r="S8" s="2474"/>
      <c r="T8" s="2474" t="s">
        <v>2345</v>
      </c>
      <c r="U8" s="2474"/>
      <c r="V8" s="2482"/>
    </row>
    <row r="9" spans="1:22" s="2486" customFormat="1" ht="13.15" customHeight="1">
      <c r="A9" s="2521">
        <v>1</v>
      </c>
      <c r="B9" s="4172" t="s">
        <v>2346</v>
      </c>
      <c r="C9" s="4173"/>
      <c r="D9" s="2522">
        <f>ROUND(D6*E9,0)</f>
        <v>0</v>
      </c>
      <c r="E9" s="2526"/>
      <c r="F9" s="2527" t="s">
        <v>2347</v>
      </c>
      <c r="G9" s="2506"/>
      <c r="H9" s="2481"/>
      <c r="I9" s="2482"/>
      <c r="J9" s="4168"/>
      <c r="K9" s="4170"/>
      <c r="L9" s="2516" t="s">
        <v>2348</v>
      </c>
      <c r="M9" s="2517"/>
      <c r="N9" s="2493"/>
      <c r="O9" s="2518"/>
      <c r="P9" s="2518"/>
      <c r="Q9" s="2519">
        <v>365</v>
      </c>
      <c r="R9" s="2520">
        <f t="shared" si="0"/>
        <v>0</v>
      </c>
      <c r="S9" s="2474"/>
      <c r="T9" s="2474"/>
      <c r="U9" s="2474"/>
      <c r="V9" s="2482"/>
    </row>
    <row r="10" spans="1:22" s="2486" customFormat="1" ht="13.15" customHeight="1">
      <c r="A10" s="2521">
        <v>2</v>
      </c>
      <c r="B10" s="4172" t="s">
        <v>2349</v>
      </c>
      <c r="C10" s="4173"/>
      <c r="D10" s="2522">
        <f>ROUND(D6*E10,0)</f>
        <v>0</v>
      </c>
      <c r="E10" s="2526"/>
      <c r="F10" s="2527" t="s">
        <v>2350</v>
      </c>
      <c r="G10" s="2506"/>
      <c r="H10" s="2481"/>
      <c r="I10" s="2482"/>
      <c r="J10" s="4168"/>
      <c r="K10" s="4170"/>
      <c r="L10" s="2516" t="s">
        <v>2351</v>
      </c>
      <c r="M10" s="2517"/>
      <c r="N10" s="2493"/>
      <c r="O10" s="2518"/>
      <c r="P10" s="2518"/>
      <c r="Q10" s="2519">
        <v>365</v>
      </c>
      <c r="R10" s="2520">
        <f t="shared" si="0"/>
        <v>0</v>
      </c>
      <c r="S10" s="2474"/>
      <c r="T10" s="2474"/>
      <c r="U10" s="2474"/>
      <c r="V10" s="2482"/>
    </row>
    <row r="11" spans="1:22" s="2486" customFormat="1" ht="13.15" customHeight="1">
      <c r="A11" s="2521">
        <v>3</v>
      </c>
      <c r="B11" s="4172" t="s">
        <v>2352</v>
      </c>
      <c r="C11" s="4173"/>
      <c r="D11" s="2522">
        <f>D12+D14+D15+D16</f>
        <v>0</v>
      </c>
      <c r="E11" s="2528" t="e">
        <f>D11/D6</f>
        <v>#DIV/0!</v>
      </c>
      <c r="F11" s="2524"/>
      <c r="G11" s="2525"/>
      <c r="H11" s="2481"/>
      <c r="I11" s="2482"/>
      <c r="J11" s="4168"/>
      <c r="K11" s="4170"/>
      <c r="L11" s="2516" t="s">
        <v>2353</v>
      </c>
      <c r="M11" s="2517"/>
      <c r="N11" s="2493"/>
      <c r="O11" s="2518"/>
      <c r="P11" s="2518"/>
      <c r="Q11" s="2519">
        <v>365</v>
      </c>
      <c r="R11" s="2520">
        <f t="shared" si="0"/>
        <v>0</v>
      </c>
      <c r="S11" s="2474"/>
      <c r="T11" s="2474"/>
      <c r="U11" s="2474"/>
      <c r="V11" s="2482"/>
    </row>
    <row r="12" spans="1:22" s="2486" customFormat="1" ht="13.15" customHeight="1">
      <c r="A12" s="2529" t="s">
        <v>2354</v>
      </c>
      <c r="B12" s="4174" t="s">
        <v>2355</v>
      </c>
      <c r="C12" s="4175"/>
      <c r="D12" s="2530">
        <f>ROUND(D13*1.2%*(1-30%),0)</f>
        <v>0</v>
      </c>
      <c r="E12" s="2531">
        <v>1.2E-2</v>
      </c>
      <c r="F12" s="2524" t="s">
        <v>2356</v>
      </c>
      <c r="G12" s="2525"/>
      <c r="H12" s="2481"/>
      <c r="I12" s="2482"/>
      <c r="J12" s="4168"/>
      <c r="K12" s="4170"/>
      <c r="L12" s="2516" t="s">
        <v>2357</v>
      </c>
      <c r="M12" s="2517"/>
      <c r="N12" s="2493"/>
      <c r="O12" s="2518"/>
      <c r="P12" s="2518"/>
      <c r="Q12" s="2519">
        <v>365</v>
      </c>
      <c r="R12" s="2520">
        <f t="shared" si="0"/>
        <v>0</v>
      </c>
      <c r="S12" s="2474"/>
      <c r="T12" s="2474"/>
      <c r="U12" s="2474"/>
      <c r="V12" s="2482"/>
    </row>
    <row r="13" spans="1:22" s="2486" customFormat="1" ht="13.15" customHeight="1">
      <c r="A13" s="2529"/>
      <c r="B13" s="2532"/>
      <c r="C13" s="2533" t="s">
        <v>2358</v>
      </c>
      <c r="D13" s="2534"/>
      <c r="E13" s="2535"/>
      <c r="F13" s="2524"/>
      <c r="G13" s="2525"/>
      <c r="H13" s="2481"/>
      <c r="I13" s="2482"/>
      <c r="J13" s="4168"/>
      <c r="K13" s="4170"/>
      <c r="L13" s="2516" t="s">
        <v>2359</v>
      </c>
      <c r="M13" s="2517"/>
      <c r="N13" s="2493"/>
      <c r="O13" s="2518"/>
      <c r="P13" s="2518"/>
      <c r="Q13" s="2519">
        <v>365</v>
      </c>
      <c r="R13" s="2520">
        <f t="shared" si="0"/>
        <v>0</v>
      </c>
      <c r="S13" s="2474"/>
      <c r="T13" s="2474"/>
      <c r="U13" s="2474"/>
      <c r="V13" s="2482"/>
    </row>
    <row r="14" spans="1:22" s="2486" customFormat="1" ht="13.15" customHeight="1">
      <c r="A14" s="2529" t="s">
        <v>2360</v>
      </c>
      <c r="B14" s="4174" t="s">
        <v>2361</v>
      </c>
      <c r="C14" s="4175"/>
      <c r="D14" s="2530">
        <f>ROUND(E14*B5/10000,0)</f>
        <v>0</v>
      </c>
      <c r="E14" s="2519"/>
      <c r="F14" s="2524" t="s">
        <v>2362</v>
      </c>
      <c r="G14" s="2525"/>
      <c r="H14" s="2481"/>
      <c r="I14" s="2482"/>
      <c r="J14" s="4168"/>
      <c r="K14" s="4171"/>
      <c r="L14" s="2536" t="s">
        <v>2363</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2364</v>
      </c>
      <c r="B15" s="4174" t="s">
        <v>2365</v>
      </c>
      <c r="C15" s="4175"/>
      <c r="D15" s="2530">
        <f>ROUND(D6*E15,0)</f>
        <v>0</v>
      </c>
      <c r="E15" s="2531">
        <v>5.5E-2</v>
      </c>
      <c r="F15" s="2524" t="s">
        <v>2366</v>
      </c>
      <c r="G15" s="2506"/>
      <c r="H15" s="2481"/>
      <c r="I15" s="2482"/>
      <c r="J15" s="4168">
        <v>2</v>
      </c>
      <c r="K15" s="4169" t="s">
        <v>2367</v>
      </c>
      <c r="L15" s="2516" t="s">
        <v>2368</v>
      </c>
      <c r="M15" s="2517" t="s">
        <v>2369</v>
      </c>
      <c r="N15" s="2517" t="s">
        <v>2370</v>
      </c>
      <c r="O15" s="2518" t="s">
        <v>2371</v>
      </c>
      <c r="P15" s="2518" t="s">
        <v>2333</v>
      </c>
      <c r="Q15" s="2493" t="s">
        <v>2372</v>
      </c>
      <c r="R15" s="2540" t="s">
        <v>2334</v>
      </c>
      <c r="S15" s="2474"/>
      <c r="T15" s="2474"/>
      <c r="U15" s="2474"/>
      <c r="V15" s="2482"/>
    </row>
    <row r="16" spans="1:22" s="2486" customFormat="1" ht="13.15" customHeight="1">
      <c r="A16" s="2529" t="s">
        <v>2373</v>
      </c>
      <c r="B16" s="4174" t="s">
        <v>2374</v>
      </c>
      <c r="C16" s="4175"/>
      <c r="D16" s="2541">
        <f>D6*E16</f>
        <v>0</v>
      </c>
      <c r="E16" s="2542"/>
      <c r="F16" s="2527" t="s">
        <v>2375</v>
      </c>
      <c r="G16" s="2506"/>
      <c r="H16" s="2481"/>
      <c r="I16" s="2482"/>
      <c r="J16" s="4168"/>
      <c r="K16" s="4170"/>
      <c r="L16" s="2516" t="s">
        <v>2376</v>
      </c>
      <c r="M16" s="2517"/>
      <c r="N16" s="2517"/>
      <c r="O16" s="2518"/>
      <c r="P16" s="2519">
        <v>365</v>
      </c>
      <c r="Q16" s="2493"/>
      <c r="R16" s="2540">
        <f>ROUND(M16*N16*O16*P16/10000,0)</f>
        <v>0</v>
      </c>
      <c r="S16" s="2474"/>
      <c r="T16" s="2474"/>
      <c r="U16" s="2474"/>
      <c r="V16" s="2482"/>
    </row>
    <row r="17" spans="1:22" s="2486" customFormat="1" ht="13.15" customHeight="1" thickBot="1">
      <c r="A17" s="2543">
        <v>4</v>
      </c>
      <c r="B17" s="4176" t="s">
        <v>2377</v>
      </c>
      <c r="C17" s="4177"/>
      <c r="D17" s="2544">
        <f>ROUND(D6*E17,0)</f>
        <v>0</v>
      </c>
      <c r="E17" s="2545"/>
      <c r="F17" s="2546" t="s">
        <v>2378</v>
      </c>
      <c r="G17" s="2506"/>
      <c r="H17" s="2481"/>
      <c r="I17" s="2482"/>
      <c r="J17" s="4168"/>
      <c r="K17" s="4170"/>
      <c r="L17" s="2516" t="s">
        <v>2379</v>
      </c>
      <c r="M17" s="2517"/>
      <c r="N17" s="2517"/>
      <c r="O17" s="2518"/>
      <c r="P17" s="2519">
        <v>365</v>
      </c>
      <c r="Q17" s="2493"/>
      <c r="R17" s="2540">
        <f>ROUND(M17*N17*O17*P17/10000,0)</f>
        <v>0</v>
      </c>
      <c r="S17" s="2474"/>
      <c r="T17" s="2474"/>
      <c r="U17" s="2474"/>
      <c r="V17" s="2482"/>
    </row>
    <row r="18" spans="1:22" s="2486" customFormat="1" ht="13.15" customHeight="1" thickBot="1">
      <c r="A18" s="2509" t="s">
        <v>2380</v>
      </c>
      <c r="B18" s="2510"/>
      <c r="C18" s="2510"/>
      <c r="D18" s="2547">
        <f>ROUND(D6*E18,0)</f>
        <v>0</v>
      </c>
      <c r="E18" s="2548"/>
      <c r="F18" s="2549" t="s">
        <v>2381</v>
      </c>
      <c r="G18" s="2506"/>
      <c r="H18" s="2481"/>
      <c r="I18" s="2482"/>
      <c r="J18" s="4168"/>
      <c r="K18" s="4170"/>
      <c r="L18" s="2516" t="s">
        <v>2382</v>
      </c>
      <c r="M18" s="2517"/>
      <c r="N18" s="2517"/>
      <c r="O18" s="2518"/>
      <c r="P18" s="2519">
        <v>365</v>
      </c>
      <c r="Q18" s="2493"/>
      <c r="R18" s="2540">
        <f>ROUND(M18*N18*O18*P18/10000,0)</f>
        <v>0</v>
      </c>
      <c r="S18" s="2474"/>
      <c r="T18" s="2474"/>
      <c r="U18" s="2474"/>
      <c r="V18" s="2482"/>
    </row>
    <row r="19" spans="1:22" s="2486" customFormat="1" ht="13.15" customHeight="1" thickBot="1">
      <c r="A19" s="2550" t="s">
        <v>2383</v>
      </c>
      <c r="B19" s="2504"/>
      <c r="C19" s="2504"/>
      <c r="D19" s="2504"/>
      <c r="E19" s="2504"/>
      <c r="F19" s="2505"/>
      <c r="G19" s="2525"/>
      <c r="H19" s="2481"/>
      <c r="I19" s="2482"/>
      <c r="J19" s="4168"/>
      <c r="K19" s="4171"/>
      <c r="L19" s="2536" t="s">
        <v>2363</v>
      </c>
      <c r="M19" s="2537"/>
      <c r="N19" s="2537">
        <f>SUM(N16:N18)</f>
        <v>0</v>
      </c>
      <c r="O19" s="2538"/>
      <c r="P19" s="2551" t="s">
        <v>2427</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68">
        <v>3</v>
      </c>
      <c r="K20" s="4169" t="s">
        <v>2384</v>
      </c>
      <c r="L20" s="2516" t="s">
        <v>2385</v>
      </c>
      <c r="M20" s="2517" t="s">
        <v>2386</v>
      </c>
      <c r="N20" s="2554" t="s">
        <v>2387</v>
      </c>
      <c r="O20" s="2518" t="s">
        <v>2388</v>
      </c>
      <c r="P20" s="2519" t="s">
        <v>2389</v>
      </c>
      <c r="Q20" s="2493" t="s">
        <v>2390</v>
      </c>
      <c r="R20" s="2540" t="s">
        <v>2391</v>
      </c>
      <c r="S20" s="2555"/>
      <c r="T20" s="2555"/>
      <c r="U20" s="2555"/>
      <c r="V20" s="2482"/>
    </row>
    <row r="21" spans="1:22" s="2486" customFormat="1" ht="13.15" customHeight="1">
      <c r="A21" s="2509"/>
      <c r="B21" s="2510"/>
      <c r="C21" s="2556" t="s">
        <v>2392</v>
      </c>
      <c r="D21" s="2557" t="s">
        <v>2393</v>
      </c>
      <c r="E21" s="2558" t="s">
        <v>2394</v>
      </c>
      <c r="F21" s="2553"/>
      <c r="G21" s="2525"/>
      <c r="H21" s="2481"/>
      <c r="I21" s="2482"/>
      <c r="J21" s="4168"/>
      <c r="K21" s="4170"/>
      <c r="L21" s="2516" t="s">
        <v>2395</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2396</v>
      </c>
      <c r="D22" s="2561" t="s">
        <v>2397</v>
      </c>
      <c r="E22" s="2562" t="s">
        <v>2398</v>
      </c>
      <c r="F22" s="2553"/>
      <c r="G22" s="2563"/>
      <c r="H22" s="2481"/>
      <c r="I22" s="2482"/>
      <c r="J22" s="4168"/>
      <c r="K22" s="4170"/>
      <c r="L22" s="2516" t="s">
        <v>2399</v>
      </c>
      <c r="M22" s="2517"/>
      <c r="N22" s="2517"/>
      <c r="O22" s="2518"/>
      <c r="P22" s="2519">
        <v>365</v>
      </c>
      <c r="Q22" s="2493"/>
      <c r="R22" s="2559">
        <f>ROUND(M22*N22*O22*P22/10000,0)</f>
        <v>0</v>
      </c>
      <c r="S22" s="2555"/>
      <c r="T22" s="2555"/>
      <c r="U22" s="2555"/>
      <c r="V22" s="2482"/>
    </row>
    <row r="23" spans="1:22" s="2486" customFormat="1" ht="13.15" customHeight="1">
      <c r="A23" s="2564">
        <v>1</v>
      </c>
      <c r="B23" s="2565" t="s">
        <v>2400</v>
      </c>
      <c r="C23" s="2566">
        <f>D6</f>
        <v>0</v>
      </c>
      <c r="D23" s="2567">
        <f>C23*(1+D24)</f>
        <v>0</v>
      </c>
      <c r="E23" s="2568">
        <f>D23*(1+E24)</f>
        <v>0</v>
      </c>
      <c r="F23" s="2569"/>
      <c r="G23" s="2570"/>
      <c r="H23" s="2481"/>
      <c r="I23" s="2482"/>
      <c r="J23" s="4168"/>
      <c r="K23" s="4170"/>
      <c r="L23" s="2516" t="s">
        <v>2401</v>
      </c>
      <c r="M23" s="2517"/>
      <c r="N23" s="2517"/>
      <c r="O23" s="2518"/>
      <c r="P23" s="2519">
        <v>365</v>
      </c>
      <c r="Q23" s="2493"/>
      <c r="R23" s="2559">
        <f>ROUND(M23*N23*O23*P23/10000,0)</f>
        <v>0</v>
      </c>
      <c r="S23" s="2474"/>
      <c r="T23" s="2474"/>
      <c r="U23" s="2474"/>
      <c r="V23" s="2482"/>
    </row>
    <row r="24" spans="1:22" s="2486" customFormat="1" ht="13.15" customHeight="1">
      <c r="A24" s="2571"/>
      <c r="B24" s="2572" t="s">
        <v>2402</v>
      </c>
      <c r="C24" s="2573"/>
      <c r="D24" s="2574"/>
      <c r="E24" s="2575"/>
      <c r="F24" s="2576"/>
      <c r="G24" s="2570"/>
      <c r="H24" s="2481"/>
      <c r="I24" s="2482"/>
      <c r="J24" s="4168"/>
      <c r="K24" s="4171"/>
      <c r="L24" s="2536" t="s">
        <v>2363</v>
      </c>
      <c r="M24" s="2537">
        <f>SUM(M21:M23)</f>
        <v>0</v>
      </c>
      <c r="N24" s="2537"/>
      <c r="O24" s="2538"/>
      <c r="P24" s="2551" t="s">
        <v>2427</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2403</v>
      </c>
      <c r="L25" s="2579"/>
      <c r="M25" s="2579"/>
      <c r="N25" s="2579"/>
      <c r="O25" s="2579"/>
      <c r="P25" s="2580"/>
      <c r="Q25" s="2581">
        <v>0</v>
      </c>
      <c r="R25" s="2552">
        <f>ROUND(R14*Q25,0)</f>
        <v>0</v>
      </c>
      <c r="S25" s="2474"/>
      <c r="T25" s="2474"/>
      <c r="U25" s="2474"/>
      <c r="V25" s="2582"/>
    </row>
    <row r="26" spans="1:22" s="2583" customFormat="1" ht="13.15" customHeight="1">
      <c r="A26" s="2564">
        <v>2</v>
      </c>
      <c r="B26" s="2565" t="s">
        <v>2404</v>
      </c>
      <c r="C26" s="2566">
        <f>D7</f>
        <v>0</v>
      </c>
      <c r="D26" s="2567">
        <f>D23*D27</f>
        <v>0</v>
      </c>
      <c r="E26" s="2568">
        <f>E23*E27</f>
        <v>0</v>
      </c>
      <c r="F26" s="2569"/>
      <c r="G26" s="2570"/>
      <c r="H26" s="2481"/>
      <c r="I26" s="2482"/>
      <c r="J26" s="4178">
        <v>5</v>
      </c>
      <c r="K26" s="2584" t="s">
        <v>2405</v>
      </c>
      <c r="L26" s="2585"/>
      <c r="M26" s="2586"/>
      <c r="N26" s="2587" t="s">
        <v>2406</v>
      </c>
      <c r="O26" s="2587" t="s">
        <v>2407</v>
      </c>
      <c r="P26" s="2588" t="s">
        <v>2408</v>
      </c>
      <c r="Q26" s="2588" t="s">
        <v>2409</v>
      </c>
      <c r="R26" s="2491" t="s">
        <v>2334</v>
      </c>
      <c r="S26" s="2589"/>
      <c r="T26" s="2589"/>
      <c r="U26" s="2589"/>
      <c r="V26" s="2582"/>
    </row>
    <row r="27" spans="1:22" s="2486" customFormat="1" ht="13.15" customHeight="1">
      <c r="A27" s="2571"/>
      <c r="B27" s="2572" t="s">
        <v>2410</v>
      </c>
      <c r="C27" s="2590" t="e">
        <f>E7</f>
        <v>#DIV/0!</v>
      </c>
      <c r="D27" s="2574"/>
      <c r="E27" s="2575"/>
      <c r="F27" s="2576"/>
      <c r="G27" s="2570"/>
      <c r="H27" s="2591"/>
      <c r="I27" s="2582"/>
      <c r="J27" s="4179"/>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2411</v>
      </c>
      <c r="F28" s="2576"/>
      <c r="G28" s="2563"/>
      <c r="H28" s="2591"/>
      <c r="I28" s="2582"/>
      <c r="J28" s="2597">
        <v>6</v>
      </c>
      <c r="K28" s="2598" t="s">
        <v>2412</v>
      </c>
      <c r="L28" s="2599" t="s">
        <v>2413</v>
      </c>
      <c r="M28" s="2600"/>
      <c r="N28" s="2599" t="s">
        <v>2414</v>
      </c>
      <c r="O28" s="2601"/>
      <c r="P28" s="2599" t="s">
        <v>2415</v>
      </c>
      <c r="Q28" s="2602">
        <v>1.4999999999999999E-2</v>
      </c>
      <c r="R28" s="2603"/>
      <c r="S28" s="2555"/>
      <c r="T28" s="2555"/>
      <c r="U28" s="2555"/>
      <c r="V28" s="2582"/>
    </row>
    <row r="29" spans="1:22" s="2583" customFormat="1" ht="13.15" customHeight="1">
      <c r="A29" s="2564">
        <v>3</v>
      </c>
      <c r="B29" s="2565" t="s">
        <v>2416</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2410</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2417</v>
      </c>
      <c r="K31" s="2472"/>
      <c r="L31" s="2472"/>
      <c r="M31" s="2472"/>
      <c r="N31" s="2472"/>
      <c r="O31" s="2472"/>
      <c r="P31" s="2472"/>
      <c r="Q31" s="2472"/>
      <c r="R31" s="2473"/>
      <c r="S31" s="2555"/>
      <c r="T31" s="2474"/>
      <c r="U31" s="2474"/>
      <c r="V31" s="2582"/>
    </row>
    <row r="32" spans="1:22" s="2583" customFormat="1" ht="13.15" customHeight="1">
      <c r="A32" s="2564">
        <v>4</v>
      </c>
      <c r="B32" s="2565" t="s">
        <v>2418</v>
      </c>
      <c r="C32" s="2566">
        <f>C23-C26-C29</f>
        <v>0</v>
      </c>
      <c r="D32" s="2567">
        <f>D23-D26-D29</f>
        <v>0</v>
      </c>
      <c r="E32" s="2568">
        <f>E23-E26-E29</f>
        <v>0</v>
      </c>
      <c r="F32" s="2569"/>
      <c r="G32" s="2563"/>
      <c r="H32" s="2481"/>
      <c r="I32" s="2482"/>
      <c r="J32" s="4161" t="s">
        <v>2310</v>
      </c>
      <c r="K32" s="4162"/>
      <c r="L32" s="2483" t="s">
        <v>2311</v>
      </c>
      <c r="M32" s="2483" t="s">
        <v>2312</v>
      </c>
      <c r="N32" s="2483" t="s">
        <v>2313</v>
      </c>
      <c r="O32" s="2483" t="s">
        <v>2314</v>
      </c>
      <c r="P32" s="2483" t="s">
        <v>2315</v>
      </c>
      <c r="Q32" s="2484" t="s">
        <v>2316</v>
      </c>
      <c r="R32" s="2606" t="s">
        <v>2317</v>
      </c>
      <c r="S32" s="2555"/>
      <c r="T32" s="2474"/>
      <c r="U32" s="2474"/>
      <c r="V32" s="2582"/>
    </row>
    <row r="33" spans="1:23" s="2486" customFormat="1" ht="13.15" customHeight="1">
      <c r="A33" s="2564"/>
      <c r="B33" s="2565"/>
      <c r="C33" s="2566"/>
      <c r="D33" s="2607"/>
      <c r="E33" s="2608"/>
      <c r="F33" s="2569"/>
      <c r="G33" s="2563"/>
      <c r="H33" s="2591"/>
      <c r="I33" s="2582"/>
      <c r="J33" s="4163" t="s">
        <v>2320</v>
      </c>
      <c r="K33" s="4164"/>
      <c r="L33" s="2489"/>
      <c r="M33" s="2489"/>
      <c r="N33" s="2489"/>
      <c r="O33" s="2489"/>
      <c r="P33" s="2489"/>
      <c r="Q33" s="2490"/>
      <c r="R33" s="2609">
        <f>SUM(L33:Q33)</f>
        <v>0</v>
      </c>
      <c r="S33" s="2555"/>
      <c r="T33" s="2474"/>
      <c r="U33" s="2474"/>
      <c r="V33" s="2482"/>
    </row>
    <row r="34" spans="1:23" s="2486" customFormat="1" ht="13.15" customHeight="1">
      <c r="A34" s="2564">
        <v>5</v>
      </c>
      <c r="B34" s="2565" t="s">
        <v>2419</v>
      </c>
      <c r="C34" s="2610"/>
      <c r="D34" s="2611"/>
      <c r="E34" s="2612"/>
      <c r="F34" s="2569"/>
      <c r="G34" s="2563"/>
      <c r="H34" s="2591"/>
      <c r="I34" s="2582"/>
      <c r="J34" s="4163" t="s">
        <v>2322</v>
      </c>
      <c r="K34" s="4164"/>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2420</v>
      </c>
      <c r="C35" s="2614"/>
      <c r="D35" s="2615"/>
      <c r="E35" s="2616"/>
      <c r="F35" s="2569"/>
      <c r="G35" s="2617"/>
      <c r="H35" s="2481"/>
      <c r="I35" s="2582"/>
      <c r="J35" s="2500" t="s">
        <v>2324</v>
      </c>
      <c r="K35" s="2501"/>
      <c r="L35" s="2501"/>
      <c r="M35" s="2502"/>
      <c r="N35" s="2502"/>
      <c r="O35" s="2502"/>
      <c r="P35" s="2502"/>
      <c r="Q35" s="2502"/>
      <c r="R35" s="2618">
        <f>R40+R41+R43</f>
        <v>0</v>
      </c>
      <c r="S35" s="2555"/>
      <c r="T35" s="2474" t="s">
        <v>2325</v>
      </c>
      <c r="U35" s="2474"/>
      <c r="V35" s="2482"/>
    </row>
    <row r="36" spans="1:23" s="2486" customFormat="1" ht="13.15" customHeight="1" thickBot="1">
      <c r="A36" s="2564">
        <v>7</v>
      </c>
      <c r="B36" s="2619" t="s">
        <v>2421</v>
      </c>
      <c r="C36" s="2620"/>
      <c r="D36" s="2621"/>
      <c r="E36" s="2622"/>
      <c r="F36" s="2623">
        <f>C36+D36+E36</f>
        <v>0</v>
      </c>
      <c r="G36" s="2563"/>
      <c r="H36" s="2481"/>
      <c r="I36" s="2482"/>
      <c r="J36" s="4168">
        <v>1</v>
      </c>
      <c r="K36" s="4169" t="s">
        <v>2422</v>
      </c>
      <c r="L36" s="2507"/>
      <c r="M36" s="2508"/>
      <c r="N36" s="2508"/>
      <c r="O36" s="2508"/>
      <c r="P36" s="2508"/>
      <c r="Q36" s="2508"/>
      <c r="R36" s="2491" t="s">
        <v>2334</v>
      </c>
      <c r="S36" s="2555"/>
      <c r="T36" s="2474" t="s">
        <v>2335</v>
      </c>
      <c r="U36" s="2474"/>
      <c r="V36" s="2482"/>
    </row>
    <row r="37" spans="1:23" s="2486" customFormat="1" ht="13.15" customHeight="1">
      <c r="A37" s="2564"/>
      <c r="B37" s="2565"/>
      <c r="C37" s="2565"/>
      <c r="D37" s="2565"/>
      <c r="E37" s="2565"/>
      <c r="F37" s="2569"/>
      <c r="G37" s="2563"/>
      <c r="H37" s="2481"/>
      <c r="I37" s="2482"/>
      <c r="J37" s="4168"/>
      <c r="K37" s="4170"/>
      <c r="L37" s="2516"/>
      <c r="M37" s="2517"/>
      <c r="N37" s="2493"/>
      <c r="O37" s="2518"/>
      <c r="P37" s="2518"/>
      <c r="Q37" s="2519"/>
      <c r="R37" s="2520"/>
      <c r="S37" s="2555"/>
      <c r="T37" s="2474" t="s">
        <v>2338</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68"/>
      <c r="K38" s="4170"/>
      <c r="L38" s="2516"/>
      <c r="M38" s="2517"/>
      <c r="N38" s="2493"/>
      <c r="O38" s="2518"/>
      <c r="P38" s="2518"/>
      <c r="Q38" s="2519"/>
      <c r="R38" s="2520"/>
      <c r="S38" s="2555"/>
      <c r="T38" s="2474" t="s">
        <v>2345</v>
      </c>
      <c r="U38" s="2474"/>
      <c r="V38" s="2482"/>
    </row>
    <row r="39" spans="1:23" s="2486" customFormat="1" ht="13.15" customHeight="1">
      <c r="A39" s="2564">
        <v>9</v>
      </c>
      <c r="B39" s="2565" t="s">
        <v>2423</v>
      </c>
      <c r="C39" s="2530" t="e">
        <f>C38</f>
        <v>#DIV/0!</v>
      </c>
      <c r="D39" s="2565">
        <f>D38/(1+D34)^C36</f>
        <v>0</v>
      </c>
      <c r="E39" s="2565">
        <f>E38/(1+E34)^(C36+D36)</f>
        <v>0</v>
      </c>
      <c r="F39" s="2569"/>
      <c r="G39" s="2624"/>
      <c r="H39" s="2481"/>
      <c r="I39" s="2482"/>
      <c r="J39" s="4168"/>
      <c r="K39" s="4170"/>
      <c r="L39" s="2516"/>
      <c r="M39" s="2517"/>
      <c r="N39" s="2493"/>
      <c r="O39" s="2518"/>
      <c r="P39" s="2518"/>
      <c r="Q39" s="2519"/>
      <c r="R39" s="2520"/>
      <c r="S39" s="2555"/>
      <c r="T39" s="2474"/>
      <c r="U39" s="2474"/>
      <c r="V39" s="2482"/>
    </row>
    <row r="40" spans="1:23" s="2486" customFormat="1" ht="13.15" customHeight="1">
      <c r="A40" s="2625">
        <v>10</v>
      </c>
      <c r="B40" s="2565" t="s">
        <v>2424</v>
      </c>
      <c r="C40" s="2626" t="e">
        <f>C39+D39+E39</f>
        <v>#DIV/0!</v>
      </c>
      <c r="D40" s="2627"/>
      <c r="E40" s="2627"/>
      <c r="F40" s="2628"/>
      <c r="G40" s="2563"/>
      <c r="H40" s="2481"/>
      <c r="I40" s="2482"/>
      <c r="J40" s="4168"/>
      <c r="K40" s="4171"/>
      <c r="L40" s="2536" t="s">
        <v>2363</v>
      </c>
      <c r="M40" s="2537"/>
      <c r="N40" s="2537"/>
      <c r="O40" s="2538"/>
      <c r="P40" s="2538"/>
      <c r="Q40" s="2539"/>
      <c r="R40" s="2485">
        <f>SUM(R37:R39)</f>
        <v>0</v>
      </c>
      <c r="S40" s="2555"/>
      <c r="T40" s="2474"/>
      <c r="U40" s="2474"/>
      <c r="V40" s="2482"/>
    </row>
    <row r="41" spans="1:23" s="2486" customFormat="1" ht="13.15" customHeight="1" thickBot="1">
      <c r="A41" s="2629">
        <v>11</v>
      </c>
      <c r="B41" s="2630" t="s">
        <v>2425</v>
      </c>
      <c r="C41" s="2630" t="e">
        <f>ROUND(C40*10000/B4,0)</f>
        <v>#DIV/0!</v>
      </c>
      <c r="D41" s="2631"/>
      <c r="E41" s="2631"/>
      <c r="F41" s="2632"/>
      <c r="G41" s="2633"/>
      <c r="H41" s="2481"/>
      <c r="I41" s="2482"/>
      <c r="J41" s="2577">
        <v>2</v>
      </c>
      <c r="K41" s="2578" t="s">
        <v>2403</v>
      </c>
      <c r="L41" s="2579"/>
      <c r="M41" s="2579"/>
      <c r="N41" s="2579"/>
      <c r="O41" s="2579"/>
      <c r="P41" s="2580"/>
      <c r="Q41" s="2581"/>
      <c r="R41" s="2552">
        <f>ROUND(R40*Q41,0)</f>
        <v>0</v>
      </c>
      <c r="S41" s="2555"/>
      <c r="T41" s="2474"/>
      <c r="U41" s="2589"/>
      <c r="V41" s="2482"/>
    </row>
    <row r="42" spans="1:23" s="2486" customFormat="1" ht="13.15" customHeight="1">
      <c r="G42" s="2633"/>
      <c r="H42" s="2481"/>
      <c r="I42" s="2482"/>
      <c r="J42" s="4178">
        <v>3</v>
      </c>
      <c r="K42" s="2584" t="s">
        <v>2405</v>
      </c>
      <c r="L42" s="2585"/>
      <c r="M42" s="2586"/>
      <c r="N42" s="2587" t="s">
        <v>2406</v>
      </c>
      <c r="O42" s="2587" t="s">
        <v>2407</v>
      </c>
      <c r="P42" s="2588" t="s">
        <v>2408</v>
      </c>
      <c r="Q42" s="2588" t="s">
        <v>2409</v>
      </c>
      <c r="R42" s="2491" t="s">
        <v>2334</v>
      </c>
      <c r="S42" s="2589"/>
      <c r="T42" s="2589"/>
      <c r="U42" s="2474"/>
      <c r="V42" s="2482"/>
    </row>
    <row r="43" spans="1:23" ht="13.15" customHeight="1">
      <c r="A43" s="2486"/>
      <c r="B43" s="2486"/>
      <c r="C43" s="2486"/>
      <c r="D43" s="2486"/>
      <c r="E43" s="2486"/>
      <c r="F43" s="2486"/>
      <c r="I43" s="2469"/>
      <c r="J43" s="4179"/>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2412</v>
      </c>
      <c r="L44" s="2637" t="s">
        <v>2413</v>
      </c>
      <c r="M44" s="2600"/>
      <c r="N44" s="2637" t="s">
        <v>2414</v>
      </c>
      <c r="O44" s="2600"/>
      <c r="P44" s="2637" t="s">
        <v>2415</v>
      </c>
      <c r="Q44" s="2602">
        <v>1.4999999999999999E-2</v>
      </c>
      <c r="R44" s="26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80" t="s">
        <v>1654</v>
      </c>
      <c r="C5" s="4181"/>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343.31</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200" t="s">
        <v>1667</v>
      </c>
      <c r="D4" s="4201"/>
      <c r="E4" s="4202" t="s">
        <v>1668</v>
      </c>
      <c r="F4" s="4203"/>
      <c r="G4" s="4200" t="s">
        <v>1669</v>
      </c>
      <c r="H4" s="4201"/>
      <c r="I4" s="4200" t="s">
        <v>1670</v>
      </c>
      <c r="J4" s="4201"/>
      <c r="K4" s="1709" t="s">
        <v>1671</v>
      </c>
      <c r="L4" s="2369"/>
      <c r="M4" s="2370"/>
      <c r="N4" s="2370"/>
      <c r="O4" s="2370"/>
      <c r="P4" s="4204" t="s">
        <v>1672</v>
      </c>
      <c r="Q4" s="4205"/>
      <c r="R4" s="4187" t="s">
        <v>1668</v>
      </c>
      <c r="S4" s="4188"/>
      <c r="T4" s="4187" t="s">
        <v>1669</v>
      </c>
      <c r="U4" s="4188"/>
      <c r="V4" s="4212" t="s">
        <v>1670</v>
      </c>
      <c r="W4" s="4212"/>
      <c r="X4" s="1251"/>
      <c r="Y4" s="4187" t="s">
        <v>1672</v>
      </c>
      <c r="Z4" s="4188"/>
      <c r="AA4" s="4182" t="s">
        <v>1668</v>
      </c>
      <c r="AB4" s="4182" t="s">
        <v>1669</v>
      </c>
      <c r="AC4" s="4182" t="s">
        <v>1670</v>
      </c>
    </row>
    <row r="5" spans="1:29" ht="15">
      <c r="A5" s="296"/>
      <c r="B5" s="297"/>
      <c r="C5" s="4193" t="s">
        <v>1673</v>
      </c>
      <c r="D5" s="4194"/>
      <c r="E5" s="4191" t="s">
        <v>1674</v>
      </c>
      <c r="F5" s="4192"/>
      <c r="G5" s="4193" t="s">
        <v>1675</v>
      </c>
      <c r="H5" s="4194"/>
      <c r="I5" s="4193" t="s">
        <v>1676</v>
      </c>
      <c r="J5" s="4194"/>
      <c r="K5" s="1710"/>
      <c r="L5" s="2369"/>
      <c r="M5" s="2370"/>
      <c r="N5" s="2370"/>
      <c r="O5" s="2370"/>
      <c r="P5" s="4206"/>
      <c r="Q5" s="4207"/>
      <c r="R5" s="4189"/>
      <c r="S5" s="4190"/>
      <c r="T5" s="4189"/>
      <c r="U5" s="4190"/>
      <c r="V5" s="4212"/>
      <c r="W5" s="4212"/>
      <c r="X5" s="1251"/>
      <c r="Y5" s="4189"/>
      <c r="Z5" s="4190"/>
      <c r="AA5" s="4183"/>
      <c r="AB5" s="4183"/>
      <c r="AC5" s="4183"/>
    </row>
    <row r="6" spans="1:29" ht="15.75" thickBot="1">
      <c r="A6" s="298"/>
      <c r="B6" s="299"/>
      <c r="C6" s="4195" t="s">
        <v>1677</v>
      </c>
      <c r="D6" s="4196"/>
      <c r="E6" s="4197" t="s">
        <v>1677</v>
      </c>
      <c r="F6" s="4198"/>
      <c r="G6" s="4195" t="s">
        <v>1677</v>
      </c>
      <c r="H6" s="4196"/>
      <c r="I6" s="4195" t="s">
        <v>1677</v>
      </c>
      <c r="J6" s="4196"/>
      <c r="K6" s="1710" t="s">
        <v>1678</v>
      </c>
      <c r="L6" s="2369"/>
      <c r="M6" s="2370"/>
      <c r="N6" s="2370"/>
      <c r="O6" s="2370"/>
      <c r="P6" s="4208"/>
      <c r="Q6" s="4209"/>
      <c r="R6" s="4189"/>
      <c r="S6" s="4190"/>
      <c r="T6" s="4210"/>
      <c r="U6" s="4211"/>
      <c r="V6" s="4212"/>
      <c r="W6" s="4212"/>
      <c r="X6" s="1251"/>
      <c r="Y6" s="4210"/>
      <c r="Z6" s="4211"/>
      <c r="AA6" s="4184"/>
      <c r="AB6" s="4184"/>
      <c r="AC6" s="4184"/>
    </row>
    <row r="7" spans="1:29" s="63" customFormat="1" ht="15.75" thickBot="1">
      <c r="A7" s="300" t="s">
        <v>1679</v>
      </c>
      <c r="B7" s="301"/>
      <c r="C7" s="302">
        <f>'数据-取费表'!B2</f>
        <v>45142</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185" t="s">
        <v>1680</v>
      </c>
      <c r="Q7" s="4213"/>
      <c r="R7" s="632" t="s">
        <v>20</v>
      </c>
      <c r="S7" s="633">
        <f t="shared" ref="S7:S15" si="0">F7</f>
        <v>0</v>
      </c>
      <c r="T7" s="632" t="s">
        <v>20</v>
      </c>
      <c r="U7" s="633">
        <f t="shared" ref="U7:U15" si="1">H7</f>
        <v>0</v>
      </c>
      <c r="V7" s="632" t="s">
        <v>20</v>
      </c>
      <c r="W7" s="633">
        <f t="shared" ref="W7:W15" si="2">J7</f>
        <v>0</v>
      </c>
      <c r="X7" s="634"/>
      <c r="Y7" s="4185" t="s">
        <v>1680</v>
      </c>
      <c r="Z7" s="4186"/>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185" t="s">
        <v>1683</v>
      </c>
      <c r="Q8" s="4186"/>
      <c r="R8" s="632" t="s">
        <v>20</v>
      </c>
      <c r="S8" s="633">
        <f t="shared" si="0"/>
        <v>100</v>
      </c>
      <c r="T8" s="632" t="s">
        <v>20</v>
      </c>
      <c r="U8" s="633">
        <f t="shared" si="1"/>
        <v>100</v>
      </c>
      <c r="V8" s="632" t="s">
        <v>20</v>
      </c>
      <c r="W8" s="633">
        <f t="shared" si="2"/>
        <v>100</v>
      </c>
      <c r="X8" s="634"/>
      <c r="Y8" s="4185" t="s">
        <v>1683</v>
      </c>
      <c r="Z8" s="4186"/>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199" t="s">
        <v>1686</v>
      </c>
      <c r="Q9" s="1241" t="str">
        <f t="shared" ref="Q9:Q15" si="6">B9</f>
        <v>用途</v>
      </c>
      <c r="R9" s="632" t="s">
        <v>14</v>
      </c>
      <c r="S9" s="633">
        <f t="shared" si="0"/>
        <v>100</v>
      </c>
      <c r="T9" s="632" t="s">
        <v>14</v>
      </c>
      <c r="U9" s="633">
        <f t="shared" si="1"/>
        <v>100</v>
      </c>
      <c r="V9" s="632" t="s">
        <v>14</v>
      </c>
      <c r="W9" s="633">
        <f t="shared" si="2"/>
        <v>100</v>
      </c>
      <c r="X9" s="634"/>
      <c r="Y9" s="4129"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199"/>
      <c r="Q10" s="1241" t="str">
        <f t="shared" si="6"/>
        <v>土地使用年限（年）</v>
      </c>
      <c r="R10" s="632" t="s">
        <v>14</v>
      </c>
      <c r="S10" s="633">
        <f t="shared" si="0"/>
        <v>100</v>
      </c>
      <c r="T10" s="632" t="s">
        <v>14</v>
      </c>
      <c r="U10" s="633">
        <f t="shared" si="1"/>
        <v>100</v>
      </c>
      <c r="V10" s="632" t="s">
        <v>14</v>
      </c>
      <c r="W10" s="633">
        <f t="shared" si="2"/>
        <v>100</v>
      </c>
      <c r="X10" s="634"/>
      <c r="Y10" s="4129"/>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199"/>
      <c r="Q11" s="1241" t="str">
        <f t="shared" si="6"/>
        <v>容积率</v>
      </c>
      <c r="R11" s="632" t="s">
        <v>18</v>
      </c>
      <c r="S11" s="633" t="e">
        <f t="shared" si="0"/>
        <v>#N/A</v>
      </c>
      <c r="T11" s="632" t="s">
        <v>18</v>
      </c>
      <c r="U11" s="633" t="e">
        <f t="shared" si="1"/>
        <v>#N/A</v>
      </c>
      <c r="V11" s="632" t="s">
        <v>18</v>
      </c>
      <c r="W11" s="633" t="e">
        <f t="shared" si="2"/>
        <v>#N/A</v>
      </c>
      <c r="X11" s="634"/>
      <c r="Y11" s="4129"/>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199"/>
      <c r="Q12" s="1241">
        <f t="shared" si="6"/>
        <v>111</v>
      </c>
      <c r="R12" s="632" t="s">
        <v>18</v>
      </c>
      <c r="S12" s="633">
        <f t="shared" si="0"/>
        <v>100</v>
      </c>
      <c r="T12" s="632" t="s">
        <v>18</v>
      </c>
      <c r="U12" s="633">
        <f t="shared" si="1"/>
        <v>100</v>
      </c>
      <c r="V12" s="632" t="s">
        <v>18</v>
      </c>
      <c r="W12" s="633">
        <f t="shared" si="2"/>
        <v>100</v>
      </c>
      <c r="X12" s="634"/>
      <c r="Y12" s="4129"/>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199"/>
      <c r="Q13" s="1241">
        <f t="shared" si="6"/>
        <v>111</v>
      </c>
      <c r="R13" s="632" t="s">
        <v>18</v>
      </c>
      <c r="S13" s="633">
        <f t="shared" si="0"/>
        <v>100</v>
      </c>
      <c r="T13" s="632" t="s">
        <v>18</v>
      </c>
      <c r="U13" s="633">
        <f t="shared" si="1"/>
        <v>100</v>
      </c>
      <c r="V13" s="632" t="s">
        <v>18</v>
      </c>
      <c r="W13" s="633">
        <f t="shared" si="2"/>
        <v>100</v>
      </c>
      <c r="X13" s="634"/>
      <c r="Y13" s="4129"/>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199"/>
      <c r="Q14" s="1241">
        <f t="shared" si="6"/>
        <v>111</v>
      </c>
      <c r="R14" s="632" t="s">
        <v>18</v>
      </c>
      <c r="S14" s="633">
        <f t="shared" si="0"/>
        <v>100</v>
      </c>
      <c r="T14" s="632" t="s">
        <v>18</v>
      </c>
      <c r="U14" s="633">
        <f t="shared" si="1"/>
        <v>100</v>
      </c>
      <c r="V14" s="632" t="s">
        <v>18</v>
      </c>
      <c r="W14" s="633">
        <f t="shared" si="2"/>
        <v>100</v>
      </c>
      <c r="X14" s="634"/>
      <c r="Y14" s="4129"/>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226" t="s">
        <v>1691</v>
      </c>
      <c r="Q15" s="1249" t="str">
        <f t="shared" si="6"/>
        <v>居住社区成熟度</v>
      </c>
      <c r="R15" s="636" t="s">
        <v>18</v>
      </c>
      <c r="S15" s="637">
        <f t="shared" si="0"/>
        <v>100</v>
      </c>
      <c r="T15" s="636" t="s">
        <v>18</v>
      </c>
      <c r="U15" s="637">
        <f t="shared" si="1"/>
        <v>100</v>
      </c>
      <c r="V15" s="636" t="s">
        <v>18</v>
      </c>
      <c r="W15" s="637">
        <f t="shared" si="2"/>
        <v>100</v>
      </c>
      <c r="X15" s="1251"/>
      <c r="Y15" s="4219"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227"/>
      <c r="Q16" s="1249"/>
      <c r="R16" s="636"/>
      <c r="S16" s="637"/>
      <c r="T16" s="636"/>
      <c r="U16" s="637"/>
      <c r="V16" s="636"/>
      <c r="W16" s="637"/>
      <c r="X16" s="1251"/>
      <c r="Y16" s="4220"/>
      <c r="Z16" s="1252"/>
      <c r="AA16" s="1250">
        <v>1</v>
      </c>
      <c r="AB16" s="1250">
        <v>1</v>
      </c>
      <c r="AC16" s="1250">
        <v>1</v>
      </c>
    </row>
    <row r="17" spans="1:29" ht="185.25">
      <c r="A17" s="317"/>
      <c r="B17" s="340" t="s">
        <v>1259</v>
      </c>
      <c r="C17" s="1720"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227"/>
      <c r="Q17" s="1249" t="str">
        <f>B17</f>
        <v>交通便捷度</v>
      </c>
      <c r="R17" s="636" t="s">
        <v>18</v>
      </c>
      <c r="S17" s="637">
        <f>F17</f>
        <v>100</v>
      </c>
      <c r="T17" s="636" t="s">
        <v>18</v>
      </c>
      <c r="U17" s="637">
        <f>H17</f>
        <v>100</v>
      </c>
      <c r="V17" s="636" t="s">
        <v>18</v>
      </c>
      <c r="W17" s="637">
        <f>J17</f>
        <v>100</v>
      </c>
      <c r="X17" s="1251"/>
      <c r="Y17" s="4220"/>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227"/>
      <c r="Q18" s="1249"/>
      <c r="R18" s="636"/>
      <c r="S18" s="637"/>
      <c r="T18" s="636"/>
      <c r="U18" s="637"/>
      <c r="V18" s="636"/>
      <c r="W18" s="637"/>
      <c r="X18" s="1251"/>
      <c r="Y18" s="4220"/>
      <c r="Z18" s="1252"/>
      <c r="AA18" s="1250">
        <v>1</v>
      </c>
      <c r="AB18" s="1250">
        <v>1</v>
      </c>
      <c r="AC18" s="1250">
        <v>1</v>
      </c>
    </row>
    <row r="19" spans="1:29" ht="299.25">
      <c r="A19" s="317"/>
      <c r="B19" s="340" t="s">
        <v>1258</v>
      </c>
      <c r="C19" s="1720"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227"/>
      <c r="Q19" s="1249" t="str">
        <f>B19</f>
        <v>公共配套设施</v>
      </c>
      <c r="R19" s="636" t="s">
        <v>18</v>
      </c>
      <c r="S19" s="637">
        <f>F19</f>
        <v>100</v>
      </c>
      <c r="T19" s="636" t="s">
        <v>18</v>
      </c>
      <c r="U19" s="637">
        <f>H19</f>
        <v>100</v>
      </c>
      <c r="V19" s="636" t="s">
        <v>18</v>
      </c>
      <c r="W19" s="637">
        <f>J19</f>
        <v>100</v>
      </c>
      <c r="X19" s="1251"/>
      <c r="Y19" s="4220"/>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227"/>
      <c r="Q20" s="1249"/>
      <c r="R20" s="636"/>
      <c r="S20" s="637"/>
      <c r="T20" s="636"/>
      <c r="U20" s="637"/>
      <c r="V20" s="636"/>
      <c r="W20" s="637"/>
      <c r="X20" s="1251"/>
      <c r="Y20" s="4220"/>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227"/>
      <c r="Q21" s="1249" t="str">
        <f>B21</f>
        <v>基础设施水平</v>
      </c>
      <c r="R21" s="636" t="s">
        <v>14</v>
      </c>
      <c r="S21" s="637">
        <f>F21</f>
        <v>100</v>
      </c>
      <c r="T21" s="636" t="s">
        <v>14</v>
      </c>
      <c r="U21" s="637">
        <f>H21</f>
        <v>100</v>
      </c>
      <c r="V21" s="636" t="s">
        <v>14</v>
      </c>
      <c r="W21" s="637">
        <f>J21</f>
        <v>100</v>
      </c>
      <c r="X21" s="1251"/>
      <c r="Y21" s="4220"/>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227"/>
      <c r="Q22" s="1249"/>
      <c r="R22" s="636"/>
      <c r="S22" s="637"/>
      <c r="T22" s="636"/>
      <c r="U22" s="637"/>
      <c r="V22" s="636"/>
      <c r="W22" s="637"/>
      <c r="X22" s="1251"/>
      <c r="Y22" s="4220"/>
      <c r="Z22" s="1252"/>
      <c r="AA22" s="1250">
        <v>1</v>
      </c>
      <c r="AB22" s="1250">
        <v>1</v>
      </c>
      <c r="AC22" s="1250">
        <v>1</v>
      </c>
    </row>
    <row r="23" spans="1:29" ht="114">
      <c r="A23" s="317"/>
      <c r="B23" s="340" t="s">
        <v>1261</v>
      </c>
      <c r="C23" s="1720" t="str">
        <f>估价对象房地状况!C9</f>
        <v xml:space="preserve">自然环境：万泉河等自然景观；
人文环境：中国人民大学等人文场所；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227"/>
      <c r="Q23" s="1249" t="str">
        <f>B23</f>
        <v>自然及人文环境</v>
      </c>
      <c r="R23" s="636" t="s">
        <v>18</v>
      </c>
      <c r="S23" s="637">
        <f>F23</f>
        <v>100</v>
      </c>
      <c r="T23" s="636" t="s">
        <v>18</v>
      </c>
      <c r="U23" s="637">
        <f>H23</f>
        <v>100</v>
      </c>
      <c r="V23" s="636" t="s">
        <v>18</v>
      </c>
      <c r="W23" s="637">
        <f>J23</f>
        <v>100</v>
      </c>
      <c r="X23" s="1251"/>
      <c r="Y23" s="4220"/>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227"/>
      <c r="Q24" s="1249"/>
      <c r="R24" s="636"/>
      <c r="S24" s="637"/>
      <c r="T24" s="636"/>
      <c r="U24" s="637"/>
      <c r="V24" s="636"/>
      <c r="W24" s="637"/>
      <c r="X24" s="1251"/>
      <c r="Y24" s="4220"/>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227"/>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220"/>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227"/>
      <c r="Q26" s="1249" t="str">
        <f t="shared" si="11"/>
        <v>朝向</v>
      </c>
      <c r="R26" s="636" t="s">
        <v>18</v>
      </c>
      <c r="S26" s="637">
        <f t="shared" si="12"/>
        <v>100</v>
      </c>
      <c r="T26" s="636" t="s">
        <v>18</v>
      </c>
      <c r="U26" s="637">
        <f t="shared" si="13"/>
        <v>100</v>
      </c>
      <c r="V26" s="636" t="s">
        <v>18</v>
      </c>
      <c r="W26" s="637">
        <f t="shared" si="14"/>
        <v>100</v>
      </c>
      <c r="X26" s="1251"/>
      <c r="Y26" s="4220"/>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227"/>
      <c r="Q27" s="1241">
        <f t="shared" si="11"/>
        <v>111</v>
      </c>
      <c r="R27" s="632" t="s">
        <v>18</v>
      </c>
      <c r="S27" s="633">
        <f t="shared" si="12"/>
        <v>100</v>
      </c>
      <c r="T27" s="632" t="s">
        <v>18</v>
      </c>
      <c r="U27" s="633">
        <f t="shared" si="13"/>
        <v>100</v>
      </c>
      <c r="V27" s="632" t="s">
        <v>18</v>
      </c>
      <c r="W27" s="633">
        <f t="shared" si="14"/>
        <v>100</v>
      </c>
      <c r="X27" s="634"/>
      <c r="Y27" s="4220"/>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227"/>
      <c r="Q28" s="1249">
        <f t="shared" si="11"/>
        <v>111</v>
      </c>
      <c r="R28" s="636" t="s">
        <v>18</v>
      </c>
      <c r="S28" s="637">
        <f t="shared" si="12"/>
        <v>100</v>
      </c>
      <c r="T28" s="636" t="s">
        <v>18</v>
      </c>
      <c r="U28" s="637">
        <f t="shared" si="13"/>
        <v>100</v>
      </c>
      <c r="V28" s="636" t="s">
        <v>18</v>
      </c>
      <c r="W28" s="637">
        <f t="shared" si="14"/>
        <v>100</v>
      </c>
      <c r="X28" s="1251"/>
      <c r="Y28" s="4220"/>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227"/>
      <c r="Q29" s="1249">
        <f t="shared" si="11"/>
        <v>111</v>
      </c>
      <c r="R29" s="636" t="s">
        <v>18</v>
      </c>
      <c r="S29" s="637">
        <f t="shared" si="12"/>
        <v>100</v>
      </c>
      <c r="T29" s="636" t="s">
        <v>18</v>
      </c>
      <c r="U29" s="637">
        <f t="shared" si="13"/>
        <v>100</v>
      </c>
      <c r="V29" s="636" t="s">
        <v>18</v>
      </c>
      <c r="W29" s="637">
        <f t="shared" si="14"/>
        <v>100</v>
      </c>
      <c r="X29" s="1251"/>
      <c r="Y29" s="4220"/>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227"/>
      <c r="Q30" s="1249">
        <f t="shared" si="11"/>
        <v>111</v>
      </c>
      <c r="R30" s="636" t="s">
        <v>18</v>
      </c>
      <c r="S30" s="637">
        <f t="shared" si="12"/>
        <v>100</v>
      </c>
      <c r="T30" s="636" t="s">
        <v>18</v>
      </c>
      <c r="U30" s="637">
        <f t="shared" si="13"/>
        <v>100</v>
      </c>
      <c r="V30" s="636" t="s">
        <v>18</v>
      </c>
      <c r="W30" s="637">
        <f t="shared" si="14"/>
        <v>100</v>
      </c>
      <c r="X30" s="1251"/>
      <c r="Y30" s="4220"/>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227"/>
      <c r="Q31" s="1249">
        <f t="shared" si="11"/>
        <v>111</v>
      </c>
      <c r="R31" s="636" t="s">
        <v>18</v>
      </c>
      <c r="S31" s="637">
        <f t="shared" si="12"/>
        <v>100</v>
      </c>
      <c r="T31" s="636" t="s">
        <v>18</v>
      </c>
      <c r="U31" s="637">
        <f t="shared" si="13"/>
        <v>100</v>
      </c>
      <c r="V31" s="636" t="s">
        <v>18</v>
      </c>
      <c r="W31" s="637">
        <f t="shared" si="14"/>
        <v>100</v>
      </c>
      <c r="X31" s="1251"/>
      <c r="Y31" s="4220"/>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221" t="s">
        <v>1696</v>
      </c>
      <c r="Q32" s="1249" t="str">
        <f t="shared" si="11"/>
        <v>建筑类型</v>
      </c>
      <c r="R32" s="636" t="s">
        <v>18</v>
      </c>
      <c r="S32" s="637">
        <f t="shared" si="12"/>
        <v>100</v>
      </c>
      <c r="T32" s="636" t="s">
        <v>18</v>
      </c>
      <c r="U32" s="637">
        <f t="shared" si="13"/>
        <v>100</v>
      </c>
      <c r="V32" s="636" t="s">
        <v>18</v>
      </c>
      <c r="W32" s="637">
        <f t="shared" si="14"/>
        <v>100</v>
      </c>
      <c r="X32" s="1251"/>
      <c r="Y32" s="4224"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222"/>
      <c r="Q33" s="638" t="str">
        <f t="shared" si="11"/>
        <v>项目建筑规模</v>
      </c>
      <c r="R33" s="639" t="s">
        <v>18</v>
      </c>
      <c r="S33" s="640" t="e">
        <f t="shared" si="12"/>
        <v>#N/A</v>
      </c>
      <c r="T33" s="639" t="s">
        <v>18</v>
      </c>
      <c r="U33" s="640" t="e">
        <f t="shared" si="13"/>
        <v>#N/A</v>
      </c>
      <c r="V33" s="639" t="s">
        <v>18</v>
      </c>
      <c r="W33" s="640" t="e">
        <f t="shared" si="14"/>
        <v>#N/A</v>
      </c>
      <c r="X33" s="641"/>
      <c r="Y33" s="4224"/>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222"/>
      <c r="Q34" s="1249" t="str">
        <f t="shared" si="11"/>
        <v>建筑结构</v>
      </c>
      <c r="R34" s="636" t="s">
        <v>18</v>
      </c>
      <c r="S34" s="637">
        <f t="shared" si="12"/>
        <v>100</v>
      </c>
      <c r="T34" s="636" t="s">
        <v>18</v>
      </c>
      <c r="U34" s="637">
        <f t="shared" si="13"/>
        <v>100</v>
      </c>
      <c r="V34" s="636" t="s">
        <v>18</v>
      </c>
      <c r="W34" s="637">
        <f t="shared" si="14"/>
        <v>100</v>
      </c>
      <c r="X34" s="1251"/>
      <c r="Y34" s="4224"/>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222"/>
      <c r="Q35" s="1249" t="str">
        <f t="shared" si="11"/>
        <v>建筑品质</v>
      </c>
      <c r="R35" s="636" t="s">
        <v>18</v>
      </c>
      <c r="S35" s="637">
        <f t="shared" si="12"/>
        <v>100</v>
      </c>
      <c r="T35" s="636" t="s">
        <v>18</v>
      </c>
      <c r="U35" s="637">
        <f t="shared" si="13"/>
        <v>100</v>
      </c>
      <c r="V35" s="636" t="s">
        <v>18</v>
      </c>
      <c r="W35" s="637">
        <f t="shared" si="14"/>
        <v>100</v>
      </c>
      <c r="X35" s="1251"/>
      <c r="Y35" s="4224"/>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222"/>
      <c r="Q36" s="1249" t="str">
        <f t="shared" si="11"/>
        <v>公共部分装修</v>
      </c>
      <c r="R36" s="636" t="s">
        <v>18</v>
      </c>
      <c r="S36" s="637">
        <f t="shared" si="12"/>
        <v>100</v>
      </c>
      <c r="T36" s="636" t="s">
        <v>18</v>
      </c>
      <c r="U36" s="637">
        <f t="shared" si="13"/>
        <v>100</v>
      </c>
      <c r="V36" s="636" t="s">
        <v>18</v>
      </c>
      <c r="W36" s="637">
        <f t="shared" si="14"/>
        <v>100</v>
      </c>
      <c r="X36" s="1251"/>
      <c r="Y36" s="4224"/>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222"/>
      <c r="Q37" s="1241" t="str">
        <f t="shared" si="11"/>
        <v>成新度</v>
      </c>
      <c r="R37" s="632" t="s">
        <v>18</v>
      </c>
      <c r="S37" s="633" t="e">
        <f t="shared" si="12"/>
        <v>#N/A</v>
      </c>
      <c r="T37" s="632" t="s">
        <v>18</v>
      </c>
      <c r="U37" s="633" t="e">
        <f t="shared" si="13"/>
        <v>#N/A</v>
      </c>
      <c r="V37" s="632" t="s">
        <v>18</v>
      </c>
      <c r="W37" s="633" t="e">
        <f t="shared" si="14"/>
        <v>#N/A</v>
      </c>
      <c r="X37" s="634"/>
      <c r="Y37" s="4224"/>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222" t="s">
        <v>1696</v>
      </c>
      <c r="Q38" s="1249" t="str">
        <f t="shared" si="11"/>
        <v>物业管理</v>
      </c>
      <c r="R38" s="636" t="s">
        <v>18</v>
      </c>
      <c r="S38" s="637">
        <f t="shared" si="12"/>
        <v>100</v>
      </c>
      <c r="T38" s="636" t="s">
        <v>18</v>
      </c>
      <c r="U38" s="637">
        <f t="shared" si="13"/>
        <v>100</v>
      </c>
      <c r="V38" s="636" t="s">
        <v>18</v>
      </c>
      <c r="W38" s="637">
        <f t="shared" si="14"/>
        <v>100</v>
      </c>
      <c r="X38" s="1251"/>
      <c r="Y38" s="4224"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222"/>
      <c r="Q39" s="1249" t="str">
        <f t="shared" si="11"/>
        <v>市政基础设施</v>
      </c>
      <c r="R39" s="636" t="s">
        <v>18</v>
      </c>
      <c r="S39" s="637">
        <f t="shared" si="12"/>
        <v>100</v>
      </c>
      <c r="T39" s="636" t="s">
        <v>18</v>
      </c>
      <c r="U39" s="637">
        <f t="shared" si="13"/>
        <v>100</v>
      </c>
      <c r="V39" s="636" t="s">
        <v>18</v>
      </c>
      <c r="W39" s="637">
        <f t="shared" si="14"/>
        <v>100</v>
      </c>
      <c r="X39" s="1251"/>
      <c r="Y39" s="4224"/>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222"/>
      <c r="Q40" s="1249" t="str">
        <f t="shared" si="11"/>
        <v>房型</v>
      </c>
      <c r="R40" s="636" t="s">
        <v>18</v>
      </c>
      <c r="S40" s="637">
        <f t="shared" si="12"/>
        <v>100</v>
      </c>
      <c r="T40" s="636" t="s">
        <v>18</v>
      </c>
      <c r="U40" s="637">
        <f t="shared" si="13"/>
        <v>100</v>
      </c>
      <c r="V40" s="636" t="s">
        <v>18</v>
      </c>
      <c r="W40" s="637">
        <f t="shared" si="14"/>
        <v>100</v>
      </c>
      <c r="X40" s="1251"/>
      <c r="Y40" s="4224"/>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222"/>
      <c r="Q41" s="638" t="str">
        <f t="shared" si="11"/>
        <v>单套/主力户型建筑面积</v>
      </c>
      <c r="R41" s="639" t="s">
        <v>18</v>
      </c>
      <c r="S41" s="640">
        <f t="shared" si="12"/>
        <v>100</v>
      </c>
      <c r="T41" s="639" t="s">
        <v>18</v>
      </c>
      <c r="U41" s="640">
        <f t="shared" si="13"/>
        <v>100</v>
      </c>
      <c r="V41" s="639" t="s">
        <v>18</v>
      </c>
      <c r="W41" s="640">
        <f t="shared" si="14"/>
        <v>100</v>
      </c>
      <c r="X41" s="641"/>
      <c r="Y41" s="4224"/>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222"/>
      <c r="Q42" s="1249" t="str">
        <f t="shared" si="11"/>
        <v>内部装修</v>
      </c>
      <c r="R42" s="636" t="s">
        <v>18</v>
      </c>
      <c r="S42" s="637">
        <f t="shared" si="12"/>
        <v>100</v>
      </c>
      <c r="T42" s="636" t="s">
        <v>18</v>
      </c>
      <c r="U42" s="637">
        <f t="shared" si="13"/>
        <v>100</v>
      </c>
      <c r="V42" s="636" t="s">
        <v>18</v>
      </c>
      <c r="W42" s="637">
        <f t="shared" si="14"/>
        <v>100</v>
      </c>
      <c r="X42" s="1251"/>
      <c r="Y42" s="4224"/>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222"/>
      <c r="Q43" s="1249" t="str">
        <f t="shared" si="11"/>
        <v>内部装修维护情况</v>
      </c>
      <c r="R43" s="636" t="s">
        <v>18</v>
      </c>
      <c r="S43" s="637">
        <f t="shared" si="12"/>
        <v>100</v>
      </c>
      <c r="T43" s="636" t="s">
        <v>18</v>
      </c>
      <c r="U43" s="637">
        <f t="shared" si="13"/>
        <v>100</v>
      </c>
      <c r="V43" s="636" t="s">
        <v>18</v>
      </c>
      <c r="W43" s="637">
        <f t="shared" si="14"/>
        <v>100</v>
      </c>
      <c r="X43" s="1251"/>
      <c r="Y43" s="4224"/>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222"/>
      <c r="Q44" s="1241">
        <f t="shared" si="11"/>
        <v>111</v>
      </c>
      <c r="R44" s="632" t="s">
        <v>18</v>
      </c>
      <c r="S44" s="633">
        <f t="shared" si="12"/>
        <v>100</v>
      </c>
      <c r="T44" s="632" t="s">
        <v>18</v>
      </c>
      <c r="U44" s="633">
        <f t="shared" si="13"/>
        <v>100</v>
      </c>
      <c r="V44" s="632" t="s">
        <v>18</v>
      </c>
      <c r="W44" s="633">
        <f t="shared" si="14"/>
        <v>100</v>
      </c>
      <c r="X44" s="634"/>
      <c r="Y44" s="4224"/>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222"/>
      <c r="Q45" s="1249">
        <f t="shared" si="11"/>
        <v>111</v>
      </c>
      <c r="R45" s="636" t="s">
        <v>18</v>
      </c>
      <c r="S45" s="637">
        <f t="shared" si="12"/>
        <v>100</v>
      </c>
      <c r="T45" s="636" t="s">
        <v>18</v>
      </c>
      <c r="U45" s="637">
        <f t="shared" si="13"/>
        <v>100</v>
      </c>
      <c r="V45" s="636" t="s">
        <v>18</v>
      </c>
      <c r="W45" s="637">
        <f t="shared" si="14"/>
        <v>100</v>
      </c>
      <c r="X45" s="1251"/>
      <c r="Y45" s="4224"/>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223"/>
      <c r="Q46" s="1249">
        <f t="shared" si="11"/>
        <v>111</v>
      </c>
      <c r="R46" s="636" t="s">
        <v>17</v>
      </c>
      <c r="S46" s="637">
        <f t="shared" si="12"/>
        <v>100</v>
      </c>
      <c r="T46" s="636" t="s">
        <v>17</v>
      </c>
      <c r="U46" s="637">
        <f t="shared" si="13"/>
        <v>100</v>
      </c>
      <c r="V46" s="636" t="s">
        <v>17</v>
      </c>
      <c r="W46" s="637">
        <f t="shared" si="14"/>
        <v>100</v>
      </c>
      <c r="X46" s="1251"/>
      <c r="Y46" s="4225"/>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217" t="str">
        <f>A47</f>
        <v>成交单价（元/平方米）</v>
      </c>
      <c r="Q47" s="4217"/>
      <c r="R47" s="4218">
        <f>E47</f>
        <v>0</v>
      </c>
      <c r="S47" s="4218"/>
      <c r="T47" s="4218">
        <f>G47</f>
        <v>0</v>
      </c>
      <c r="U47" s="4218"/>
      <c r="V47" s="4218">
        <f>I47</f>
        <v>0</v>
      </c>
      <c r="W47" s="4218"/>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217" t="str">
        <f>A48</f>
        <v>比较价值（元/平方米）</v>
      </c>
      <c r="Q48" s="4217"/>
      <c r="R48" s="4218" t="e">
        <f>IF(F1="售价",ROUND(PRODUCT(R47,AA7:AA46),0),ROUND(PRODUCT(R47,AA7:AA46),1))</f>
        <v>#DIV/0!</v>
      </c>
      <c r="S48" s="4218"/>
      <c r="T48" s="4218" t="e">
        <f>IF(F1="售价",ROUND(PRODUCT(T47,AB7:AB46),0),ROUND(PRODUCT(T47,AB7:AB46),1))</f>
        <v>#DIV/0!</v>
      </c>
      <c r="U48" s="4218"/>
      <c r="V48" s="4218" t="e">
        <f>IF(F1="售价",ROUND(PRODUCT(V47,AC7:AC46),0),ROUND(PRODUCT(V47,AC7:AC46),1))</f>
        <v>#DIV/0!</v>
      </c>
      <c r="W48" s="4218"/>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214" t="str">
        <f>A49</f>
        <v>估价对象XX用房的比较价值（楼面单价，元/平方米）</v>
      </c>
      <c r="Q49" s="4215"/>
      <c r="R49" s="4216" t="e">
        <f>IF(F1="售价",ROUND(IF(D48="简单平均",AVERAGE(R48:V48),R48*F48+T48*H48+V48*J48),0),ROUND(IF(D48="简单平均",AVERAGE(R48:V48),R48*F48+T48*H48+V48*J48),1))</f>
        <v>#DIV/0!</v>
      </c>
      <c r="S49" s="4216"/>
      <c r="T49" s="4216"/>
      <c r="U49" s="4216"/>
      <c r="V49" s="4216"/>
      <c r="W49" s="4216"/>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2023-8</v>
      </c>
      <c r="D58" s="1084">
        <f>EDATE(C58,-1)</f>
        <v>45108</v>
      </c>
      <c r="E58" s="1084">
        <f>EDATE(D58,-1)</f>
        <v>45078</v>
      </c>
      <c r="F58" s="1084">
        <f t="shared" ref="F58:O58" si="19">EDATE(E58,-1)</f>
        <v>45047</v>
      </c>
      <c r="G58" s="1084">
        <f t="shared" si="19"/>
        <v>45017</v>
      </c>
      <c r="H58" s="1084">
        <f t="shared" si="19"/>
        <v>44986</v>
      </c>
      <c r="I58" s="1084">
        <f t="shared" si="19"/>
        <v>44958</v>
      </c>
      <c r="J58" s="1084">
        <f t="shared" si="19"/>
        <v>44927</v>
      </c>
      <c r="K58" s="1084">
        <f t="shared" si="19"/>
        <v>44896</v>
      </c>
      <c r="L58" s="1084">
        <f t="shared" si="19"/>
        <v>44866</v>
      </c>
      <c r="M58" s="1084">
        <f t="shared" si="19"/>
        <v>44835</v>
      </c>
      <c r="N58" s="1084">
        <f t="shared" si="19"/>
        <v>44805</v>
      </c>
      <c r="O58" s="1084">
        <f t="shared" si="19"/>
        <v>44774</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343.31</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200" t="s">
        <v>1770</v>
      </c>
      <c r="D4" s="4201"/>
      <c r="E4" s="4202" t="s">
        <v>1771</v>
      </c>
      <c r="F4" s="4203"/>
      <c r="G4" s="4200" t="s">
        <v>1772</v>
      </c>
      <c r="H4" s="4201"/>
      <c r="I4" s="4200" t="s">
        <v>1773</v>
      </c>
      <c r="J4" s="4201"/>
      <c r="K4" s="497" t="s">
        <v>1774</v>
      </c>
      <c r="L4" s="832"/>
      <c r="M4" s="833"/>
      <c r="N4" s="833"/>
      <c r="O4" s="833"/>
      <c r="P4" s="4204" t="s">
        <v>1775</v>
      </c>
      <c r="Q4" s="4205"/>
      <c r="R4" s="4187" t="s">
        <v>1771</v>
      </c>
      <c r="S4" s="4188"/>
      <c r="T4" s="4187" t="s">
        <v>1772</v>
      </c>
      <c r="U4" s="4188"/>
      <c r="V4" s="4212" t="s">
        <v>1773</v>
      </c>
      <c r="W4" s="4212"/>
      <c r="X4" s="1251"/>
      <c r="Y4" s="4187" t="s">
        <v>1775</v>
      </c>
      <c r="Z4" s="4188"/>
      <c r="AA4" s="4182" t="s">
        <v>1771</v>
      </c>
      <c r="AB4" s="4183" t="s">
        <v>1772</v>
      </c>
      <c r="AC4" s="4182" t="s">
        <v>1773</v>
      </c>
    </row>
    <row r="5" spans="1:29" ht="15">
      <c r="A5" s="296"/>
      <c r="B5" s="297"/>
      <c r="C5" s="4193" t="s">
        <v>1673</v>
      </c>
      <c r="D5" s="4194"/>
      <c r="E5" s="4191" t="s">
        <v>1674</v>
      </c>
      <c r="F5" s="4192"/>
      <c r="G5" s="4193" t="s">
        <v>1675</v>
      </c>
      <c r="H5" s="4194"/>
      <c r="I5" s="4193" t="s">
        <v>1676</v>
      </c>
      <c r="J5" s="4194"/>
      <c r="K5" s="497"/>
      <c r="L5" s="832"/>
      <c r="M5" s="833"/>
      <c r="N5" s="833"/>
      <c r="O5" s="833"/>
      <c r="P5" s="4206"/>
      <c r="Q5" s="4207"/>
      <c r="R5" s="4189"/>
      <c r="S5" s="4190"/>
      <c r="T5" s="4189"/>
      <c r="U5" s="4190"/>
      <c r="V5" s="4212"/>
      <c r="W5" s="4212"/>
      <c r="X5" s="1251"/>
      <c r="Y5" s="4189"/>
      <c r="Z5" s="4190"/>
      <c r="AA5" s="4183"/>
      <c r="AB5" s="4183"/>
      <c r="AC5" s="4183"/>
    </row>
    <row r="6" spans="1:29" ht="15.75" thickBot="1">
      <c r="A6" s="298"/>
      <c r="B6" s="299"/>
      <c r="C6" s="4195" t="s">
        <v>1677</v>
      </c>
      <c r="D6" s="4196"/>
      <c r="E6" s="4197" t="s">
        <v>1677</v>
      </c>
      <c r="F6" s="4198"/>
      <c r="G6" s="4195" t="s">
        <v>1677</v>
      </c>
      <c r="H6" s="4196"/>
      <c r="I6" s="4195" t="s">
        <v>1677</v>
      </c>
      <c r="J6" s="4196"/>
      <c r="K6" s="497" t="s">
        <v>1678</v>
      </c>
      <c r="L6" s="832"/>
      <c r="M6" s="833"/>
      <c r="N6" s="833"/>
      <c r="O6" s="833"/>
      <c r="P6" s="4208"/>
      <c r="Q6" s="4209"/>
      <c r="R6" s="4189"/>
      <c r="S6" s="4190"/>
      <c r="T6" s="4210"/>
      <c r="U6" s="4211"/>
      <c r="V6" s="4212"/>
      <c r="W6" s="4212"/>
      <c r="X6" s="1251"/>
      <c r="Y6" s="4210"/>
      <c r="Z6" s="4211"/>
      <c r="AA6" s="4184"/>
      <c r="AB6" s="4184"/>
      <c r="AC6" s="4184"/>
    </row>
    <row r="7" spans="1:29" s="63" customFormat="1" ht="15.75" thickBot="1">
      <c r="A7" s="300" t="s">
        <v>1679</v>
      </c>
      <c r="B7" s="301"/>
      <c r="C7" s="302">
        <f>'数据-取费表'!B2</f>
        <v>45142</v>
      </c>
      <c r="D7" s="303">
        <v>100</v>
      </c>
      <c r="E7" s="304"/>
      <c r="F7" s="305">
        <f>SUMIF(52:52,YEAR(E7)&amp;"-"&amp;MONTH(E7),53:53)</f>
        <v>0</v>
      </c>
      <c r="G7" s="304"/>
      <c r="H7" s="303">
        <f>SUMIF(52:52,YEAR(G7)&amp;"-"&amp;MONTH(G7),53:53)</f>
        <v>0</v>
      </c>
      <c r="I7" s="304"/>
      <c r="J7" s="303">
        <f>SUMIF(52:52,YEAR(I7)&amp;"-"&amp;MONTH(I7),53:53)</f>
        <v>0</v>
      </c>
      <c r="K7" s="498"/>
      <c r="L7" s="834"/>
      <c r="M7" s="835"/>
      <c r="N7" s="835"/>
      <c r="O7" s="835"/>
      <c r="P7" s="4185" t="s">
        <v>1680</v>
      </c>
      <c r="Q7" s="4213"/>
      <c r="R7" s="632" t="s">
        <v>14</v>
      </c>
      <c r="S7" s="633">
        <f t="shared" ref="S7:S15" si="0">F7</f>
        <v>0</v>
      </c>
      <c r="T7" s="632" t="s">
        <v>14</v>
      </c>
      <c r="U7" s="633">
        <f t="shared" ref="U7:U15" si="1">H7</f>
        <v>0</v>
      </c>
      <c r="V7" s="632" t="s">
        <v>14</v>
      </c>
      <c r="W7" s="633">
        <f t="shared" ref="W7:W15" si="2">J7</f>
        <v>0</v>
      </c>
      <c r="X7" s="634"/>
      <c r="Y7" s="4185" t="s">
        <v>1680</v>
      </c>
      <c r="Z7" s="4186"/>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185" t="s">
        <v>1683</v>
      </c>
      <c r="Q8" s="4186"/>
      <c r="R8" s="632" t="s">
        <v>14</v>
      </c>
      <c r="S8" s="633">
        <f t="shared" si="0"/>
        <v>100</v>
      </c>
      <c r="T8" s="632" t="s">
        <v>14</v>
      </c>
      <c r="U8" s="633">
        <f t="shared" si="1"/>
        <v>100</v>
      </c>
      <c r="V8" s="632" t="s">
        <v>14</v>
      </c>
      <c r="W8" s="633">
        <f t="shared" si="2"/>
        <v>100</v>
      </c>
      <c r="X8" s="634"/>
      <c r="Y8" s="4185" t="s">
        <v>1683</v>
      </c>
      <c r="Z8" s="4186"/>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217" t="s">
        <v>1686</v>
      </c>
      <c r="Q9" s="1241" t="str">
        <f t="shared" ref="Q9:Q15" si="6">B9</f>
        <v>用途</v>
      </c>
      <c r="R9" s="632" t="s">
        <v>14</v>
      </c>
      <c r="S9" s="633">
        <f t="shared" si="0"/>
        <v>100</v>
      </c>
      <c r="T9" s="632" t="s">
        <v>14</v>
      </c>
      <c r="U9" s="633">
        <f t="shared" si="1"/>
        <v>100</v>
      </c>
      <c r="V9" s="632" t="s">
        <v>14</v>
      </c>
      <c r="W9" s="633">
        <f t="shared" si="2"/>
        <v>100</v>
      </c>
      <c r="X9" s="634"/>
      <c r="Y9" s="4129"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217"/>
      <c r="Q10" s="1241" t="str">
        <f t="shared" si="6"/>
        <v>土地使用年限（年）</v>
      </c>
      <c r="R10" s="632" t="s">
        <v>14</v>
      </c>
      <c r="S10" s="633">
        <f t="shared" si="0"/>
        <v>100</v>
      </c>
      <c r="T10" s="632" t="s">
        <v>14</v>
      </c>
      <c r="U10" s="633">
        <f t="shared" si="1"/>
        <v>100</v>
      </c>
      <c r="V10" s="632" t="s">
        <v>14</v>
      </c>
      <c r="W10" s="633">
        <f t="shared" si="2"/>
        <v>100</v>
      </c>
      <c r="X10" s="634"/>
      <c r="Y10" s="4129"/>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217"/>
      <c r="Q11" s="1241" t="str">
        <f t="shared" si="6"/>
        <v>容积率</v>
      </c>
      <c r="R11" s="632" t="s">
        <v>14</v>
      </c>
      <c r="S11" s="633">
        <f t="shared" si="0"/>
        <v>100</v>
      </c>
      <c r="T11" s="632" t="s">
        <v>14</v>
      </c>
      <c r="U11" s="633">
        <f t="shared" si="1"/>
        <v>100</v>
      </c>
      <c r="V11" s="632" t="s">
        <v>14</v>
      </c>
      <c r="W11" s="633">
        <f t="shared" si="2"/>
        <v>100</v>
      </c>
      <c r="X11" s="634"/>
      <c r="Y11" s="4129"/>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217"/>
      <c r="Q12" s="1241">
        <f t="shared" si="6"/>
        <v>111</v>
      </c>
      <c r="R12" s="632" t="s">
        <v>14</v>
      </c>
      <c r="S12" s="633">
        <f t="shared" si="0"/>
        <v>100</v>
      </c>
      <c r="T12" s="632" t="s">
        <v>14</v>
      </c>
      <c r="U12" s="633">
        <f t="shared" si="1"/>
        <v>100</v>
      </c>
      <c r="V12" s="632" t="s">
        <v>14</v>
      </c>
      <c r="W12" s="633">
        <f t="shared" si="2"/>
        <v>100</v>
      </c>
      <c r="X12" s="634"/>
      <c r="Y12" s="4129"/>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217"/>
      <c r="Q13" s="1241">
        <f t="shared" si="6"/>
        <v>111</v>
      </c>
      <c r="R13" s="632" t="s">
        <v>14</v>
      </c>
      <c r="S13" s="633">
        <f t="shared" si="0"/>
        <v>100</v>
      </c>
      <c r="T13" s="632" t="s">
        <v>14</v>
      </c>
      <c r="U13" s="633">
        <f t="shared" si="1"/>
        <v>100</v>
      </c>
      <c r="V13" s="632" t="s">
        <v>14</v>
      </c>
      <c r="W13" s="633">
        <f t="shared" si="2"/>
        <v>100</v>
      </c>
      <c r="X13" s="634"/>
      <c r="Y13" s="4129"/>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217"/>
      <c r="Q14" s="1241">
        <f t="shared" si="6"/>
        <v>111</v>
      </c>
      <c r="R14" s="632" t="s">
        <v>14</v>
      </c>
      <c r="S14" s="633">
        <f t="shared" si="0"/>
        <v>100</v>
      </c>
      <c r="T14" s="632" t="s">
        <v>14</v>
      </c>
      <c r="U14" s="633">
        <f t="shared" si="1"/>
        <v>100</v>
      </c>
      <c r="V14" s="632" t="s">
        <v>14</v>
      </c>
      <c r="W14" s="633">
        <f t="shared" si="2"/>
        <v>100</v>
      </c>
      <c r="X14" s="634"/>
      <c r="Y14" s="4129"/>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219" t="s">
        <v>1691</v>
      </c>
      <c r="Q15" s="1249" t="str">
        <f t="shared" si="6"/>
        <v>产业集聚程度</v>
      </c>
      <c r="R15" s="636" t="s">
        <v>14</v>
      </c>
      <c r="S15" s="637">
        <f t="shared" si="0"/>
        <v>100</v>
      </c>
      <c r="T15" s="636" t="s">
        <v>14</v>
      </c>
      <c r="U15" s="637">
        <f t="shared" si="1"/>
        <v>100</v>
      </c>
      <c r="V15" s="636" t="s">
        <v>14</v>
      </c>
      <c r="W15" s="637">
        <f t="shared" si="2"/>
        <v>100</v>
      </c>
      <c r="X15" s="1251"/>
      <c r="Y15" s="4219"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220"/>
      <c r="Q16" s="1249"/>
      <c r="R16" s="636"/>
      <c r="S16" s="637"/>
      <c r="T16" s="636"/>
      <c r="U16" s="637"/>
      <c r="V16" s="636"/>
      <c r="W16" s="637"/>
      <c r="X16" s="1251"/>
      <c r="Y16" s="4220"/>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220"/>
      <c r="Q17" s="1249" t="str">
        <f>B17</f>
        <v>交通便捷度</v>
      </c>
      <c r="R17" s="636" t="s">
        <v>14</v>
      </c>
      <c r="S17" s="637">
        <f>F17</f>
        <v>100</v>
      </c>
      <c r="T17" s="636" t="s">
        <v>14</v>
      </c>
      <c r="U17" s="637">
        <f>H17</f>
        <v>100</v>
      </c>
      <c r="V17" s="636" t="s">
        <v>14</v>
      </c>
      <c r="W17" s="637">
        <f>J17</f>
        <v>100</v>
      </c>
      <c r="X17" s="1251"/>
      <c r="Y17" s="4220"/>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220"/>
      <c r="Q18" s="1249"/>
      <c r="R18" s="636"/>
      <c r="S18" s="637"/>
      <c r="T18" s="636"/>
      <c r="U18" s="637"/>
      <c r="V18" s="636"/>
      <c r="W18" s="637"/>
      <c r="X18" s="1251"/>
      <c r="Y18" s="4220"/>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220"/>
      <c r="Q19" s="1249" t="str">
        <f>B19</f>
        <v>公共配套设施</v>
      </c>
      <c r="R19" s="636" t="s">
        <v>14</v>
      </c>
      <c r="S19" s="637">
        <f>F19</f>
        <v>100</v>
      </c>
      <c r="T19" s="636" t="s">
        <v>14</v>
      </c>
      <c r="U19" s="637">
        <f>H19</f>
        <v>100</v>
      </c>
      <c r="V19" s="636" t="s">
        <v>14</v>
      </c>
      <c r="W19" s="637">
        <f>J19</f>
        <v>100</v>
      </c>
      <c r="X19" s="1251"/>
      <c r="Y19" s="4220"/>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220"/>
      <c r="Q20" s="1249"/>
      <c r="R20" s="636"/>
      <c r="S20" s="637"/>
      <c r="T20" s="636"/>
      <c r="U20" s="637"/>
      <c r="V20" s="636"/>
      <c r="W20" s="637"/>
      <c r="X20" s="1251"/>
      <c r="Y20" s="4220"/>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220"/>
      <c r="Q21" s="1249" t="str">
        <f>B21</f>
        <v>基础设施水平</v>
      </c>
      <c r="R21" s="636" t="s">
        <v>14</v>
      </c>
      <c r="S21" s="637">
        <f>F21</f>
        <v>100</v>
      </c>
      <c r="T21" s="636" t="s">
        <v>14</v>
      </c>
      <c r="U21" s="637">
        <f>H21</f>
        <v>100</v>
      </c>
      <c r="V21" s="636" t="s">
        <v>14</v>
      </c>
      <c r="W21" s="637">
        <f>J21</f>
        <v>100</v>
      </c>
      <c r="X21" s="1251"/>
      <c r="Y21" s="4220"/>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220"/>
      <c r="Q22" s="1249"/>
      <c r="R22" s="636"/>
      <c r="S22" s="637"/>
      <c r="T22" s="636"/>
      <c r="U22" s="637"/>
      <c r="V22" s="636"/>
      <c r="W22" s="637"/>
      <c r="X22" s="1251"/>
      <c r="Y22" s="4220"/>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220"/>
      <c r="Q23" s="1249" t="str">
        <f>B23</f>
        <v>环境质量</v>
      </c>
      <c r="R23" s="636" t="s">
        <v>14</v>
      </c>
      <c r="S23" s="637">
        <f>F23</f>
        <v>100</v>
      </c>
      <c r="T23" s="636" t="s">
        <v>14</v>
      </c>
      <c r="U23" s="637">
        <f>H23</f>
        <v>100</v>
      </c>
      <c r="V23" s="636" t="s">
        <v>14</v>
      </c>
      <c r="W23" s="637">
        <f>J23</f>
        <v>100</v>
      </c>
      <c r="X23" s="1251"/>
      <c r="Y23" s="4220"/>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220"/>
      <c r="Q24" s="1249"/>
      <c r="R24" s="636"/>
      <c r="S24" s="637"/>
      <c r="T24" s="636"/>
      <c r="U24" s="637"/>
      <c r="V24" s="636"/>
      <c r="W24" s="637"/>
      <c r="X24" s="1251"/>
      <c r="Y24" s="4220"/>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220"/>
      <c r="Q25" s="1249">
        <f>B25</f>
        <v>111</v>
      </c>
      <c r="R25" s="636" t="s">
        <v>14</v>
      </c>
      <c r="S25" s="637">
        <f>F25</f>
        <v>100</v>
      </c>
      <c r="T25" s="636" t="s">
        <v>14</v>
      </c>
      <c r="U25" s="637">
        <f>H25</f>
        <v>100</v>
      </c>
      <c r="V25" s="636" t="s">
        <v>14</v>
      </c>
      <c r="W25" s="637">
        <f>J25</f>
        <v>100</v>
      </c>
      <c r="X25" s="1251"/>
      <c r="Y25" s="4220"/>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220"/>
      <c r="Q26" s="1249">
        <f t="shared" ref="Q26:Q40" si="11">B26</f>
        <v>111</v>
      </c>
      <c r="R26" s="636" t="s">
        <v>14</v>
      </c>
      <c r="S26" s="637">
        <f>F26</f>
        <v>100</v>
      </c>
      <c r="T26" s="636" t="s">
        <v>14</v>
      </c>
      <c r="U26" s="637">
        <f>H26</f>
        <v>100</v>
      </c>
      <c r="V26" s="636" t="s">
        <v>14</v>
      </c>
      <c r="W26" s="637">
        <f>J26</f>
        <v>100</v>
      </c>
      <c r="X26" s="1251"/>
      <c r="Y26" s="4220"/>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220"/>
      <c r="Q27" s="1241">
        <f t="shared" si="11"/>
        <v>111</v>
      </c>
      <c r="R27" s="632" t="s">
        <v>14</v>
      </c>
      <c r="S27" s="633">
        <f>F27</f>
        <v>100</v>
      </c>
      <c r="T27" s="632" t="s">
        <v>14</v>
      </c>
      <c r="U27" s="633">
        <f>H27</f>
        <v>100</v>
      </c>
      <c r="V27" s="632" t="s">
        <v>14</v>
      </c>
      <c r="W27" s="633">
        <f>J27</f>
        <v>100</v>
      </c>
      <c r="X27" s="634"/>
      <c r="Y27" s="4220"/>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220"/>
      <c r="Q28" s="1249">
        <f t="shared" si="11"/>
        <v>111</v>
      </c>
      <c r="R28" s="636" t="s">
        <v>14</v>
      </c>
      <c r="S28" s="637">
        <f t="shared" ref="S28:S40" si="12">F28</f>
        <v>100</v>
      </c>
      <c r="T28" s="636" t="s">
        <v>14</v>
      </c>
      <c r="U28" s="637">
        <f t="shared" ref="U28:U40" si="13">H28</f>
        <v>100</v>
      </c>
      <c r="V28" s="636" t="s">
        <v>14</v>
      </c>
      <c r="W28" s="637">
        <f t="shared" ref="W28:W40" si="14">J28</f>
        <v>100</v>
      </c>
      <c r="X28" s="1251"/>
      <c r="Y28" s="4220"/>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28" t="s">
        <v>1696</v>
      </c>
      <c r="Q29" s="1249" t="str">
        <f t="shared" si="11"/>
        <v>建筑类型</v>
      </c>
      <c r="R29" s="636" t="s">
        <v>14</v>
      </c>
      <c r="S29" s="637">
        <f t="shared" si="12"/>
        <v>100</v>
      </c>
      <c r="T29" s="636" t="s">
        <v>14</v>
      </c>
      <c r="U29" s="637">
        <f t="shared" si="13"/>
        <v>100</v>
      </c>
      <c r="V29" s="636" t="s">
        <v>14</v>
      </c>
      <c r="W29" s="637">
        <f t="shared" si="14"/>
        <v>100</v>
      </c>
      <c r="X29" s="1251"/>
      <c r="Y29" s="4224"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224"/>
      <c r="Q30" s="638" t="str">
        <f t="shared" si="11"/>
        <v>项目建筑规模</v>
      </c>
      <c r="R30" s="639" t="s">
        <v>14</v>
      </c>
      <c r="S30" s="640" t="e">
        <f t="shared" si="12"/>
        <v>#N/A</v>
      </c>
      <c r="T30" s="639" t="s">
        <v>14</v>
      </c>
      <c r="U30" s="640" t="e">
        <f t="shared" si="13"/>
        <v>#N/A</v>
      </c>
      <c r="V30" s="639" t="s">
        <v>14</v>
      </c>
      <c r="W30" s="640" t="e">
        <f t="shared" si="14"/>
        <v>#N/A</v>
      </c>
      <c r="X30" s="641"/>
      <c r="Y30" s="4224"/>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224"/>
      <c r="Q31" s="1249" t="str">
        <f t="shared" si="11"/>
        <v>建筑结构</v>
      </c>
      <c r="R31" s="636" t="s">
        <v>14</v>
      </c>
      <c r="S31" s="637">
        <f t="shared" si="12"/>
        <v>100</v>
      </c>
      <c r="T31" s="636" t="s">
        <v>14</v>
      </c>
      <c r="U31" s="637">
        <f t="shared" si="13"/>
        <v>100</v>
      </c>
      <c r="V31" s="636" t="s">
        <v>14</v>
      </c>
      <c r="W31" s="637">
        <f t="shared" si="14"/>
        <v>100</v>
      </c>
      <c r="X31" s="1251"/>
      <c r="Y31" s="4224"/>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224"/>
      <c r="Q32" s="1249" t="str">
        <f t="shared" si="11"/>
        <v>公共部分装修</v>
      </c>
      <c r="R32" s="636" t="s">
        <v>14</v>
      </c>
      <c r="S32" s="637">
        <f t="shared" si="12"/>
        <v>100</v>
      </c>
      <c r="T32" s="636" t="s">
        <v>14</v>
      </c>
      <c r="U32" s="637">
        <f t="shared" si="13"/>
        <v>100</v>
      </c>
      <c r="V32" s="636" t="s">
        <v>14</v>
      </c>
      <c r="W32" s="637">
        <f t="shared" si="14"/>
        <v>100</v>
      </c>
      <c r="X32" s="1251"/>
      <c r="Y32" s="4224"/>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224"/>
      <c r="Q33" s="1249" t="str">
        <f t="shared" si="11"/>
        <v>成新度</v>
      </c>
      <c r="R33" s="636" t="s">
        <v>14</v>
      </c>
      <c r="S33" s="637" t="e">
        <f t="shared" si="12"/>
        <v>#N/A</v>
      </c>
      <c r="T33" s="636" t="s">
        <v>14</v>
      </c>
      <c r="U33" s="637" t="e">
        <f t="shared" si="13"/>
        <v>#N/A</v>
      </c>
      <c r="V33" s="636" t="s">
        <v>14</v>
      </c>
      <c r="W33" s="637" t="e">
        <f t="shared" si="14"/>
        <v>#N/A</v>
      </c>
      <c r="X33" s="1251"/>
      <c r="Y33" s="4224"/>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224"/>
      <c r="Q34" s="1241" t="str">
        <f t="shared" si="11"/>
        <v>物业管理</v>
      </c>
      <c r="R34" s="632" t="s">
        <v>14</v>
      </c>
      <c r="S34" s="633">
        <f t="shared" si="12"/>
        <v>100</v>
      </c>
      <c r="T34" s="632" t="s">
        <v>14</v>
      </c>
      <c r="U34" s="633">
        <f t="shared" si="13"/>
        <v>100</v>
      </c>
      <c r="V34" s="632" t="s">
        <v>14</v>
      </c>
      <c r="W34" s="633">
        <f t="shared" si="14"/>
        <v>100</v>
      </c>
      <c r="X34" s="634"/>
      <c r="Y34" s="4224"/>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224" t="s">
        <v>1696</v>
      </c>
      <c r="Q35" s="1249" t="str">
        <f t="shared" si="11"/>
        <v>市政基础设施</v>
      </c>
      <c r="R35" s="636" t="s">
        <v>14</v>
      </c>
      <c r="S35" s="637">
        <f t="shared" si="12"/>
        <v>100</v>
      </c>
      <c r="T35" s="636" t="s">
        <v>14</v>
      </c>
      <c r="U35" s="637">
        <f t="shared" si="13"/>
        <v>100</v>
      </c>
      <c r="V35" s="636" t="s">
        <v>14</v>
      </c>
      <c r="W35" s="637">
        <f t="shared" si="14"/>
        <v>100</v>
      </c>
      <c r="X35" s="1251"/>
      <c r="Y35" s="4224"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224"/>
      <c r="Q36" s="1249" t="str">
        <f t="shared" si="11"/>
        <v>内部装修</v>
      </c>
      <c r="R36" s="636" t="s">
        <v>14</v>
      </c>
      <c r="S36" s="637">
        <f t="shared" si="12"/>
        <v>100</v>
      </c>
      <c r="T36" s="636" t="s">
        <v>14</v>
      </c>
      <c r="U36" s="637">
        <f t="shared" si="13"/>
        <v>100</v>
      </c>
      <c r="V36" s="636" t="s">
        <v>14</v>
      </c>
      <c r="W36" s="637">
        <f t="shared" si="14"/>
        <v>100</v>
      </c>
      <c r="X36" s="1251"/>
      <c r="Y36" s="4224"/>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224"/>
      <c r="Q37" s="1249" t="str">
        <f t="shared" si="11"/>
        <v>内部装修状况</v>
      </c>
      <c r="R37" s="636" t="s">
        <v>14</v>
      </c>
      <c r="S37" s="637">
        <f t="shared" si="12"/>
        <v>100</v>
      </c>
      <c r="T37" s="636" t="s">
        <v>14</v>
      </c>
      <c r="U37" s="637">
        <f t="shared" si="13"/>
        <v>100</v>
      </c>
      <c r="V37" s="636" t="s">
        <v>14</v>
      </c>
      <c r="W37" s="637">
        <f t="shared" si="14"/>
        <v>100</v>
      </c>
      <c r="X37" s="1251"/>
      <c r="Y37" s="4224"/>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224"/>
      <c r="Q38" s="638">
        <f t="shared" si="11"/>
        <v>111</v>
      </c>
      <c r="R38" s="639" t="s">
        <v>14</v>
      </c>
      <c r="S38" s="640">
        <f t="shared" si="12"/>
        <v>100</v>
      </c>
      <c r="T38" s="639" t="s">
        <v>14</v>
      </c>
      <c r="U38" s="640">
        <f t="shared" si="13"/>
        <v>100</v>
      </c>
      <c r="V38" s="639" t="s">
        <v>14</v>
      </c>
      <c r="W38" s="640">
        <f t="shared" si="14"/>
        <v>100</v>
      </c>
      <c r="X38" s="641"/>
      <c r="Y38" s="4224"/>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224"/>
      <c r="Q39" s="1249">
        <f t="shared" si="11"/>
        <v>111</v>
      </c>
      <c r="R39" s="636" t="s">
        <v>14</v>
      </c>
      <c r="S39" s="637">
        <f t="shared" si="12"/>
        <v>100</v>
      </c>
      <c r="T39" s="636" t="s">
        <v>14</v>
      </c>
      <c r="U39" s="637">
        <f t="shared" si="13"/>
        <v>100</v>
      </c>
      <c r="V39" s="636" t="s">
        <v>14</v>
      </c>
      <c r="W39" s="637">
        <f t="shared" si="14"/>
        <v>100</v>
      </c>
      <c r="X39" s="1251"/>
      <c r="Y39" s="4224"/>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225"/>
      <c r="Q40" s="1249">
        <f t="shared" si="11"/>
        <v>111</v>
      </c>
      <c r="R40" s="636" t="s">
        <v>14</v>
      </c>
      <c r="S40" s="637">
        <f t="shared" si="12"/>
        <v>100</v>
      </c>
      <c r="T40" s="636" t="s">
        <v>14</v>
      </c>
      <c r="U40" s="637">
        <f t="shared" si="13"/>
        <v>100</v>
      </c>
      <c r="V40" s="636" t="s">
        <v>14</v>
      </c>
      <c r="W40" s="637">
        <f t="shared" si="14"/>
        <v>100</v>
      </c>
      <c r="X40" s="1251"/>
      <c r="Y40" s="4225"/>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217" t="str">
        <f>A41</f>
        <v>成交单价（元/平方米）</v>
      </c>
      <c r="Q41" s="4217"/>
      <c r="R41" s="4218">
        <f>E41</f>
        <v>0</v>
      </c>
      <c r="S41" s="4218"/>
      <c r="T41" s="4218">
        <f>G41</f>
        <v>0</v>
      </c>
      <c r="U41" s="4218"/>
      <c r="V41" s="4218">
        <f>I41</f>
        <v>0</v>
      </c>
      <c r="W41" s="4218"/>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217" t="str">
        <f>A42</f>
        <v>比较价值（元/平方米）</v>
      </c>
      <c r="Q42" s="4217"/>
      <c r="R42" s="4218" t="e">
        <f>IF(F1="售价",ROUND(PRODUCT(R41,AA7:AA40),0),ROUND(PRODUCT(R41,AA7:AA40),1))</f>
        <v>#DIV/0!</v>
      </c>
      <c r="S42" s="4218"/>
      <c r="T42" s="4218" t="e">
        <f>IF(F1="售价",ROUND(PRODUCT(T41,AB7:AB40),0),ROUND(PRODUCT(T41,AB7:AB40),1))</f>
        <v>#DIV/0!</v>
      </c>
      <c r="U42" s="4218"/>
      <c r="V42" s="4218" t="e">
        <f>IF(F1="售价",ROUND(PRODUCT(V41,AC7:AC40),0),ROUND(PRODUCT(V41,AC7:AC40),1))</f>
        <v>#DIV/0!</v>
      </c>
      <c r="W42" s="4218"/>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214" t="str">
        <f>A43</f>
        <v>估价对象XX用房的比较价值（楼面单价，元/平方米）</v>
      </c>
      <c r="Q43" s="4215"/>
      <c r="R43" s="4216" t="e">
        <f>IF(F1="售价",ROUND(IF(D42="简单平均",AVERAGE(R42:V42),R42*F42+T42*H42+V42*J42),0),ROUND(IF(D42="简单平均",AVERAGE(R42:V42),R42*F42+T42*H42+V42*J42),1))</f>
        <v>#DIV/0!</v>
      </c>
      <c r="S43" s="4216"/>
      <c r="T43" s="4216"/>
      <c r="U43" s="4216"/>
      <c r="V43" s="4216"/>
      <c r="W43" s="4216"/>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2023-8</v>
      </c>
      <c r="D52" s="1084">
        <f>EDATE(C52,-1)</f>
        <v>45108</v>
      </c>
      <c r="E52" s="1084">
        <f t="shared" ref="E52:O52" si="16">EDATE(D52,-1)</f>
        <v>45078</v>
      </c>
      <c r="F52" s="1084">
        <f t="shared" si="16"/>
        <v>45047</v>
      </c>
      <c r="G52" s="1084">
        <f t="shared" si="16"/>
        <v>45017</v>
      </c>
      <c r="H52" s="1084">
        <f t="shared" si="16"/>
        <v>44986</v>
      </c>
      <c r="I52" s="1084">
        <f t="shared" si="16"/>
        <v>44958</v>
      </c>
      <c r="J52" s="1084">
        <f t="shared" si="16"/>
        <v>44927</v>
      </c>
      <c r="K52" s="1084">
        <f t="shared" si="16"/>
        <v>44896</v>
      </c>
      <c r="L52" s="1084">
        <f t="shared" si="16"/>
        <v>44866</v>
      </c>
      <c r="M52" s="1084">
        <f t="shared" si="16"/>
        <v>44835</v>
      </c>
      <c r="N52" s="1084">
        <f t="shared" si="16"/>
        <v>44805</v>
      </c>
      <c r="O52" s="1084">
        <f t="shared" si="16"/>
        <v>44774</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3330</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200" t="s">
        <v>1770</v>
      </c>
      <c r="D4" s="4201"/>
      <c r="E4" s="4202" t="s">
        <v>1771</v>
      </c>
      <c r="F4" s="4203"/>
      <c r="G4" s="4200" t="s">
        <v>1772</v>
      </c>
      <c r="H4" s="4201"/>
      <c r="I4" s="4200" t="s">
        <v>1773</v>
      </c>
      <c r="J4" s="4201"/>
      <c r="K4" s="497" t="s">
        <v>1774</v>
      </c>
      <c r="L4" s="2369"/>
      <c r="M4" s="2370"/>
      <c r="N4" s="2370"/>
      <c r="O4" s="2370"/>
      <c r="P4" s="4204" t="s">
        <v>1775</v>
      </c>
      <c r="Q4" s="4205"/>
      <c r="R4" s="4187" t="s">
        <v>1771</v>
      </c>
      <c r="S4" s="4188"/>
      <c r="T4" s="4187" t="s">
        <v>1772</v>
      </c>
      <c r="U4" s="4188"/>
      <c r="V4" s="4212" t="s">
        <v>1773</v>
      </c>
      <c r="W4" s="4212"/>
      <c r="X4" s="1251"/>
      <c r="Y4" s="4187" t="s">
        <v>1775</v>
      </c>
      <c r="Z4" s="4188"/>
      <c r="AA4" s="4182" t="s">
        <v>1771</v>
      </c>
      <c r="AB4" s="4183" t="s">
        <v>1772</v>
      </c>
      <c r="AC4" s="4182" t="s">
        <v>1773</v>
      </c>
    </row>
    <row r="5" spans="1:29" ht="15">
      <c r="A5" s="296"/>
      <c r="B5" s="297"/>
      <c r="C5" s="4193" t="s">
        <v>1673</v>
      </c>
      <c r="D5" s="4194"/>
      <c r="E5" s="4191" t="s">
        <v>1674</v>
      </c>
      <c r="F5" s="4192"/>
      <c r="G5" s="4193" t="s">
        <v>1675</v>
      </c>
      <c r="H5" s="4194"/>
      <c r="I5" s="4193" t="s">
        <v>1676</v>
      </c>
      <c r="J5" s="4194"/>
      <c r="K5" s="497"/>
      <c r="L5" s="2369"/>
      <c r="M5" s="2370"/>
      <c r="N5" s="2370"/>
      <c r="O5" s="2370"/>
      <c r="P5" s="4206"/>
      <c r="Q5" s="4207"/>
      <c r="R5" s="4189"/>
      <c r="S5" s="4190"/>
      <c r="T5" s="4189"/>
      <c r="U5" s="4190"/>
      <c r="V5" s="4212"/>
      <c r="W5" s="4212"/>
      <c r="X5" s="1251"/>
      <c r="Y5" s="4189"/>
      <c r="Z5" s="4190"/>
      <c r="AA5" s="4183"/>
      <c r="AB5" s="4183"/>
      <c r="AC5" s="4183"/>
    </row>
    <row r="6" spans="1:29" ht="15.75" thickBot="1">
      <c r="A6" s="298"/>
      <c r="B6" s="299"/>
      <c r="C6" s="4195" t="s">
        <v>1677</v>
      </c>
      <c r="D6" s="4196"/>
      <c r="E6" s="4197" t="s">
        <v>1677</v>
      </c>
      <c r="F6" s="4198"/>
      <c r="G6" s="4195" t="s">
        <v>1677</v>
      </c>
      <c r="H6" s="4196"/>
      <c r="I6" s="4195" t="s">
        <v>1677</v>
      </c>
      <c r="J6" s="4196"/>
      <c r="K6" s="497" t="s">
        <v>1678</v>
      </c>
      <c r="L6" s="2369"/>
      <c r="M6" s="2370"/>
      <c r="N6" s="2370"/>
      <c r="O6" s="2370"/>
      <c r="P6" s="4208"/>
      <c r="Q6" s="4209"/>
      <c r="R6" s="4189"/>
      <c r="S6" s="4190"/>
      <c r="T6" s="4210"/>
      <c r="U6" s="4211"/>
      <c r="V6" s="4212"/>
      <c r="W6" s="4212"/>
      <c r="X6" s="1251"/>
      <c r="Y6" s="4210"/>
      <c r="Z6" s="4211"/>
      <c r="AA6" s="4184"/>
      <c r="AB6" s="4184"/>
      <c r="AC6" s="4184"/>
    </row>
    <row r="7" spans="1:29" s="63" customFormat="1" ht="15.75" thickBot="1">
      <c r="A7" s="300" t="s">
        <v>1679</v>
      </c>
      <c r="B7" s="301"/>
      <c r="C7" s="302">
        <f>'数据-取费表'!B2</f>
        <v>45142</v>
      </c>
      <c r="D7" s="303">
        <v>100</v>
      </c>
      <c r="E7" s="304"/>
      <c r="F7" s="305">
        <f>SUMIF(48:48,YEAR(E7)&amp;"-"&amp;MONTH(E7),49:49)</f>
        <v>0</v>
      </c>
      <c r="G7" s="304"/>
      <c r="H7" s="303">
        <f>SUMIF(48:48,YEAR(G7)&amp;"-"&amp;MONTH(G7),49:49)</f>
        <v>0</v>
      </c>
      <c r="I7" s="304"/>
      <c r="J7" s="303">
        <f>SUMIF(48:48,YEAR(I7)&amp;"-"&amp;MONTH(I7),49:49)</f>
        <v>0</v>
      </c>
      <c r="K7" s="498"/>
      <c r="L7" s="2371"/>
      <c r="M7" s="2372"/>
      <c r="N7" s="2372"/>
      <c r="O7" s="2372"/>
      <c r="P7" s="4185" t="s">
        <v>1680</v>
      </c>
      <c r="Q7" s="4213"/>
      <c r="R7" s="632" t="s">
        <v>14</v>
      </c>
      <c r="S7" s="633">
        <f t="shared" ref="S7:S14" si="0">F7</f>
        <v>0</v>
      </c>
      <c r="T7" s="632" t="s">
        <v>14</v>
      </c>
      <c r="U7" s="633">
        <f t="shared" ref="U7:U14" si="1">H7</f>
        <v>0</v>
      </c>
      <c r="V7" s="632" t="s">
        <v>14</v>
      </c>
      <c r="W7" s="633">
        <f t="shared" ref="W7:W14" si="2">J7</f>
        <v>0</v>
      </c>
      <c r="X7" s="634"/>
      <c r="Y7" s="4185" t="s">
        <v>1680</v>
      </c>
      <c r="Z7" s="4186"/>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185" t="s">
        <v>1683</v>
      </c>
      <c r="Q8" s="4186"/>
      <c r="R8" s="632" t="s">
        <v>14</v>
      </c>
      <c r="S8" s="633">
        <f t="shared" si="0"/>
        <v>100</v>
      </c>
      <c r="T8" s="632" t="s">
        <v>14</v>
      </c>
      <c r="U8" s="633">
        <f t="shared" si="1"/>
        <v>100</v>
      </c>
      <c r="V8" s="632" t="s">
        <v>14</v>
      </c>
      <c r="W8" s="633">
        <f t="shared" si="2"/>
        <v>100</v>
      </c>
      <c r="X8" s="634"/>
      <c r="Y8" s="4185" t="s">
        <v>1683</v>
      </c>
      <c r="Z8" s="4186"/>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217" t="s">
        <v>1686</v>
      </c>
      <c r="Q9" s="1241" t="str">
        <f t="shared" ref="Q9:Q14" si="6">B9</f>
        <v>用途</v>
      </c>
      <c r="R9" s="632" t="s">
        <v>14</v>
      </c>
      <c r="S9" s="633">
        <f t="shared" si="0"/>
        <v>100</v>
      </c>
      <c r="T9" s="632" t="s">
        <v>14</v>
      </c>
      <c r="U9" s="633">
        <f t="shared" si="1"/>
        <v>100</v>
      </c>
      <c r="V9" s="632" t="s">
        <v>14</v>
      </c>
      <c r="W9" s="633">
        <f t="shared" si="2"/>
        <v>100</v>
      </c>
      <c r="X9" s="634"/>
      <c r="Y9" s="4129"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217"/>
      <c r="Q10" s="1241" t="str">
        <f t="shared" si="6"/>
        <v>土地使用年限（年）</v>
      </c>
      <c r="R10" s="632" t="s">
        <v>14</v>
      </c>
      <c r="S10" s="633">
        <f t="shared" si="0"/>
        <v>100</v>
      </c>
      <c r="T10" s="632" t="s">
        <v>14</v>
      </c>
      <c r="U10" s="633">
        <f t="shared" si="1"/>
        <v>100</v>
      </c>
      <c r="V10" s="632" t="s">
        <v>14</v>
      </c>
      <c r="W10" s="633">
        <f t="shared" si="2"/>
        <v>100</v>
      </c>
      <c r="X10" s="634"/>
      <c r="Y10" s="4129"/>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217"/>
      <c r="Q11" s="1241">
        <f t="shared" si="6"/>
        <v>111</v>
      </c>
      <c r="R11" s="632" t="s">
        <v>14</v>
      </c>
      <c r="S11" s="633">
        <f t="shared" si="0"/>
        <v>100</v>
      </c>
      <c r="T11" s="632" t="s">
        <v>14</v>
      </c>
      <c r="U11" s="633">
        <f t="shared" si="1"/>
        <v>100</v>
      </c>
      <c r="V11" s="632" t="s">
        <v>14</v>
      </c>
      <c r="W11" s="633">
        <f t="shared" si="2"/>
        <v>100</v>
      </c>
      <c r="X11" s="634"/>
      <c r="Y11" s="4129"/>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217"/>
      <c r="Q12" s="1241">
        <f t="shared" si="6"/>
        <v>111</v>
      </c>
      <c r="R12" s="632" t="s">
        <v>14</v>
      </c>
      <c r="S12" s="633">
        <f t="shared" si="0"/>
        <v>100</v>
      </c>
      <c r="T12" s="632" t="s">
        <v>14</v>
      </c>
      <c r="U12" s="633">
        <f t="shared" si="1"/>
        <v>100</v>
      </c>
      <c r="V12" s="632" t="s">
        <v>14</v>
      </c>
      <c r="W12" s="633">
        <f t="shared" si="2"/>
        <v>100</v>
      </c>
      <c r="X12" s="634"/>
      <c r="Y12" s="4129"/>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217"/>
      <c r="Q13" s="1241">
        <f t="shared" si="6"/>
        <v>111</v>
      </c>
      <c r="R13" s="632" t="s">
        <v>14</v>
      </c>
      <c r="S13" s="633">
        <f t="shared" si="0"/>
        <v>100</v>
      </c>
      <c r="T13" s="632" t="s">
        <v>14</v>
      </c>
      <c r="U13" s="633">
        <f t="shared" si="1"/>
        <v>100</v>
      </c>
      <c r="V13" s="632" t="s">
        <v>14</v>
      </c>
      <c r="W13" s="633">
        <f t="shared" si="2"/>
        <v>100</v>
      </c>
      <c r="X13" s="634"/>
      <c r="Y13" s="4129"/>
      <c r="Z13" s="51">
        <f t="shared" si="7"/>
        <v>111</v>
      </c>
      <c r="AA13" s="635">
        <f t="shared" si="3"/>
        <v>1</v>
      </c>
      <c r="AB13" s="635">
        <f t="shared" si="4"/>
        <v>1</v>
      </c>
      <c r="AC13" s="635">
        <f t="shared" si="5"/>
        <v>1</v>
      </c>
    </row>
    <row r="14" spans="1:29" ht="199.5">
      <c r="A14" s="293" t="s">
        <v>1690</v>
      </c>
      <c r="B14" s="512"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219" t="s">
        <v>1691</v>
      </c>
      <c r="Q14" s="1249" t="str">
        <f t="shared" si="6"/>
        <v>交通便捷度</v>
      </c>
      <c r="R14" s="636" t="s">
        <v>14</v>
      </c>
      <c r="S14" s="637">
        <f t="shared" si="0"/>
        <v>100</v>
      </c>
      <c r="T14" s="636" t="s">
        <v>14</v>
      </c>
      <c r="U14" s="637">
        <f t="shared" si="1"/>
        <v>100</v>
      </c>
      <c r="V14" s="636" t="s">
        <v>14</v>
      </c>
      <c r="W14" s="637">
        <f t="shared" si="2"/>
        <v>100</v>
      </c>
      <c r="X14" s="1251"/>
      <c r="Y14" s="4219"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220"/>
      <c r="Q15" s="1249"/>
      <c r="R15" s="636"/>
      <c r="S15" s="637"/>
      <c r="T15" s="636"/>
      <c r="U15" s="637"/>
      <c r="V15" s="636"/>
      <c r="W15" s="637"/>
      <c r="X15" s="1251"/>
      <c r="Y15" s="4220"/>
      <c r="Z15" s="1252"/>
      <c r="AA15" s="1250">
        <v>1</v>
      </c>
      <c r="AB15" s="1250">
        <v>1</v>
      </c>
      <c r="AC15" s="1250">
        <v>1</v>
      </c>
    </row>
    <row r="16" spans="1:29" ht="356.25">
      <c r="A16" s="296"/>
      <c r="B16" s="514"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220"/>
      <c r="Q16" s="1249" t="str">
        <f>B16</f>
        <v>公共配套设施</v>
      </c>
      <c r="R16" s="636" t="s">
        <v>14</v>
      </c>
      <c r="S16" s="637">
        <f>F16</f>
        <v>100</v>
      </c>
      <c r="T16" s="636" t="s">
        <v>14</v>
      </c>
      <c r="U16" s="637">
        <f>H16</f>
        <v>100</v>
      </c>
      <c r="V16" s="636" t="s">
        <v>14</v>
      </c>
      <c r="W16" s="637">
        <f>J16</f>
        <v>100</v>
      </c>
      <c r="X16" s="1251"/>
      <c r="Y16" s="4220"/>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220"/>
      <c r="Q17" s="1249"/>
      <c r="R17" s="636"/>
      <c r="S17" s="637"/>
      <c r="T17" s="636"/>
      <c r="U17" s="637"/>
      <c r="V17" s="636"/>
      <c r="W17" s="637"/>
      <c r="X17" s="1251"/>
      <c r="Y17" s="4220"/>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220"/>
      <c r="Q18" s="1249" t="str">
        <f>B18</f>
        <v>基础设施水平</v>
      </c>
      <c r="R18" s="636" t="s">
        <v>14</v>
      </c>
      <c r="S18" s="637">
        <f>F18</f>
        <v>100</v>
      </c>
      <c r="T18" s="636" t="s">
        <v>14</v>
      </c>
      <c r="U18" s="637">
        <f>H18</f>
        <v>100</v>
      </c>
      <c r="V18" s="636" t="s">
        <v>14</v>
      </c>
      <c r="W18" s="637">
        <f>J18</f>
        <v>100</v>
      </c>
      <c r="X18" s="1251"/>
      <c r="Y18" s="4220"/>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220"/>
      <c r="Q19" s="1249"/>
      <c r="R19" s="636"/>
      <c r="S19" s="637"/>
      <c r="T19" s="636"/>
      <c r="U19" s="637"/>
      <c r="V19" s="636"/>
      <c r="W19" s="637"/>
      <c r="X19" s="1251"/>
      <c r="Y19" s="4220"/>
      <c r="Z19" s="1252"/>
      <c r="AA19" s="1250">
        <v>1</v>
      </c>
      <c r="AB19" s="1250">
        <v>1</v>
      </c>
      <c r="AC19" s="1250">
        <v>1</v>
      </c>
    </row>
    <row r="20" spans="1:29" ht="128.25">
      <c r="A20" s="296"/>
      <c r="B20" s="514"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220"/>
      <c r="Q20" s="1249" t="str">
        <f>B20</f>
        <v>自然及人文环境</v>
      </c>
      <c r="R20" s="636" t="s">
        <v>14</v>
      </c>
      <c r="S20" s="637">
        <f>F20</f>
        <v>100</v>
      </c>
      <c r="T20" s="636" t="s">
        <v>14</v>
      </c>
      <c r="U20" s="637">
        <f>H20</f>
        <v>100</v>
      </c>
      <c r="V20" s="636" t="s">
        <v>14</v>
      </c>
      <c r="W20" s="637">
        <f>J20</f>
        <v>100</v>
      </c>
      <c r="X20" s="1251"/>
      <c r="Y20" s="4220"/>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220"/>
      <c r="Q21" s="1249"/>
      <c r="R21" s="636"/>
      <c r="S21" s="637"/>
      <c r="T21" s="636"/>
      <c r="U21" s="637"/>
      <c r="V21" s="636"/>
      <c r="W21" s="637"/>
      <c r="X21" s="1251"/>
      <c r="Y21" s="4220"/>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220"/>
      <c r="Q22" s="1249" t="str">
        <f>B22</f>
        <v>楼层</v>
      </c>
      <c r="R22" s="636" t="s">
        <v>14</v>
      </c>
      <c r="S22" s="637">
        <f>F22</f>
        <v>100</v>
      </c>
      <c r="T22" s="636" t="s">
        <v>14</v>
      </c>
      <c r="U22" s="637">
        <f>H22</f>
        <v>100</v>
      </c>
      <c r="V22" s="636" t="s">
        <v>14</v>
      </c>
      <c r="W22" s="637">
        <f>J22</f>
        <v>100</v>
      </c>
      <c r="X22" s="1251"/>
      <c r="Y22" s="4220"/>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220"/>
      <c r="Q23" s="1249">
        <f>B23</f>
        <v>111</v>
      </c>
      <c r="R23" s="636" t="s">
        <v>14</v>
      </c>
      <c r="S23" s="637">
        <f>F23</f>
        <v>100</v>
      </c>
      <c r="T23" s="636" t="s">
        <v>14</v>
      </c>
      <c r="U23" s="637">
        <f>H23</f>
        <v>100</v>
      </c>
      <c r="V23" s="636" t="s">
        <v>14</v>
      </c>
      <c r="W23" s="637">
        <f>J23</f>
        <v>100</v>
      </c>
      <c r="X23" s="1251"/>
      <c r="Y23" s="4220"/>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220"/>
      <c r="Q24" s="1249">
        <f t="shared" ref="Q24:Q36" si="11">B24</f>
        <v>111</v>
      </c>
      <c r="R24" s="636" t="s">
        <v>14</v>
      </c>
      <c r="S24" s="637">
        <f>F24</f>
        <v>100</v>
      </c>
      <c r="T24" s="636" t="s">
        <v>14</v>
      </c>
      <c r="U24" s="637">
        <f>H24</f>
        <v>100</v>
      </c>
      <c r="V24" s="636" t="s">
        <v>14</v>
      </c>
      <c r="W24" s="637">
        <f>J24</f>
        <v>100</v>
      </c>
      <c r="X24" s="1251"/>
      <c r="Y24" s="4220"/>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220"/>
      <c r="Q25" s="1241">
        <f t="shared" si="11"/>
        <v>111</v>
      </c>
      <c r="R25" s="632" t="s">
        <v>14</v>
      </c>
      <c r="S25" s="633">
        <f>F25</f>
        <v>100</v>
      </c>
      <c r="T25" s="632" t="s">
        <v>14</v>
      </c>
      <c r="U25" s="633">
        <f>H25</f>
        <v>100</v>
      </c>
      <c r="V25" s="632" t="s">
        <v>14</v>
      </c>
      <c r="W25" s="633">
        <f>J25</f>
        <v>100</v>
      </c>
      <c r="X25" s="634"/>
      <c r="Y25" s="4220"/>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28"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224"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224"/>
      <c r="Q27" s="638" t="str">
        <f t="shared" si="11"/>
        <v>项目停车位配比</v>
      </c>
      <c r="R27" s="639" t="s">
        <v>14</v>
      </c>
      <c r="S27" s="640">
        <f t="shared" si="12"/>
        <v>100</v>
      </c>
      <c r="T27" s="639" t="s">
        <v>14</v>
      </c>
      <c r="U27" s="640">
        <f t="shared" si="13"/>
        <v>100</v>
      </c>
      <c r="V27" s="639" t="s">
        <v>14</v>
      </c>
      <c r="W27" s="640">
        <f t="shared" si="14"/>
        <v>100</v>
      </c>
      <c r="X27" s="641"/>
      <c r="Y27" s="4224"/>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224"/>
      <c r="Q28" s="1249" t="str">
        <f t="shared" si="11"/>
        <v>公共部分装修</v>
      </c>
      <c r="R28" s="636" t="s">
        <v>14</v>
      </c>
      <c r="S28" s="637">
        <f t="shared" si="12"/>
        <v>100</v>
      </c>
      <c r="T28" s="636" t="s">
        <v>14</v>
      </c>
      <c r="U28" s="637">
        <f t="shared" si="13"/>
        <v>100</v>
      </c>
      <c r="V28" s="636" t="s">
        <v>14</v>
      </c>
      <c r="W28" s="637">
        <f t="shared" si="14"/>
        <v>100</v>
      </c>
      <c r="X28" s="1251"/>
      <c r="Y28" s="4224"/>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224"/>
      <c r="Q29" s="1249" t="str">
        <f t="shared" si="11"/>
        <v>成新率</v>
      </c>
      <c r="R29" s="636" t="s">
        <v>14</v>
      </c>
      <c r="S29" s="637" t="e">
        <f t="shared" si="12"/>
        <v>#N/A</v>
      </c>
      <c r="T29" s="636" t="s">
        <v>14</v>
      </c>
      <c r="U29" s="637" t="e">
        <f t="shared" si="13"/>
        <v>#N/A</v>
      </c>
      <c r="V29" s="636" t="s">
        <v>14</v>
      </c>
      <c r="W29" s="637" t="e">
        <f t="shared" si="14"/>
        <v>#N/A</v>
      </c>
      <c r="X29" s="1251"/>
      <c r="Y29" s="4224"/>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224"/>
      <c r="Q30" s="1249" t="str">
        <f t="shared" si="11"/>
        <v>物业等级</v>
      </c>
      <c r="R30" s="636" t="s">
        <v>14</v>
      </c>
      <c r="S30" s="637">
        <f t="shared" si="12"/>
        <v>100</v>
      </c>
      <c r="T30" s="636" t="s">
        <v>14</v>
      </c>
      <c r="U30" s="637">
        <f t="shared" si="13"/>
        <v>100</v>
      </c>
      <c r="V30" s="636" t="s">
        <v>14</v>
      </c>
      <c r="W30" s="637">
        <f t="shared" si="14"/>
        <v>100</v>
      </c>
      <c r="X30" s="1251"/>
      <c r="Y30" s="4224"/>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224"/>
      <c r="Q31" s="1241" t="str">
        <f t="shared" si="11"/>
        <v>停车位面积</v>
      </c>
      <c r="R31" s="632" t="s">
        <v>14</v>
      </c>
      <c r="S31" s="633" t="e">
        <f t="shared" si="12"/>
        <v>#N/A</v>
      </c>
      <c r="T31" s="632" t="s">
        <v>14</v>
      </c>
      <c r="U31" s="633" t="e">
        <f t="shared" si="13"/>
        <v>#N/A</v>
      </c>
      <c r="V31" s="632" t="s">
        <v>14</v>
      </c>
      <c r="W31" s="633" t="e">
        <f t="shared" si="14"/>
        <v>#N/A</v>
      </c>
      <c r="X31" s="634"/>
      <c r="Y31" s="4224"/>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224" t="s">
        <v>1696</v>
      </c>
      <c r="Q32" s="1249" t="str">
        <f t="shared" si="11"/>
        <v>车位类型</v>
      </c>
      <c r="R32" s="636" t="s">
        <v>14</v>
      </c>
      <c r="S32" s="637">
        <f t="shared" si="12"/>
        <v>100</v>
      </c>
      <c r="T32" s="636" t="s">
        <v>14</v>
      </c>
      <c r="U32" s="637">
        <f t="shared" si="13"/>
        <v>100</v>
      </c>
      <c r="V32" s="636" t="s">
        <v>14</v>
      </c>
      <c r="W32" s="637">
        <f t="shared" si="14"/>
        <v>100</v>
      </c>
      <c r="X32" s="1251"/>
      <c r="Y32" s="4224"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224"/>
      <c r="Q33" s="1249" t="str">
        <f t="shared" si="11"/>
        <v>是否直接入户</v>
      </c>
      <c r="R33" s="636" t="s">
        <v>14</v>
      </c>
      <c r="S33" s="637">
        <f t="shared" si="12"/>
        <v>100</v>
      </c>
      <c r="T33" s="636" t="s">
        <v>14</v>
      </c>
      <c r="U33" s="637">
        <f t="shared" si="13"/>
        <v>100</v>
      </c>
      <c r="V33" s="636" t="s">
        <v>14</v>
      </c>
      <c r="W33" s="637">
        <f t="shared" si="14"/>
        <v>100</v>
      </c>
      <c r="X33" s="1251"/>
      <c r="Y33" s="4224"/>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224"/>
      <c r="Q34" s="1249">
        <f t="shared" si="11"/>
        <v>111</v>
      </c>
      <c r="R34" s="636" t="s">
        <v>14</v>
      </c>
      <c r="S34" s="637">
        <f t="shared" si="12"/>
        <v>100</v>
      </c>
      <c r="T34" s="636" t="s">
        <v>14</v>
      </c>
      <c r="U34" s="637">
        <f t="shared" si="13"/>
        <v>100</v>
      </c>
      <c r="V34" s="636" t="s">
        <v>14</v>
      </c>
      <c r="W34" s="637">
        <f t="shared" si="14"/>
        <v>100</v>
      </c>
      <c r="X34" s="1251"/>
      <c r="Y34" s="4224"/>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224"/>
      <c r="Q35" s="638">
        <f t="shared" si="11"/>
        <v>111</v>
      </c>
      <c r="R35" s="639" t="s">
        <v>14</v>
      </c>
      <c r="S35" s="640">
        <f t="shared" si="12"/>
        <v>100</v>
      </c>
      <c r="T35" s="639" t="s">
        <v>14</v>
      </c>
      <c r="U35" s="640">
        <f t="shared" si="13"/>
        <v>100</v>
      </c>
      <c r="V35" s="639" t="s">
        <v>14</v>
      </c>
      <c r="W35" s="640">
        <f t="shared" si="14"/>
        <v>100</v>
      </c>
      <c r="X35" s="641"/>
      <c r="Y35" s="4224"/>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224"/>
      <c r="Q36" s="1249">
        <f t="shared" si="11"/>
        <v>111</v>
      </c>
      <c r="R36" s="636" t="s">
        <v>14</v>
      </c>
      <c r="S36" s="637">
        <f t="shared" si="12"/>
        <v>100</v>
      </c>
      <c r="T36" s="636" t="s">
        <v>14</v>
      </c>
      <c r="U36" s="637">
        <f t="shared" si="13"/>
        <v>100</v>
      </c>
      <c r="V36" s="636" t="s">
        <v>14</v>
      </c>
      <c r="W36" s="637">
        <f t="shared" si="14"/>
        <v>100</v>
      </c>
      <c r="X36" s="1251"/>
      <c r="Y36" s="4224"/>
      <c r="Z36" s="1252">
        <f t="shared" si="15"/>
        <v>111</v>
      </c>
      <c r="AA36" s="1250">
        <f t="shared" si="3"/>
        <v>1</v>
      </c>
      <c r="AB36" s="1250">
        <f t="shared" si="4"/>
        <v>1</v>
      </c>
      <c r="AC36" s="1250">
        <f t="shared" si="5"/>
        <v>1</v>
      </c>
    </row>
    <row r="37" spans="1:29" ht="15">
      <c r="A37" s="368" t="s">
        <v>1844</v>
      </c>
      <c r="B37" s="1776" t="s">
        <v>3351</v>
      </c>
      <c r="C37" s="1055" t="s">
        <v>0</v>
      </c>
      <c r="D37" s="1056"/>
      <c r="E37" s="1057"/>
      <c r="F37" s="1058"/>
      <c r="G37" s="1059"/>
      <c r="H37" s="1060"/>
      <c r="I37" s="1057"/>
      <c r="J37" s="1060"/>
      <c r="K37" s="504"/>
      <c r="L37" s="2378"/>
      <c r="M37" s="2379"/>
      <c r="N37" s="2370"/>
      <c r="O37" s="2379"/>
      <c r="P37" s="4217" t="str">
        <f>A37</f>
        <v>成交单价</v>
      </c>
      <c r="Q37" s="4217"/>
      <c r="R37" s="4218">
        <f>E37</f>
        <v>0</v>
      </c>
      <c r="S37" s="4218"/>
      <c r="T37" s="4218">
        <f>G37</f>
        <v>0</v>
      </c>
      <c r="U37" s="4218"/>
      <c r="V37" s="4218">
        <f>I37</f>
        <v>0</v>
      </c>
      <c r="W37" s="4218"/>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217" t="str">
        <f>A38</f>
        <v>比较价值（元/平方米）</v>
      </c>
      <c r="Q38" s="4217"/>
      <c r="R38" s="4218" t="e">
        <f>IF(F1="售价",ROUND(PRODUCT(R37,AA7:AA36),0),ROUND(PRODUCT(R37,AA7:AA36),1))</f>
        <v>#DIV/0!</v>
      </c>
      <c r="S38" s="4218"/>
      <c r="T38" s="4218" t="e">
        <f>IF(F1="售价",ROUND(PRODUCT(T37,AB7:AB36),0),ROUND(PRODUCT(T37,AB7:AB36),1))</f>
        <v>#DIV/0!</v>
      </c>
      <c r="U38" s="4218"/>
      <c r="V38" s="4218" t="e">
        <f>IF(F1="售价",ROUND(PRODUCT(V37,AC7:AC36),0),ROUND(PRODUCT(V37,AC7:AC36),1))</f>
        <v>#DIV/0!</v>
      </c>
      <c r="W38" s="4218"/>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214" t="str">
        <f>A39</f>
        <v>估价对象XX用房的比较价值（楼面单价，元/平方米）</v>
      </c>
      <c r="Q39" s="4215"/>
      <c r="R39" s="4229" t="e">
        <f>IF(F1="售价",ROUND(IF(D38="简单平均",AVERAGE(R38:W38),R38*F38+T38*H38+V38*J38),0),ROUND(IF(D38="简单平均",AVERAGE(R38:V38),R38*F38+T38*H38+V38*J38),1))</f>
        <v>#DIV/0!</v>
      </c>
      <c r="S39" s="4229"/>
      <c r="T39" s="4229"/>
      <c r="U39" s="4229"/>
      <c r="V39" s="4229"/>
      <c r="W39" s="4229"/>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2023-8</v>
      </c>
      <c r="D48" s="1084">
        <f>EDATE(C48,-1)</f>
        <v>45108</v>
      </c>
      <c r="E48" s="1084">
        <f t="shared" ref="E48:O48" si="16">EDATE(D48,-1)</f>
        <v>45078</v>
      </c>
      <c r="F48" s="1084">
        <f t="shared" si="16"/>
        <v>45047</v>
      </c>
      <c r="G48" s="1084">
        <f t="shared" si="16"/>
        <v>45017</v>
      </c>
      <c r="H48" s="1084">
        <f t="shared" si="16"/>
        <v>44986</v>
      </c>
      <c r="I48" s="1084">
        <f t="shared" si="16"/>
        <v>44958</v>
      </c>
      <c r="J48" s="1084">
        <f t="shared" si="16"/>
        <v>44927</v>
      </c>
      <c r="K48" s="1084">
        <f t="shared" si="16"/>
        <v>44896</v>
      </c>
      <c r="L48" s="1084">
        <f t="shared" si="16"/>
        <v>44866</v>
      </c>
      <c r="M48" s="1084">
        <f t="shared" si="16"/>
        <v>44835</v>
      </c>
      <c r="N48" s="1084">
        <f t="shared" si="16"/>
        <v>44805</v>
      </c>
      <c r="O48" s="1084">
        <f t="shared" si="16"/>
        <v>44774</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0" t="s">
        <v>1770</v>
      </c>
      <c r="D4" s="4201"/>
      <c r="E4" s="4202" t="s">
        <v>1771</v>
      </c>
      <c r="F4" s="4203"/>
      <c r="G4" s="4200" t="s">
        <v>1772</v>
      </c>
      <c r="H4" s="4201"/>
      <c r="I4" s="4200" t="s">
        <v>1773</v>
      </c>
      <c r="J4" s="4201"/>
      <c r="K4" s="497" t="s">
        <v>1774</v>
      </c>
      <c r="L4" s="2369"/>
      <c r="M4" s="2370"/>
      <c r="N4" s="2370"/>
      <c r="O4" s="2370"/>
      <c r="P4" s="4204" t="s">
        <v>1775</v>
      </c>
      <c r="Q4" s="4205"/>
      <c r="R4" s="4187" t="s">
        <v>1771</v>
      </c>
      <c r="S4" s="4188"/>
      <c r="T4" s="4187" t="s">
        <v>1772</v>
      </c>
      <c r="U4" s="4188"/>
      <c r="V4" s="4212" t="s">
        <v>1773</v>
      </c>
      <c r="W4" s="4212"/>
      <c r="X4" s="1251"/>
      <c r="Y4" s="4187" t="s">
        <v>1775</v>
      </c>
      <c r="Z4" s="4188"/>
      <c r="AA4" s="4182" t="s">
        <v>1771</v>
      </c>
      <c r="AB4" s="4183" t="s">
        <v>1772</v>
      </c>
      <c r="AC4" s="4182" t="s">
        <v>1773</v>
      </c>
    </row>
    <row r="5" spans="1:29" ht="15">
      <c r="A5" s="296"/>
      <c r="B5" s="297"/>
      <c r="C5" s="4193" t="s">
        <v>1673</v>
      </c>
      <c r="D5" s="4194"/>
      <c r="E5" s="4191" t="s">
        <v>1674</v>
      </c>
      <c r="F5" s="4192"/>
      <c r="G5" s="4193" t="s">
        <v>1675</v>
      </c>
      <c r="H5" s="4194"/>
      <c r="I5" s="4193" t="s">
        <v>1676</v>
      </c>
      <c r="J5" s="4194"/>
      <c r="K5" s="497"/>
      <c r="L5" s="2369"/>
      <c r="M5" s="2370"/>
      <c r="N5" s="2370"/>
      <c r="O5" s="2370"/>
      <c r="P5" s="4206"/>
      <c r="Q5" s="4207"/>
      <c r="R5" s="4189"/>
      <c r="S5" s="4190"/>
      <c r="T5" s="4189"/>
      <c r="U5" s="4190"/>
      <c r="V5" s="4212"/>
      <c r="W5" s="4212"/>
      <c r="X5" s="1251"/>
      <c r="Y5" s="4189"/>
      <c r="Z5" s="4190"/>
      <c r="AA5" s="4183"/>
      <c r="AB5" s="4183"/>
      <c r="AC5" s="4183"/>
    </row>
    <row r="6" spans="1:29" ht="15.75" thickBot="1">
      <c r="A6" s="298"/>
      <c r="B6" s="299"/>
      <c r="C6" s="4195" t="s">
        <v>1677</v>
      </c>
      <c r="D6" s="4196"/>
      <c r="E6" s="4197" t="s">
        <v>1677</v>
      </c>
      <c r="F6" s="4198"/>
      <c r="G6" s="4195" t="s">
        <v>1677</v>
      </c>
      <c r="H6" s="4196"/>
      <c r="I6" s="4195" t="s">
        <v>1677</v>
      </c>
      <c r="J6" s="4196"/>
      <c r="K6" s="497" t="s">
        <v>1678</v>
      </c>
      <c r="L6" s="2369"/>
      <c r="M6" s="2370"/>
      <c r="N6" s="2370"/>
      <c r="O6" s="2370"/>
      <c r="P6" s="4208"/>
      <c r="Q6" s="4209"/>
      <c r="R6" s="4189"/>
      <c r="S6" s="4190"/>
      <c r="T6" s="4210"/>
      <c r="U6" s="4211"/>
      <c r="V6" s="4212"/>
      <c r="W6" s="4212"/>
      <c r="X6" s="1251"/>
      <c r="Y6" s="4210"/>
      <c r="Z6" s="4211"/>
      <c r="AA6" s="4184"/>
      <c r="AB6" s="4184"/>
      <c r="AC6" s="4184"/>
    </row>
    <row r="7" spans="1:29" s="63" customFormat="1" ht="15.75" thickBot="1">
      <c r="A7" s="300" t="s">
        <v>1679</v>
      </c>
      <c r="B7" s="301"/>
      <c r="C7" s="302">
        <f>'数据-取费表'!B2</f>
        <v>45142</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185" t="s">
        <v>1680</v>
      </c>
      <c r="Q7" s="4213"/>
      <c r="R7" s="632" t="s">
        <v>14</v>
      </c>
      <c r="S7" s="633">
        <f t="shared" ref="S7:S14" si="0">F7</f>
        <v>0</v>
      </c>
      <c r="T7" s="632" t="s">
        <v>14</v>
      </c>
      <c r="U7" s="633">
        <f t="shared" ref="U7:U14" si="1">H7</f>
        <v>0</v>
      </c>
      <c r="V7" s="632" t="s">
        <v>14</v>
      </c>
      <c r="W7" s="633">
        <f t="shared" ref="W7:W14" si="2">J7</f>
        <v>0</v>
      </c>
      <c r="X7" s="634"/>
      <c r="Y7" s="4185" t="s">
        <v>1680</v>
      </c>
      <c r="Z7" s="4186"/>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185" t="s">
        <v>1683</v>
      </c>
      <c r="Q8" s="4186"/>
      <c r="R8" s="632" t="s">
        <v>14</v>
      </c>
      <c r="S8" s="633">
        <f t="shared" si="0"/>
        <v>100</v>
      </c>
      <c r="T8" s="632" t="s">
        <v>14</v>
      </c>
      <c r="U8" s="633">
        <f t="shared" si="1"/>
        <v>100</v>
      </c>
      <c r="V8" s="632" t="s">
        <v>14</v>
      </c>
      <c r="W8" s="633">
        <f t="shared" si="2"/>
        <v>100</v>
      </c>
      <c r="X8" s="634"/>
      <c r="Y8" s="4185" t="s">
        <v>1683</v>
      </c>
      <c r="Z8" s="4186"/>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217" t="s">
        <v>1686</v>
      </c>
      <c r="Q9" s="1241" t="str">
        <f t="shared" ref="Q9:Q14" si="6">B9</f>
        <v>用途</v>
      </c>
      <c r="R9" s="632" t="s">
        <v>14</v>
      </c>
      <c r="S9" s="633">
        <f t="shared" si="0"/>
        <v>100</v>
      </c>
      <c r="T9" s="632" t="s">
        <v>14</v>
      </c>
      <c r="U9" s="633">
        <f t="shared" si="1"/>
        <v>100</v>
      </c>
      <c r="V9" s="632" t="s">
        <v>14</v>
      </c>
      <c r="W9" s="633">
        <f t="shared" si="2"/>
        <v>100</v>
      </c>
      <c r="X9" s="634"/>
      <c r="Y9" s="4129"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217"/>
      <c r="Q10" s="1241" t="str">
        <f t="shared" si="6"/>
        <v>土地使用年限（年）</v>
      </c>
      <c r="R10" s="632" t="s">
        <v>14</v>
      </c>
      <c r="S10" s="633">
        <f t="shared" si="0"/>
        <v>100</v>
      </c>
      <c r="T10" s="632" t="s">
        <v>14</v>
      </c>
      <c r="U10" s="633">
        <f t="shared" si="1"/>
        <v>100</v>
      </c>
      <c r="V10" s="632" t="s">
        <v>14</v>
      </c>
      <c r="W10" s="633">
        <f t="shared" si="2"/>
        <v>100</v>
      </c>
      <c r="X10" s="634"/>
      <c r="Y10" s="4129"/>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217"/>
      <c r="Q11" s="1241">
        <f t="shared" si="6"/>
        <v>111</v>
      </c>
      <c r="R11" s="632" t="s">
        <v>14</v>
      </c>
      <c r="S11" s="633">
        <f t="shared" si="0"/>
        <v>100</v>
      </c>
      <c r="T11" s="632" t="s">
        <v>14</v>
      </c>
      <c r="U11" s="633">
        <f t="shared" si="1"/>
        <v>100</v>
      </c>
      <c r="V11" s="632" t="s">
        <v>14</v>
      </c>
      <c r="W11" s="633">
        <f t="shared" si="2"/>
        <v>100</v>
      </c>
      <c r="X11" s="634"/>
      <c r="Y11" s="4129"/>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217"/>
      <c r="Q12" s="1241">
        <f t="shared" si="6"/>
        <v>111</v>
      </c>
      <c r="R12" s="632" t="s">
        <v>14</v>
      </c>
      <c r="S12" s="633">
        <f t="shared" si="0"/>
        <v>100</v>
      </c>
      <c r="T12" s="632" t="s">
        <v>14</v>
      </c>
      <c r="U12" s="633">
        <f t="shared" si="1"/>
        <v>100</v>
      </c>
      <c r="V12" s="632" t="s">
        <v>14</v>
      </c>
      <c r="W12" s="633">
        <f t="shared" si="2"/>
        <v>100</v>
      </c>
      <c r="X12" s="634"/>
      <c r="Y12" s="4129"/>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217"/>
      <c r="Q13" s="1241">
        <f t="shared" si="6"/>
        <v>111</v>
      </c>
      <c r="R13" s="632" t="s">
        <v>14</v>
      </c>
      <c r="S13" s="633">
        <f t="shared" si="0"/>
        <v>100</v>
      </c>
      <c r="T13" s="632" t="s">
        <v>14</v>
      </c>
      <c r="U13" s="633">
        <f t="shared" si="1"/>
        <v>100</v>
      </c>
      <c r="V13" s="632" t="s">
        <v>14</v>
      </c>
      <c r="W13" s="633">
        <f t="shared" si="2"/>
        <v>100</v>
      </c>
      <c r="X13" s="634"/>
      <c r="Y13" s="4129"/>
      <c r="Z13" s="51">
        <f t="shared" si="7"/>
        <v>111</v>
      </c>
      <c r="AA13" s="635">
        <f t="shared" si="3"/>
        <v>1</v>
      </c>
      <c r="AB13" s="635">
        <f t="shared" si="4"/>
        <v>1</v>
      </c>
      <c r="AC13" s="635">
        <f t="shared" si="5"/>
        <v>1</v>
      </c>
    </row>
    <row r="14" spans="1:29" ht="199.5">
      <c r="A14" s="329" t="s">
        <v>1690</v>
      </c>
      <c r="B14" s="60"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219" t="s">
        <v>1691</v>
      </c>
      <c r="Q14" s="1249" t="str">
        <f t="shared" si="6"/>
        <v>交通便捷度</v>
      </c>
      <c r="R14" s="636" t="s">
        <v>14</v>
      </c>
      <c r="S14" s="637">
        <f t="shared" si="0"/>
        <v>100</v>
      </c>
      <c r="T14" s="636" t="s">
        <v>14</v>
      </c>
      <c r="U14" s="637">
        <f t="shared" si="1"/>
        <v>100</v>
      </c>
      <c r="V14" s="636" t="s">
        <v>14</v>
      </c>
      <c r="W14" s="637">
        <f t="shared" si="2"/>
        <v>100</v>
      </c>
      <c r="X14" s="1251"/>
      <c r="Y14" s="4219"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220"/>
      <c r="Q15" s="1249"/>
      <c r="R15" s="636"/>
      <c r="S15" s="637"/>
      <c r="T15" s="636"/>
      <c r="U15" s="637"/>
      <c r="V15" s="636"/>
      <c r="W15" s="637"/>
      <c r="X15" s="1251"/>
      <c r="Y15" s="4220"/>
      <c r="Z15" s="1252"/>
      <c r="AA15" s="1250">
        <v>1</v>
      </c>
      <c r="AB15" s="1250">
        <v>1</v>
      </c>
      <c r="AC15" s="1250">
        <v>1</v>
      </c>
    </row>
    <row r="16" spans="1:29" ht="356.25">
      <c r="A16" s="317"/>
      <c r="B16" s="340"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220"/>
      <c r="Q16" s="1249" t="str">
        <f>B16</f>
        <v>公共配套设施</v>
      </c>
      <c r="R16" s="636" t="s">
        <v>14</v>
      </c>
      <c r="S16" s="637">
        <f>F16</f>
        <v>100</v>
      </c>
      <c r="T16" s="636" t="s">
        <v>14</v>
      </c>
      <c r="U16" s="637">
        <f>H16</f>
        <v>100</v>
      </c>
      <c r="V16" s="636" t="s">
        <v>14</v>
      </c>
      <c r="W16" s="637">
        <f>J16</f>
        <v>100</v>
      </c>
      <c r="X16" s="1251"/>
      <c r="Y16" s="4220"/>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220"/>
      <c r="Q17" s="1249"/>
      <c r="R17" s="636"/>
      <c r="S17" s="637"/>
      <c r="T17" s="636"/>
      <c r="U17" s="637"/>
      <c r="V17" s="636"/>
      <c r="W17" s="637"/>
      <c r="X17" s="1251"/>
      <c r="Y17" s="4220"/>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220"/>
      <c r="Q18" s="1249" t="str">
        <f>B18</f>
        <v>基础设施水平</v>
      </c>
      <c r="R18" s="636" t="s">
        <v>14</v>
      </c>
      <c r="S18" s="637">
        <f>F18</f>
        <v>100</v>
      </c>
      <c r="T18" s="636" t="s">
        <v>14</v>
      </c>
      <c r="U18" s="637">
        <f>H18</f>
        <v>100</v>
      </c>
      <c r="V18" s="636" t="s">
        <v>14</v>
      </c>
      <c r="W18" s="637">
        <f>J18</f>
        <v>100</v>
      </c>
      <c r="X18" s="1251"/>
      <c r="Y18" s="4220"/>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220"/>
      <c r="Q19" s="1249"/>
      <c r="R19" s="636"/>
      <c r="S19" s="637"/>
      <c r="T19" s="636"/>
      <c r="U19" s="637"/>
      <c r="V19" s="636"/>
      <c r="W19" s="637"/>
      <c r="X19" s="1251"/>
      <c r="Y19" s="4220"/>
      <c r="Z19" s="1252"/>
      <c r="AA19" s="1250">
        <v>1</v>
      </c>
      <c r="AB19" s="1250">
        <v>1</v>
      </c>
      <c r="AC19" s="1250">
        <v>1</v>
      </c>
    </row>
    <row r="20" spans="1:29" ht="128.25">
      <c r="A20" s="317"/>
      <c r="B20" s="340"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220"/>
      <c r="Q20" s="1249" t="str">
        <f>B20</f>
        <v>自然及人文环境</v>
      </c>
      <c r="R20" s="636" t="s">
        <v>14</v>
      </c>
      <c r="S20" s="637">
        <f>F20</f>
        <v>100</v>
      </c>
      <c r="T20" s="636" t="s">
        <v>14</v>
      </c>
      <c r="U20" s="637">
        <f>H20</f>
        <v>100</v>
      </c>
      <c r="V20" s="636" t="s">
        <v>14</v>
      </c>
      <c r="W20" s="637">
        <f>J20</f>
        <v>100</v>
      </c>
      <c r="X20" s="1251"/>
      <c r="Y20" s="4220"/>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220"/>
      <c r="Q21" s="1249"/>
      <c r="R21" s="636"/>
      <c r="S21" s="637"/>
      <c r="T21" s="636"/>
      <c r="U21" s="637"/>
      <c r="V21" s="636"/>
      <c r="W21" s="637"/>
      <c r="X21" s="1251"/>
      <c r="Y21" s="4220"/>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220"/>
      <c r="Q22" s="1249" t="str">
        <f>B22</f>
        <v>楼层</v>
      </c>
      <c r="R22" s="636" t="s">
        <v>14</v>
      </c>
      <c r="S22" s="637">
        <f>F22</f>
        <v>100</v>
      </c>
      <c r="T22" s="636" t="s">
        <v>14</v>
      </c>
      <c r="U22" s="637">
        <f>H22</f>
        <v>100</v>
      </c>
      <c r="V22" s="636" t="s">
        <v>14</v>
      </c>
      <c r="W22" s="637">
        <f>J22</f>
        <v>100</v>
      </c>
      <c r="X22" s="1251"/>
      <c r="Y22" s="4220"/>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220"/>
      <c r="Q23" s="1249">
        <f>B23</f>
        <v>111</v>
      </c>
      <c r="R23" s="636" t="s">
        <v>14</v>
      </c>
      <c r="S23" s="637">
        <f>F23</f>
        <v>100</v>
      </c>
      <c r="T23" s="636" t="s">
        <v>14</v>
      </c>
      <c r="U23" s="637">
        <f>H23</f>
        <v>100</v>
      </c>
      <c r="V23" s="636" t="s">
        <v>14</v>
      </c>
      <c r="W23" s="637">
        <f>J23</f>
        <v>100</v>
      </c>
      <c r="X23" s="1251"/>
      <c r="Y23" s="4220"/>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220"/>
      <c r="Q24" s="1249">
        <f t="shared" ref="Q24:Q34" si="11">B24</f>
        <v>111</v>
      </c>
      <c r="R24" s="636" t="s">
        <v>14</v>
      </c>
      <c r="S24" s="637">
        <f>F24</f>
        <v>100</v>
      </c>
      <c r="T24" s="636" t="s">
        <v>14</v>
      </c>
      <c r="U24" s="637">
        <f>H24</f>
        <v>100</v>
      </c>
      <c r="V24" s="636" t="s">
        <v>14</v>
      </c>
      <c r="W24" s="637">
        <f>J24</f>
        <v>100</v>
      </c>
      <c r="X24" s="1251"/>
      <c r="Y24" s="4220"/>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220"/>
      <c r="Q25" s="1241">
        <f t="shared" si="11"/>
        <v>111</v>
      </c>
      <c r="R25" s="632" t="s">
        <v>14</v>
      </c>
      <c r="S25" s="633">
        <f>F25</f>
        <v>100</v>
      </c>
      <c r="T25" s="632" t="s">
        <v>14</v>
      </c>
      <c r="U25" s="633">
        <f>H25</f>
        <v>100</v>
      </c>
      <c r="V25" s="632" t="s">
        <v>14</v>
      </c>
      <c r="W25" s="633">
        <f>J25</f>
        <v>100</v>
      </c>
      <c r="X25" s="634"/>
      <c r="Y25" s="4220"/>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28"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224"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224"/>
      <c r="Q27" s="638" t="str">
        <f t="shared" si="11"/>
        <v>成新率</v>
      </c>
      <c r="R27" s="639" t="s">
        <v>14</v>
      </c>
      <c r="S27" s="640" t="e">
        <f t="shared" si="12"/>
        <v>#N/A</v>
      </c>
      <c r="T27" s="639" t="s">
        <v>14</v>
      </c>
      <c r="U27" s="640" t="e">
        <f t="shared" si="13"/>
        <v>#N/A</v>
      </c>
      <c r="V27" s="639" t="s">
        <v>14</v>
      </c>
      <c r="W27" s="640" t="e">
        <f t="shared" si="14"/>
        <v>#N/A</v>
      </c>
      <c r="X27" s="641"/>
      <c r="Y27" s="4224"/>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224"/>
      <c r="Q28" s="1249" t="str">
        <f t="shared" si="11"/>
        <v>物业等级</v>
      </c>
      <c r="R28" s="636" t="s">
        <v>14</v>
      </c>
      <c r="S28" s="637">
        <f t="shared" si="12"/>
        <v>100</v>
      </c>
      <c r="T28" s="636" t="s">
        <v>14</v>
      </c>
      <c r="U28" s="637">
        <f t="shared" si="13"/>
        <v>100</v>
      </c>
      <c r="V28" s="636" t="s">
        <v>14</v>
      </c>
      <c r="W28" s="637">
        <f t="shared" si="14"/>
        <v>100</v>
      </c>
      <c r="X28" s="1251"/>
      <c r="Y28" s="4224"/>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224"/>
      <c r="Q29" s="1249" t="str">
        <f t="shared" si="11"/>
        <v>有无电梯</v>
      </c>
      <c r="R29" s="636" t="s">
        <v>14</v>
      </c>
      <c r="S29" s="637">
        <f t="shared" si="12"/>
        <v>100</v>
      </c>
      <c r="T29" s="636" t="s">
        <v>14</v>
      </c>
      <c r="U29" s="637">
        <f t="shared" si="13"/>
        <v>100</v>
      </c>
      <c r="V29" s="636" t="s">
        <v>14</v>
      </c>
      <c r="W29" s="637">
        <f t="shared" si="14"/>
        <v>100</v>
      </c>
      <c r="X29" s="1251"/>
      <c r="Y29" s="4224"/>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224"/>
      <c r="Q30" s="1249" t="str">
        <f t="shared" si="11"/>
        <v>建筑面积</v>
      </c>
      <c r="R30" s="636" t="s">
        <v>14</v>
      </c>
      <c r="S30" s="637" t="e">
        <f t="shared" si="12"/>
        <v>#N/A</v>
      </c>
      <c r="T30" s="636" t="s">
        <v>14</v>
      </c>
      <c r="U30" s="637" t="e">
        <f t="shared" si="13"/>
        <v>#N/A</v>
      </c>
      <c r="V30" s="636" t="s">
        <v>14</v>
      </c>
      <c r="W30" s="637" t="e">
        <f t="shared" si="14"/>
        <v>#N/A</v>
      </c>
      <c r="X30" s="1251"/>
      <c r="Y30" s="4224"/>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224"/>
      <c r="Q31" s="1241" t="str">
        <f t="shared" si="11"/>
        <v>是否封闭</v>
      </c>
      <c r="R31" s="632" t="s">
        <v>14</v>
      </c>
      <c r="S31" s="633">
        <f t="shared" si="12"/>
        <v>100</v>
      </c>
      <c r="T31" s="632" t="s">
        <v>14</v>
      </c>
      <c r="U31" s="633">
        <f t="shared" si="13"/>
        <v>100</v>
      </c>
      <c r="V31" s="632" t="s">
        <v>14</v>
      </c>
      <c r="W31" s="633">
        <f t="shared" si="14"/>
        <v>100</v>
      </c>
      <c r="X31" s="634"/>
      <c r="Y31" s="4224"/>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224" t="s">
        <v>1696</v>
      </c>
      <c r="Q32" s="1249">
        <f t="shared" si="11"/>
        <v>111</v>
      </c>
      <c r="R32" s="636" t="s">
        <v>14</v>
      </c>
      <c r="S32" s="637">
        <f t="shared" si="12"/>
        <v>100</v>
      </c>
      <c r="T32" s="636" t="s">
        <v>14</v>
      </c>
      <c r="U32" s="637">
        <f t="shared" si="13"/>
        <v>100</v>
      </c>
      <c r="V32" s="636" t="s">
        <v>14</v>
      </c>
      <c r="W32" s="637">
        <f t="shared" si="14"/>
        <v>100</v>
      </c>
      <c r="X32" s="1251"/>
      <c r="Y32" s="4224"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224"/>
      <c r="Q33" s="1249">
        <f t="shared" si="11"/>
        <v>111</v>
      </c>
      <c r="R33" s="636" t="s">
        <v>14</v>
      </c>
      <c r="S33" s="637">
        <f t="shared" si="12"/>
        <v>100</v>
      </c>
      <c r="T33" s="636" t="s">
        <v>14</v>
      </c>
      <c r="U33" s="637">
        <f t="shared" si="13"/>
        <v>100</v>
      </c>
      <c r="V33" s="636" t="s">
        <v>14</v>
      </c>
      <c r="W33" s="637">
        <f t="shared" si="14"/>
        <v>100</v>
      </c>
      <c r="X33" s="1251"/>
      <c r="Y33" s="4224"/>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224"/>
      <c r="Q34" s="1249">
        <f t="shared" si="11"/>
        <v>111</v>
      </c>
      <c r="R34" s="636" t="s">
        <v>14</v>
      </c>
      <c r="S34" s="637">
        <f t="shared" si="12"/>
        <v>100</v>
      </c>
      <c r="T34" s="636" t="s">
        <v>14</v>
      </c>
      <c r="U34" s="637">
        <f t="shared" si="13"/>
        <v>100</v>
      </c>
      <c r="V34" s="636" t="s">
        <v>14</v>
      </c>
      <c r="W34" s="637">
        <f t="shared" si="14"/>
        <v>100</v>
      </c>
      <c r="X34" s="1251"/>
      <c r="Y34" s="4224"/>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217" t="str">
        <f>A35</f>
        <v>成交单价（元/平方米）</v>
      </c>
      <c r="Q35" s="4217"/>
      <c r="R35" s="4218">
        <f>E35</f>
        <v>0</v>
      </c>
      <c r="S35" s="4218"/>
      <c r="T35" s="4218">
        <f>G35</f>
        <v>0</v>
      </c>
      <c r="U35" s="4218"/>
      <c r="V35" s="4218">
        <f>I35</f>
        <v>0</v>
      </c>
      <c r="W35" s="4218"/>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217" t="str">
        <f>A36</f>
        <v>比较价值（元/平方米）</v>
      </c>
      <c r="Q36" s="4217"/>
      <c r="R36" s="4218" t="e">
        <f>IF(F1="售价",ROUND(PRODUCT(R35,AA7:AA34),0),ROUND(PRODUCT(R35,AA7:AA34),1))</f>
        <v>#DIV/0!</v>
      </c>
      <c r="S36" s="4218"/>
      <c r="T36" s="4218" t="e">
        <f>IF(F1="售价",ROUND(PRODUCT(T35,AB7:AB34),0),ROUND(PRODUCT(T35,AB7:AB34),1))</f>
        <v>#DIV/0!</v>
      </c>
      <c r="U36" s="4218"/>
      <c r="V36" s="4218" t="e">
        <f>IF(F1="售价",ROUND(PRODUCT(V35,AC7:AC34),0),ROUND(PRODUCT(V35,AC7:AC34),1))</f>
        <v>#DIV/0!</v>
      </c>
      <c r="W36" s="4218"/>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214" t="str">
        <f>A37</f>
        <v>估价对象XX用房的比较价值（楼面单价，元/平方米）</v>
      </c>
      <c r="Q37" s="4215"/>
      <c r="R37" s="4229" t="e">
        <f>IF(F1="售价",ROUND(IF(D36="简单平均",AVERAGE(R36:W36),R36*F36+T36*H36+V36*J36),0),ROUND(IF(D36="简单平均",AVERAGE(R36:V36),R36*F36+T36*H36+V36*J36),1))</f>
        <v>#DIV/0!</v>
      </c>
      <c r="S37" s="4229"/>
      <c r="T37" s="4229"/>
      <c r="U37" s="4229"/>
      <c r="V37" s="4229"/>
      <c r="W37" s="4229"/>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2023-8</v>
      </c>
      <c r="D46" s="1084">
        <f>EDATE(C46,-1)</f>
        <v>45108</v>
      </c>
      <c r="E46" s="1084">
        <f t="shared" ref="E46:O46" si="16">EDATE(D46,-1)</f>
        <v>45078</v>
      </c>
      <c r="F46" s="1084">
        <f t="shared" si="16"/>
        <v>45047</v>
      </c>
      <c r="G46" s="1084">
        <f t="shared" si="16"/>
        <v>45017</v>
      </c>
      <c r="H46" s="1084">
        <f t="shared" si="16"/>
        <v>44986</v>
      </c>
      <c r="I46" s="1084">
        <f t="shared" si="16"/>
        <v>44958</v>
      </c>
      <c r="J46" s="1084">
        <f t="shared" si="16"/>
        <v>44927</v>
      </c>
      <c r="K46" s="1084">
        <f t="shared" si="16"/>
        <v>44896</v>
      </c>
      <c r="L46" s="1084">
        <f t="shared" si="16"/>
        <v>44866</v>
      </c>
      <c r="M46" s="1084">
        <f t="shared" si="16"/>
        <v>44835</v>
      </c>
      <c r="N46" s="1084">
        <f t="shared" si="16"/>
        <v>44805</v>
      </c>
      <c r="O46" s="1084">
        <f t="shared" si="16"/>
        <v>44774</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200" t="s">
        <v>1770</v>
      </c>
      <c r="D4" s="4201"/>
      <c r="E4" s="4202" t="s">
        <v>1771</v>
      </c>
      <c r="F4" s="4203"/>
      <c r="G4" s="4200" t="s">
        <v>1772</v>
      </c>
      <c r="H4" s="4201"/>
      <c r="I4" s="4200" t="s">
        <v>1773</v>
      </c>
      <c r="J4" s="4201"/>
      <c r="K4" s="497" t="s">
        <v>1774</v>
      </c>
      <c r="L4" s="2369"/>
      <c r="M4" s="2370"/>
      <c r="N4" s="2370"/>
      <c r="O4" s="2370"/>
      <c r="P4" s="4204" t="s">
        <v>1775</v>
      </c>
      <c r="Q4" s="4205"/>
      <c r="R4" s="4187" t="s">
        <v>1771</v>
      </c>
      <c r="S4" s="4188"/>
      <c r="T4" s="4187" t="s">
        <v>1772</v>
      </c>
      <c r="U4" s="4188"/>
      <c r="V4" s="4212" t="s">
        <v>1773</v>
      </c>
      <c r="W4" s="4212"/>
      <c r="X4" s="1251"/>
      <c r="Y4" s="4187" t="s">
        <v>1775</v>
      </c>
      <c r="Z4" s="4188"/>
      <c r="AA4" s="4182" t="s">
        <v>1771</v>
      </c>
      <c r="AB4" s="4183" t="s">
        <v>1772</v>
      </c>
      <c r="AC4" s="4182" t="s">
        <v>1773</v>
      </c>
    </row>
    <row r="5" spans="1:30" ht="15">
      <c r="A5" s="296"/>
      <c r="B5" s="297"/>
      <c r="C5" s="4193" t="s">
        <v>1673</v>
      </c>
      <c r="D5" s="4194"/>
      <c r="E5" s="4191" t="s">
        <v>1674</v>
      </c>
      <c r="F5" s="4192"/>
      <c r="G5" s="4193" t="s">
        <v>1675</v>
      </c>
      <c r="H5" s="4194"/>
      <c r="I5" s="4193" t="s">
        <v>1676</v>
      </c>
      <c r="J5" s="4194"/>
      <c r="K5" s="497"/>
      <c r="L5" s="2369"/>
      <c r="M5" s="2370"/>
      <c r="N5" s="2370"/>
      <c r="O5" s="2370"/>
      <c r="P5" s="4206"/>
      <c r="Q5" s="4207"/>
      <c r="R5" s="4189"/>
      <c r="S5" s="4190"/>
      <c r="T5" s="4189"/>
      <c r="U5" s="4190"/>
      <c r="V5" s="4212"/>
      <c r="W5" s="4212"/>
      <c r="X5" s="1251"/>
      <c r="Y5" s="4189"/>
      <c r="Z5" s="4190"/>
      <c r="AA5" s="4183"/>
      <c r="AB5" s="4183"/>
      <c r="AC5" s="4183"/>
    </row>
    <row r="6" spans="1:30" ht="15.75" thickBot="1">
      <c r="A6" s="298"/>
      <c r="B6" s="299"/>
      <c r="C6" s="4195" t="s">
        <v>1677</v>
      </c>
      <c r="D6" s="4196"/>
      <c r="E6" s="4197" t="s">
        <v>1677</v>
      </c>
      <c r="F6" s="4198"/>
      <c r="G6" s="4195" t="s">
        <v>1677</v>
      </c>
      <c r="H6" s="4196"/>
      <c r="I6" s="4195" t="s">
        <v>1677</v>
      </c>
      <c r="J6" s="4196"/>
      <c r="K6" s="497" t="s">
        <v>1678</v>
      </c>
      <c r="L6" s="2369"/>
      <c r="M6" s="2370"/>
      <c r="N6" s="2370"/>
      <c r="O6" s="2370"/>
      <c r="P6" s="4208"/>
      <c r="Q6" s="4209"/>
      <c r="R6" s="4189"/>
      <c r="S6" s="4190"/>
      <c r="T6" s="4210"/>
      <c r="U6" s="4211"/>
      <c r="V6" s="4212"/>
      <c r="W6" s="4212"/>
      <c r="X6" s="1251"/>
      <c r="Y6" s="4210"/>
      <c r="Z6" s="4211"/>
      <c r="AA6" s="4184"/>
      <c r="AB6" s="4184"/>
      <c r="AC6" s="4184"/>
    </row>
    <row r="7" spans="1:30" s="63" customFormat="1" ht="15.75" thickBot="1">
      <c r="A7" s="300" t="s">
        <v>1679</v>
      </c>
      <c r="B7" s="301"/>
      <c r="C7" s="302">
        <f>'数据-取费表'!B2</f>
        <v>45142</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185" t="s">
        <v>1680</v>
      </c>
      <c r="Q7" s="4213"/>
      <c r="R7" s="632" t="s">
        <v>14</v>
      </c>
      <c r="S7" s="633">
        <f t="shared" ref="S7:S15" si="0">F7</f>
        <v>0</v>
      </c>
      <c r="T7" s="632" t="s">
        <v>14</v>
      </c>
      <c r="U7" s="633">
        <f t="shared" ref="U7:U15" si="1">H7</f>
        <v>0</v>
      </c>
      <c r="V7" s="632" t="s">
        <v>14</v>
      </c>
      <c r="W7" s="633">
        <f t="shared" ref="W7:W15" si="2">J7</f>
        <v>0</v>
      </c>
      <c r="X7" s="634"/>
      <c r="Y7" s="4185" t="s">
        <v>1680</v>
      </c>
      <c r="Z7" s="4186"/>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185" t="s">
        <v>1683</v>
      </c>
      <c r="Q8" s="4186"/>
      <c r="R8" s="632" t="s">
        <v>14</v>
      </c>
      <c r="S8" s="633">
        <f t="shared" si="0"/>
        <v>0</v>
      </c>
      <c r="T8" s="632" t="s">
        <v>14</v>
      </c>
      <c r="U8" s="633">
        <f t="shared" si="1"/>
        <v>0</v>
      </c>
      <c r="V8" s="632" t="s">
        <v>14</v>
      </c>
      <c r="W8" s="633">
        <f t="shared" si="2"/>
        <v>0</v>
      </c>
      <c r="X8" s="634"/>
      <c r="Y8" s="4185" t="s">
        <v>1683</v>
      </c>
      <c r="Z8" s="4186"/>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217" t="s">
        <v>1686</v>
      </c>
      <c r="Q9" s="1241" t="str">
        <f t="shared" ref="Q9:Q15" si="6">B9</f>
        <v>用途</v>
      </c>
      <c r="R9" s="632" t="s">
        <v>14</v>
      </c>
      <c r="S9" s="633">
        <f t="shared" si="0"/>
        <v>100</v>
      </c>
      <c r="T9" s="632" t="s">
        <v>14</v>
      </c>
      <c r="U9" s="633">
        <f t="shared" si="1"/>
        <v>100</v>
      </c>
      <c r="V9" s="632" t="s">
        <v>14</v>
      </c>
      <c r="W9" s="633">
        <f t="shared" si="2"/>
        <v>100</v>
      </c>
      <c r="X9" s="634"/>
      <c r="Y9" s="4129"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217"/>
      <c r="Q10" s="1241" t="str">
        <f t="shared" si="6"/>
        <v>土地使用年限（年）</v>
      </c>
      <c r="R10" s="632" t="s">
        <v>14</v>
      </c>
      <c r="S10" s="633" t="e">
        <f t="shared" si="0"/>
        <v>#DIV/0!</v>
      </c>
      <c r="T10" s="632" t="s">
        <v>14</v>
      </c>
      <c r="U10" s="633" t="e">
        <f t="shared" si="1"/>
        <v>#DIV/0!</v>
      </c>
      <c r="V10" s="632" t="s">
        <v>14</v>
      </c>
      <c r="W10" s="633" t="e">
        <f t="shared" si="2"/>
        <v>#DIV/0!</v>
      </c>
      <c r="X10" s="634"/>
      <c r="Y10" s="4129"/>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217"/>
      <c r="Q11" s="1241" t="str">
        <f t="shared" si="6"/>
        <v>容积率</v>
      </c>
      <c r="R11" s="632" t="s">
        <v>14</v>
      </c>
      <c r="S11" s="633" t="e">
        <f t="shared" si="0"/>
        <v>#N/A</v>
      </c>
      <c r="T11" s="632" t="s">
        <v>14</v>
      </c>
      <c r="U11" s="633" t="e">
        <f t="shared" si="1"/>
        <v>#N/A</v>
      </c>
      <c r="V11" s="632" t="s">
        <v>14</v>
      </c>
      <c r="W11" s="633" t="e">
        <f t="shared" si="2"/>
        <v>#N/A</v>
      </c>
      <c r="X11" s="634"/>
      <c r="Y11" s="4129"/>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217"/>
      <c r="Q12" s="1241" t="str">
        <f t="shared" si="6"/>
        <v>配建</v>
      </c>
      <c r="R12" s="632" t="s">
        <v>14</v>
      </c>
      <c r="S12" s="633">
        <f t="shared" si="0"/>
        <v>100</v>
      </c>
      <c r="T12" s="632" t="s">
        <v>14</v>
      </c>
      <c r="U12" s="633">
        <f t="shared" si="1"/>
        <v>100</v>
      </c>
      <c r="V12" s="632" t="s">
        <v>14</v>
      </c>
      <c r="W12" s="633">
        <f t="shared" si="2"/>
        <v>100</v>
      </c>
      <c r="X12" s="634"/>
      <c r="Y12" s="4129"/>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217"/>
      <c r="Q13" s="1241">
        <f t="shared" si="6"/>
        <v>111</v>
      </c>
      <c r="R13" s="632" t="s">
        <v>14</v>
      </c>
      <c r="S13" s="633">
        <f t="shared" si="0"/>
        <v>100</v>
      </c>
      <c r="T13" s="632" t="s">
        <v>14</v>
      </c>
      <c r="U13" s="633">
        <f t="shared" si="1"/>
        <v>100</v>
      </c>
      <c r="V13" s="632" t="s">
        <v>14</v>
      </c>
      <c r="W13" s="633">
        <f t="shared" si="2"/>
        <v>100</v>
      </c>
      <c r="X13" s="634"/>
      <c r="Y13" s="4129"/>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217"/>
      <c r="Q14" s="1241">
        <f t="shared" si="6"/>
        <v>111</v>
      </c>
      <c r="R14" s="632" t="s">
        <v>14</v>
      </c>
      <c r="S14" s="633">
        <f t="shared" si="0"/>
        <v>100</v>
      </c>
      <c r="T14" s="632" t="s">
        <v>14</v>
      </c>
      <c r="U14" s="633">
        <f t="shared" si="1"/>
        <v>100</v>
      </c>
      <c r="V14" s="632" t="s">
        <v>14</v>
      </c>
      <c r="W14" s="633">
        <f t="shared" si="2"/>
        <v>100</v>
      </c>
      <c r="X14" s="634"/>
      <c r="Y14" s="4129"/>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219" t="s">
        <v>1691</v>
      </c>
      <c r="Q15" s="1249" t="str">
        <f t="shared" si="6"/>
        <v>居住社区成熟度</v>
      </c>
      <c r="R15" s="636" t="s">
        <v>14</v>
      </c>
      <c r="S15" s="637">
        <f t="shared" si="0"/>
        <v>100</v>
      </c>
      <c r="T15" s="636" t="s">
        <v>14</v>
      </c>
      <c r="U15" s="637">
        <f t="shared" si="1"/>
        <v>100</v>
      </c>
      <c r="V15" s="636" t="s">
        <v>14</v>
      </c>
      <c r="W15" s="637">
        <f t="shared" si="2"/>
        <v>100</v>
      </c>
      <c r="X15" s="1251"/>
      <c r="Y15" s="4219"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220"/>
      <c r="Q16" s="1249"/>
      <c r="R16" s="636"/>
      <c r="S16" s="637"/>
      <c r="T16" s="636"/>
      <c r="U16" s="637"/>
      <c r="V16" s="636"/>
      <c r="W16" s="637"/>
      <c r="X16" s="1251"/>
      <c r="Y16" s="4220"/>
      <c r="Z16" s="1252"/>
      <c r="AA16" s="1250">
        <v>1</v>
      </c>
      <c r="AB16" s="1250">
        <v>1</v>
      </c>
      <c r="AC16" s="1250">
        <v>1</v>
      </c>
    </row>
    <row r="17" spans="1:29" ht="114">
      <c r="A17" s="317"/>
      <c r="B17" s="340" t="s">
        <v>1777</v>
      </c>
      <c r="C17" s="1769" t="str">
        <f>估价对象房地状况!C16</f>
        <v>估价对象附近有领展购物广场（中关村店）、新中关购物中心等商场，周边商业氛围较成熟，人流量较大，商业繁华度较好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220"/>
      <c r="Q17" s="1249" t="str">
        <f>B17</f>
        <v>商业繁华度</v>
      </c>
      <c r="R17" s="636" t="s">
        <v>14</v>
      </c>
      <c r="S17" s="637">
        <f>F17</f>
        <v>100</v>
      </c>
      <c r="T17" s="636" t="s">
        <v>14</v>
      </c>
      <c r="U17" s="637">
        <f>H17</f>
        <v>100</v>
      </c>
      <c r="V17" s="636" t="s">
        <v>14</v>
      </c>
      <c r="W17" s="637">
        <f>J17</f>
        <v>100</v>
      </c>
      <c r="X17" s="1251"/>
      <c r="Y17" s="4220"/>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220"/>
      <c r="Q18" s="1249"/>
      <c r="R18" s="636"/>
      <c r="S18" s="637"/>
      <c r="T18" s="636"/>
      <c r="U18" s="637"/>
      <c r="V18" s="636"/>
      <c r="W18" s="637"/>
      <c r="X18" s="1251"/>
      <c r="Y18" s="4220"/>
      <c r="Z18" s="1252"/>
      <c r="AA18" s="1250">
        <v>1</v>
      </c>
      <c r="AB18" s="1250">
        <v>1</v>
      </c>
      <c r="AC18" s="1250">
        <v>1</v>
      </c>
    </row>
    <row r="19" spans="1:29" ht="85.5">
      <c r="A19" s="317"/>
      <c r="B19" s="340" t="s">
        <v>1811</v>
      </c>
      <c r="C19" s="1769" t="str">
        <f>估价对象房地状况!C17</f>
        <v>估价对象附近有银丰大厦、神州数码大厦、绿创大厦、银科大厦等办公用楼，办公集聚程度好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220"/>
      <c r="Q19" s="1249" t="str">
        <f>B19</f>
        <v>办公集聚程度</v>
      </c>
      <c r="R19" s="636" t="s">
        <v>14</v>
      </c>
      <c r="S19" s="637">
        <f>F19</f>
        <v>100</v>
      </c>
      <c r="T19" s="636" t="s">
        <v>14</v>
      </c>
      <c r="U19" s="637">
        <f>H19</f>
        <v>100</v>
      </c>
      <c r="V19" s="636" t="s">
        <v>14</v>
      </c>
      <c r="W19" s="637">
        <f>J19</f>
        <v>100</v>
      </c>
      <c r="X19" s="1251"/>
      <c r="Y19" s="4220"/>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220"/>
      <c r="Q20" s="1249"/>
      <c r="R20" s="636"/>
      <c r="S20" s="637"/>
      <c r="T20" s="636"/>
      <c r="U20" s="637"/>
      <c r="V20" s="636"/>
      <c r="W20" s="637"/>
      <c r="X20" s="1251"/>
      <c r="Y20" s="4220"/>
      <c r="Z20" s="1252"/>
      <c r="AA20" s="1250">
        <v>1</v>
      </c>
      <c r="AB20" s="1250">
        <v>1</v>
      </c>
      <c r="AC20" s="1250">
        <v>1</v>
      </c>
    </row>
    <row r="21" spans="1:29" ht="199.5">
      <c r="A21" s="317"/>
      <c r="B21" s="340" t="s">
        <v>1833</v>
      </c>
      <c r="C21" s="1720"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220"/>
      <c r="Q21" s="1249" t="str">
        <f>B21</f>
        <v>交通便捷度</v>
      </c>
      <c r="R21" s="636" t="s">
        <v>14</v>
      </c>
      <c r="S21" s="637">
        <f>F21</f>
        <v>100</v>
      </c>
      <c r="T21" s="636" t="s">
        <v>14</v>
      </c>
      <c r="U21" s="637">
        <f>H21</f>
        <v>100</v>
      </c>
      <c r="V21" s="636" t="s">
        <v>14</v>
      </c>
      <c r="W21" s="637">
        <f>J21</f>
        <v>100</v>
      </c>
      <c r="X21" s="1251"/>
      <c r="Y21" s="4220"/>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220"/>
      <c r="Q22" s="1249"/>
      <c r="R22" s="636"/>
      <c r="S22" s="637"/>
      <c r="T22" s="636"/>
      <c r="U22" s="637"/>
      <c r="V22" s="636"/>
      <c r="W22" s="637"/>
      <c r="X22" s="1251"/>
      <c r="Y22" s="4220"/>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220"/>
      <c r="Q23" s="1249" t="str">
        <f t="shared" ref="Q23:Q37" si="8">B23</f>
        <v>区域土地利用方向</v>
      </c>
      <c r="R23" s="636" t="s">
        <v>14</v>
      </c>
      <c r="S23" s="637">
        <f>F23</f>
        <v>100</v>
      </c>
      <c r="T23" s="636" t="s">
        <v>14</v>
      </c>
      <c r="U23" s="637">
        <f>H23</f>
        <v>100</v>
      </c>
      <c r="V23" s="636" t="s">
        <v>14</v>
      </c>
      <c r="W23" s="637">
        <f>J23</f>
        <v>100</v>
      </c>
      <c r="X23" s="1251"/>
      <c r="Y23" s="4220"/>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220"/>
      <c r="Q24" s="1249"/>
      <c r="R24" s="636"/>
      <c r="S24" s="637"/>
      <c r="T24" s="636"/>
      <c r="U24" s="637"/>
      <c r="V24" s="636"/>
      <c r="W24" s="637"/>
      <c r="X24" s="1251"/>
      <c r="Y24" s="4220"/>
      <c r="Z24" s="1252"/>
      <c r="AA24" s="1250"/>
      <c r="AB24" s="1250"/>
      <c r="AC24" s="1250"/>
    </row>
    <row r="25" spans="1:29" ht="128.25">
      <c r="A25" s="296"/>
      <c r="B25" s="1032" t="s">
        <v>1872</v>
      </c>
      <c r="C25" s="1769" t="str">
        <f>估价对象房地状况!C20</f>
        <v xml:space="preserve">自然环境：万泉河等自然景观；
人文环境：中国人民大学等人文场所；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220"/>
      <c r="Q25" s="1249" t="str">
        <f t="shared" si="8"/>
        <v>自然及人文环境状况</v>
      </c>
      <c r="R25" s="636" t="s">
        <v>14</v>
      </c>
      <c r="S25" s="637">
        <f>F25</f>
        <v>100</v>
      </c>
      <c r="T25" s="636" t="s">
        <v>14</v>
      </c>
      <c r="U25" s="637">
        <f>H25</f>
        <v>100</v>
      </c>
      <c r="V25" s="636" t="s">
        <v>14</v>
      </c>
      <c r="W25" s="637">
        <f>J25</f>
        <v>100</v>
      </c>
      <c r="X25" s="1251"/>
      <c r="Y25" s="4220"/>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220"/>
      <c r="Q26" s="1249"/>
      <c r="R26" s="636"/>
      <c r="S26" s="637"/>
      <c r="T26" s="636"/>
      <c r="U26" s="637"/>
      <c r="V26" s="636"/>
      <c r="W26" s="637"/>
      <c r="X26" s="1251"/>
      <c r="Y26" s="4220"/>
      <c r="Z26" s="1252"/>
      <c r="AA26" s="1250">
        <v>1</v>
      </c>
      <c r="AB26" s="1250">
        <v>1</v>
      </c>
      <c r="AC26" s="1250">
        <v>1</v>
      </c>
    </row>
    <row r="27" spans="1:29" s="63" customFormat="1" ht="356.25">
      <c r="A27" s="532"/>
      <c r="B27" s="1032" t="s">
        <v>1778</v>
      </c>
      <c r="C27" s="1720"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220"/>
      <c r="Q27" s="1241" t="str">
        <f t="shared" si="8"/>
        <v>公共配套设施</v>
      </c>
      <c r="R27" s="632" t="s">
        <v>14</v>
      </c>
      <c r="S27" s="633">
        <f>F27</f>
        <v>100</v>
      </c>
      <c r="T27" s="632" t="s">
        <v>14</v>
      </c>
      <c r="U27" s="633">
        <f>H27</f>
        <v>100</v>
      </c>
      <c r="V27" s="632" t="s">
        <v>14</v>
      </c>
      <c r="W27" s="633">
        <f>J27</f>
        <v>100</v>
      </c>
      <c r="X27" s="634"/>
      <c r="Y27" s="4220"/>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220"/>
      <c r="Q28" s="1241"/>
      <c r="R28" s="632"/>
      <c r="S28" s="633"/>
      <c r="T28" s="632"/>
      <c r="U28" s="633"/>
      <c r="V28" s="632"/>
      <c r="W28" s="633"/>
      <c r="X28" s="634"/>
      <c r="Y28" s="4220"/>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220"/>
      <c r="Q29" s="1241" t="str">
        <f t="shared" ref="Q29" si="9">B29</f>
        <v>基础设施水平</v>
      </c>
      <c r="R29" s="632" t="s">
        <v>14</v>
      </c>
      <c r="S29" s="633">
        <f>F29</f>
        <v>100</v>
      </c>
      <c r="T29" s="632" t="s">
        <v>14</v>
      </c>
      <c r="U29" s="633">
        <f>H29</f>
        <v>100</v>
      </c>
      <c r="V29" s="632" t="s">
        <v>14</v>
      </c>
      <c r="W29" s="633">
        <f>J29</f>
        <v>100</v>
      </c>
      <c r="X29" s="634"/>
      <c r="Y29" s="4220"/>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220"/>
      <c r="Q30" s="1241"/>
      <c r="R30" s="632"/>
      <c r="S30" s="633"/>
      <c r="T30" s="632"/>
      <c r="U30" s="633"/>
      <c r="V30" s="632"/>
      <c r="W30" s="633"/>
      <c r="X30" s="634"/>
      <c r="Y30" s="4220"/>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220"/>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220"/>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220"/>
      <c r="Q32" s="1249" t="str">
        <f t="shared" si="8"/>
        <v>毗邻道路的类型与等级</v>
      </c>
      <c r="R32" s="636" t="s">
        <v>14</v>
      </c>
      <c r="S32" s="637">
        <f t="shared" si="10"/>
        <v>100</v>
      </c>
      <c r="T32" s="636" t="s">
        <v>14</v>
      </c>
      <c r="U32" s="637">
        <f t="shared" si="11"/>
        <v>100</v>
      </c>
      <c r="V32" s="636" t="s">
        <v>14</v>
      </c>
      <c r="W32" s="637">
        <f t="shared" si="12"/>
        <v>100</v>
      </c>
      <c r="X32" s="1251"/>
      <c r="Y32" s="4220"/>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220"/>
      <c r="Q33" s="1249"/>
      <c r="R33" s="636"/>
      <c r="S33" s="637"/>
      <c r="T33" s="636"/>
      <c r="U33" s="637"/>
      <c r="V33" s="636"/>
      <c r="W33" s="637"/>
      <c r="X33" s="1251"/>
      <c r="Y33" s="4220"/>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220"/>
      <c r="Q34" s="1249" t="str">
        <f t="shared" si="8"/>
        <v>土地级别</v>
      </c>
      <c r="R34" s="636" t="s">
        <v>14</v>
      </c>
      <c r="S34" s="637">
        <f t="shared" si="10"/>
        <v>100</v>
      </c>
      <c r="T34" s="636" t="s">
        <v>14</v>
      </c>
      <c r="U34" s="637">
        <f t="shared" si="11"/>
        <v>100</v>
      </c>
      <c r="V34" s="636" t="s">
        <v>14</v>
      </c>
      <c r="W34" s="637">
        <f t="shared" si="12"/>
        <v>100</v>
      </c>
      <c r="X34" s="1251"/>
      <c r="Y34" s="4220"/>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220"/>
      <c r="Q35" s="1249">
        <f t="shared" si="8"/>
        <v>111</v>
      </c>
      <c r="R35" s="636" t="s">
        <v>14</v>
      </c>
      <c r="S35" s="637">
        <f t="shared" si="10"/>
        <v>100</v>
      </c>
      <c r="T35" s="636" t="s">
        <v>14</v>
      </c>
      <c r="U35" s="637">
        <f t="shared" si="11"/>
        <v>100</v>
      </c>
      <c r="V35" s="636" t="s">
        <v>14</v>
      </c>
      <c r="W35" s="637">
        <f t="shared" si="12"/>
        <v>100</v>
      </c>
      <c r="X35" s="1251"/>
      <c r="Y35" s="4220"/>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28" t="s">
        <v>1696</v>
      </c>
      <c r="Q36" s="1249">
        <f t="shared" si="8"/>
        <v>111</v>
      </c>
      <c r="R36" s="636" t="s">
        <v>14</v>
      </c>
      <c r="S36" s="637">
        <f t="shared" si="10"/>
        <v>100</v>
      </c>
      <c r="T36" s="636" t="s">
        <v>14</v>
      </c>
      <c r="U36" s="637">
        <f t="shared" si="11"/>
        <v>100</v>
      </c>
      <c r="V36" s="636" t="s">
        <v>14</v>
      </c>
      <c r="W36" s="637">
        <f t="shared" si="12"/>
        <v>100</v>
      </c>
      <c r="X36" s="1251"/>
      <c r="Y36" s="4224"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224"/>
      <c r="Q37" s="1249">
        <f t="shared" si="8"/>
        <v>111</v>
      </c>
      <c r="R37" s="639" t="s">
        <v>14</v>
      </c>
      <c r="S37" s="640">
        <f t="shared" si="10"/>
        <v>100</v>
      </c>
      <c r="T37" s="639" t="s">
        <v>14</v>
      </c>
      <c r="U37" s="640">
        <f t="shared" si="11"/>
        <v>100</v>
      </c>
      <c r="V37" s="639" t="s">
        <v>14</v>
      </c>
      <c r="W37" s="640">
        <f t="shared" si="12"/>
        <v>100</v>
      </c>
      <c r="X37" s="641"/>
      <c r="Y37" s="4224"/>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224"/>
      <c r="Q38" s="1249" t="str">
        <f>B38</f>
        <v>宗地面积</v>
      </c>
      <c r="R38" s="636" t="s">
        <v>14</v>
      </c>
      <c r="S38" s="637" t="e">
        <f t="shared" si="10"/>
        <v>#N/A</v>
      </c>
      <c r="T38" s="636" t="s">
        <v>14</v>
      </c>
      <c r="U38" s="637" t="e">
        <f t="shared" si="11"/>
        <v>#N/A</v>
      </c>
      <c r="V38" s="636" t="s">
        <v>14</v>
      </c>
      <c r="W38" s="637" t="e">
        <f t="shared" si="12"/>
        <v>#N/A</v>
      </c>
      <c r="X38" s="1251"/>
      <c r="Y38" s="4224"/>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224"/>
      <c r="Q39" s="1249" t="str">
        <f t="shared" ref="Q39:Q45" si="14">B39</f>
        <v>宗地形状</v>
      </c>
      <c r="R39" s="636" t="s">
        <v>14</v>
      </c>
      <c r="S39" s="637">
        <f t="shared" si="10"/>
        <v>100</v>
      </c>
      <c r="T39" s="636" t="s">
        <v>14</v>
      </c>
      <c r="U39" s="637">
        <f t="shared" si="11"/>
        <v>100</v>
      </c>
      <c r="V39" s="636" t="s">
        <v>14</v>
      </c>
      <c r="W39" s="637">
        <f t="shared" si="12"/>
        <v>100</v>
      </c>
      <c r="X39" s="1251"/>
      <c r="Y39" s="4224"/>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224"/>
      <c r="Q40" s="1249" t="str">
        <f t="shared" si="14"/>
        <v>临街宽度及深度</v>
      </c>
      <c r="R40" s="636" t="s">
        <v>14</v>
      </c>
      <c r="S40" s="637">
        <f t="shared" si="10"/>
        <v>100</v>
      </c>
      <c r="T40" s="636" t="s">
        <v>14</v>
      </c>
      <c r="U40" s="637">
        <f t="shared" si="11"/>
        <v>100</v>
      </c>
      <c r="V40" s="636" t="s">
        <v>14</v>
      </c>
      <c r="W40" s="637">
        <f t="shared" si="12"/>
        <v>100</v>
      </c>
      <c r="X40" s="1251"/>
      <c r="Y40" s="4224"/>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224"/>
      <c r="Q41" s="1249" t="str">
        <f t="shared" si="14"/>
        <v>宗地开发程度</v>
      </c>
      <c r="R41" s="632" t="s">
        <v>14</v>
      </c>
      <c r="S41" s="633">
        <f t="shared" si="10"/>
        <v>100</v>
      </c>
      <c r="T41" s="632" t="s">
        <v>14</v>
      </c>
      <c r="U41" s="633">
        <f t="shared" si="11"/>
        <v>100</v>
      </c>
      <c r="V41" s="632" t="s">
        <v>14</v>
      </c>
      <c r="W41" s="633">
        <f t="shared" si="12"/>
        <v>100</v>
      </c>
      <c r="X41" s="634"/>
      <c r="Y41" s="4224"/>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224" t="s">
        <v>1696</v>
      </c>
      <c r="Q42" s="1249" t="str">
        <f t="shared" si="14"/>
        <v>工程地质条件</v>
      </c>
      <c r="R42" s="636" t="s">
        <v>14</v>
      </c>
      <c r="S42" s="637">
        <f t="shared" si="10"/>
        <v>100</v>
      </c>
      <c r="T42" s="636" t="s">
        <v>14</v>
      </c>
      <c r="U42" s="637">
        <f t="shared" si="11"/>
        <v>100</v>
      </c>
      <c r="V42" s="636" t="s">
        <v>14</v>
      </c>
      <c r="W42" s="637">
        <f t="shared" si="12"/>
        <v>100</v>
      </c>
      <c r="X42" s="1251"/>
      <c r="Y42" s="4224"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224"/>
      <c r="Q43" s="1249">
        <f t="shared" si="14"/>
        <v>111</v>
      </c>
      <c r="R43" s="636" t="s">
        <v>14</v>
      </c>
      <c r="S43" s="637">
        <f t="shared" si="10"/>
        <v>100</v>
      </c>
      <c r="T43" s="636" t="s">
        <v>14</v>
      </c>
      <c r="U43" s="637">
        <f t="shared" si="11"/>
        <v>100</v>
      </c>
      <c r="V43" s="636" t="s">
        <v>14</v>
      </c>
      <c r="W43" s="637">
        <f t="shared" si="12"/>
        <v>100</v>
      </c>
      <c r="X43" s="1251"/>
      <c r="Y43" s="4224"/>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224"/>
      <c r="Q44" s="1249">
        <f t="shared" si="14"/>
        <v>111</v>
      </c>
      <c r="R44" s="636" t="s">
        <v>14</v>
      </c>
      <c r="S44" s="637">
        <f t="shared" si="10"/>
        <v>100</v>
      </c>
      <c r="T44" s="636" t="s">
        <v>14</v>
      </c>
      <c r="U44" s="637">
        <f t="shared" si="11"/>
        <v>100</v>
      </c>
      <c r="V44" s="636" t="s">
        <v>14</v>
      </c>
      <c r="W44" s="637">
        <f t="shared" si="12"/>
        <v>100</v>
      </c>
      <c r="X44" s="1251"/>
      <c r="Y44" s="4224"/>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224"/>
      <c r="Q45" s="1249">
        <f t="shared" si="14"/>
        <v>111</v>
      </c>
      <c r="R45" s="639" t="s">
        <v>14</v>
      </c>
      <c r="S45" s="640">
        <f t="shared" si="10"/>
        <v>100</v>
      </c>
      <c r="T45" s="639" t="s">
        <v>14</v>
      </c>
      <c r="U45" s="640">
        <f t="shared" si="11"/>
        <v>100</v>
      </c>
      <c r="V45" s="639" t="s">
        <v>14</v>
      </c>
      <c r="W45" s="640">
        <f t="shared" si="12"/>
        <v>100</v>
      </c>
      <c r="X45" s="641"/>
      <c r="Y45" s="4224"/>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217" t="str">
        <f>A46</f>
        <v>成交单价</v>
      </c>
      <c r="Q46" s="4217"/>
      <c r="R46" s="4212">
        <f>E46</f>
        <v>0</v>
      </c>
      <c r="S46" s="4212"/>
      <c r="T46" s="4212">
        <f>G46</f>
        <v>0</v>
      </c>
      <c r="U46" s="4212"/>
      <c r="V46" s="4212">
        <f>I46</f>
        <v>0</v>
      </c>
      <c r="W46" s="4212"/>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217" t="str">
        <f>A47</f>
        <v>比较价值（元/平方米）</v>
      </c>
      <c r="Q47" s="4217"/>
      <c r="R47" s="4230" t="e">
        <f>ROUND(PRODUCT(R46,AA7:AA45),0)</f>
        <v>#DIV/0!</v>
      </c>
      <c r="S47" s="4230"/>
      <c r="T47" s="4230" t="e">
        <f>ROUND(PRODUCT(T46,AB7:AB45),0)</f>
        <v>#DIV/0!</v>
      </c>
      <c r="U47" s="4230"/>
      <c r="V47" s="4230" t="e">
        <f>ROUND(PRODUCT(V46,AC7:AC45),0)</f>
        <v>#DIV/0!</v>
      </c>
      <c r="W47" s="4230"/>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214" t="str">
        <f>A48</f>
        <v>估价对象XX用房的比较价值（楼面单价，元/平方米）</v>
      </c>
      <c r="Q48" s="4215"/>
      <c r="R48" s="4231" t="e">
        <f>ROUND(IF(D47="简单平均",AVERAGE(R47:W47),R47*F47+T47*H47+V47*J47),0)</f>
        <v>#DIV/0!</v>
      </c>
      <c r="S48" s="4231"/>
      <c r="T48" s="4231"/>
      <c r="U48" s="4231"/>
      <c r="V48" s="4231"/>
      <c r="W48" s="4231"/>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200" t="s">
        <v>1887</v>
      </c>
      <c r="H55" s="4232"/>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686.62</v>
      </c>
      <c r="F56" s="805" t="e">
        <f t="shared" ref="F56:F64" si="15">ROUND(B56*E56/10000,0)</f>
        <v>#DIV/0!</v>
      </c>
      <c r="G56" s="4199"/>
      <c r="H56" s="4217"/>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686.62</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2023-8-1</v>
      </c>
      <c r="D67" s="623">
        <f>EDATE(C67,-3)</f>
        <v>45047</v>
      </c>
      <c r="E67" s="623">
        <f>EDATE(D67,-3)</f>
        <v>44958</v>
      </c>
      <c r="F67" s="623">
        <f t="shared" ref="F67:O67" si="18">EDATE(E67,-3)</f>
        <v>44866</v>
      </c>
      <c r="G67" s="623">
        <f t="shared" si="18"/>
        <v>44774</v>
      </c>
      <c r="H67" s="623">
        <f t="shared" si="18"/>
        <v>44682</v>
      </c>
      <c r="I67" s="623">
        <f t="shared" si="18"/>
        <v>44593</v>
      </c>
      <c r="J67" s="623">
        <f t="shared" si="18"/>
        <v>44501</v>
      </c>
      <c r="K67" s="623">
        <f t="shared" si="18"/>
        <v>44409</v>
      </c>
      <c r="L67" s="623">
        <f t="shared" si="18"/>
        <v>44317</v>
      </c>
      <c r="M67" s="623">
        <f t="shared" si="18"/>
        <v>44228</v>
      </c>
      <c r="N67" s="623">
        <f t="shared" si="18"/>
        <v>44136</v>
      </c>
      <c r="O67" s="623">
        <f t="shared" si="18"/>
        <v>44044</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2023-3</v>
      </c>
      <c r="D69" s="1081" t="str">
        <f>YEAR(D67)&amp;"-"&amp;ROUNDUP(MONTH(D67)/3,0)</f>
        <v>2023-2</v>
      </c>
      <c r="E69" s="1081" t="str">
        <f t="shared" ref="E69:O69" si="19">YEAR(E67)&amp;"-"&amp;ROUNDUP(MONTH(E67)/3,0)</f>
        <v>2023-1</v>
      </c>
      <c r="F69" s="1081" t="str">
        <f t="shared" si="19"/>
        <v>2022-4</v>
      </c>
      <c r="G69" s="1081" t="str">
        <f t="shared" si="19"/>
        <v>2022-3</v>
      </c>
      <c r="H69" s="1081" t="str">
        <f t="shared" si="19"/>
        <v>2022-2</v>
      </c>
      <c r="I69" s="1081" t="str">
        <f t="shared" si="19"/>
        <v>2022-1</v>
      </c>
      <c r="J69" s="1081" t="str">
        <f t="shared" si="19"/>
        <v>2021-4</v>
      </c>
      <c r="K69" s="1081" t="str">
        <f t="shared" si="19"/>
        <v>2021-3</v>
      </c>
      <c r="L69" s="1081" t="str">
        <f t="shared" si="19"/>
        <v>2021-2</v>
      </c>
      <c r="M69" s="1081" t="str">
        <f t="shared" si="19"/>
        <v>2021-1</v>
      </c>
      <c r="N69" s="1081" t="str">
        <f t="shared" si="19"/>
        <v>2020-4</v>
      </c>
      <c r="O69" s="1081" t="str">
        <f t="shared" si="19"/>
        <v>2020-3</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0" t="s">
        <v>1770</v>
      </c>
      <c r="D4" s="4201"/>
      <c r="E4" s="4202" t="s">
        <v>1771</v>
      </c>
      <c r="F4" s="4203"/>
      <c r="G4" s="4200" t="s">
        <v>1772</v>
      </c>
      <c r="H4" s="4201"/>
      <c r="I4" s="4200" t="s">
        <v>1773</v>
      </c>
      <c r="J4" s="4201"/>
      <c r="K4" s="497" t="s">
        <v>1774</v>
      </c>
      <c r="L4" s="2369"/>
      <c r="M4" s="2370"/>
      <c r="N4" s="2370"/>
      <c r="O4" s="2370"/>
      <c r="P4" s="4204" t="s">
        <v>1775</v>
      </c>
      <c r="Q4" s="4205"/>
      <c r="R4" s="4187" t="s">
        <v>1771</v>
      </c>
      <c r="S4" s="4188"/>
      <c r="T4" s="4187" t="s">
        <v>1772</v>
      </c>
      <c r="U4" s="4188"/>
      <c r="V4" s="4212" t="s">
        <v>1773</v>
      </c>
      <c r="W4" s="4212"/>
      <c r="X4" s="1251"/>
      <c r="Y4" s="4187" t="s">
        <v>1775</v>
      </c>
      <c r="Z4" s="4188"/>
      <c r="AA4" s="4182" t="s">
        <v>1771</v>
      </c>
      <c r="AB4" s="4183" t="s">
        <v>1772</v>
      </c>
      <c r="AC4" s="4182" t="s">
        <v>1773</v>
      </c>
    </row>
    <row r="5" spans="1:29" ht="15">
      <c r="A5" s="296"/>
      <c r="B5" s="297"/>
      <c r="C5" s="4193" t="s">
        <v>1673</v>
      </c>
      <c r="D5" s="4194"/>
      <c r="E5" s="4191" t="s">
        <v>1674</v>
      </c>
      <c r="F5" s="4192"/>
      <c r="G5" s="4193" t="s">
        <v>1675</v>
      </c>
      <c r="H5" s="4194"/>
      <c r="I5" s="4193" t="s">
        <v>1676</v>
      </c>
      <c r="J5" s="4194"/>
      <c r="K5" s="497"/>
      <c r="L5" s="2369"/>
      <c r="M5" s="2370"/>
      <c r="N5" s="2370"/>
      <c r="O5" s="2370"/>
      <c r="P5" s="4206"/>
      <c r="Q5" s="4207"/>
      <c r="R5" s="4189"/>
      <c r="S5" s="4190"/>
      <c r="T5" s="4189"/>
      <c r="U5" s="4190"/>
      <c r="V5" s="4212"/>
      <c r="W5" s="4212"/>
      <c r="X5" s="1251"/>
      <c r="Y5" s="4189"/>
      <c r="Z5" s="4190"/>
      <c r="AA5" s="4183"/>
      <c r="AB5" s="4183"/>
      <c r="AC5" s="4183"/>
    </row>
    <row r="6" spans="1:29" ht="15.75" thickBot="1">
      <c r="A6" s="298"/>
      <c r="B6" s="299"/>
      <c r="C6" s="4233" t="s">
        <v>1919</v>
      </c>
      <c r="D6" s="4234"/>
      <c r="E6" s="4235" t="s">
        <v>1919</v>
      </c>
      <c r="F6" s="4236"/>
      <c r="G6" s="4233" t="s">
        <v>1919</v>
      </c>
      <c r="H6" s="4234"/>
      <c r="I6" s="4233" t="s">
        <v>1919</v>
      </c>
      <c r="J6" s="4234"/>
      <c r="K6" s="497" t="s">
        <v>1678</v>
      </c>
      <c r="L6" s="2369"/>
      <c r="M6" s="2370"/>
      <c r="N6" s="2370"/>
      <c r="O6" s="2370"/>
      <c r="P6" s="4208"/>
      <c r="Q6" s="4209"/>
      <c r="R6" s="4189"/>
      <c r="S6" s="4190"/>
      <c r="T6" s="4210"/>
      <c r="U6" s="4211"/>
      <c r="V6" s="4212"/>
      <c r="W6" s="4212"/>
      <c r="X6" s="1251"/>
      <c r="Y6" s="4210"/>
      <c r="Z6" s="4211"/>
      <c r="AA6" s="4184"/>
      <c r="AB6" s="4184"/>
      <c r="AC6" s="4184"/>
    </row>
    <row r="7" spans="1:29" s="63" customFormat="1" ht="15.75" thickBot="1">
      <c r="A7" s="300" t="s">
        <v>1679</v>
      </c>
      <c r="B7" s="301"/>
      <c r="C7" s="302">
        <f>'数据-取费表'!B2</f>
        <v>45142</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185" t="s">
        <v>1680</v>
      </c>
      <c r="Q7" s="4213"/>
      <c r="R7" s="632" t="s">
        <v>14</v>
      </c>
      <c r="S7" s="633">
        <f t="shared" ref="S7:S15" si="0">F7</f>
        <v>0</v>
      </c>
      <c r="T7" s="632" t="s">
        <v>14</v>
      </c>
      <c r="U7" s="633">
        <f t="shared" ref="U7:U15" si="1">H7</f>
        <v>0</v>
      </c>
      <c r="V7" s="632" t="s">
        <v>14</v>
      </c>
      <c r="W7" s="633">
        <f t="shared" ref="W7:W15" si="2">J7</f>
        <v>0</v>
      </c>
      <c r="X7" s="634"/>
      <c r="Y7" s="4185" t="s">
        <v>1680</v>
      </c>
      <c r="Z7" s="4186"/>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185" t="s">
        <v>1683</v>
      </c>
      <c r="Q8" s="4186"/>
      <c r="R8" s="632" t="s">
        <v>14</v>
      </c>
      <c r="S8" s="633">
        <f t="shared" si="0"/>
        <v>0</v>
      </c>
      <c r="T8" s="632" t="s">
        <v>14</v>
      </c>
      <c r="U8" s="633">
        <f t="shared" si="1"/>
        <v>0</v>
      </c>
      <c r="V8" s="632" t="s">
        <v>14</v>
      </c>
      <c r="W8" s="633">
        <f t="shared" si="2"/>
        <v>0</v>
      </c>
      <c r="X8" s="634"/>
      <c r="Y8" s="4185" t="s">
        <v>1683</v>
      </c>
      <c r="Z8" s="4186"/>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217" t="s">
        <v>1686</v>
      </c>
      <c r="Q9" s="1241" t="str">
        <f t="shared" ref="Q9:Q15" si="6">B9</f>
        <v>用途</v>
      </c>
      <c r="R9" s="632" t="s">
        <v>14</v>
      </c>
      <c r="S9" s="633">
        <f t="shared" si="0"/>
        <v>100</v>
      </c>
      <c r="T9" s="632" t="s">
        <v>14</v>
      </c>
      <c r="U9" s="633">
        <f t="shared" si="1"/>
        <v>100</v>
      </c>
      <c r="V9" s="632" t="s">
        <v>14</v>
      </c>
      <c r="W9" s="633">
        <f t="shared" si="2"/>
        <v>100</v>
      </c>
      <c r="X9" s="634"/>
      <c r="Y9" s="4129"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217"/>
      <c r="Q10" s="1241" t="str">
        <f t="shared" si="6"/>
        <v>土地使用年限（年）</v>
      </c>
      <c r="R10" s="632" t="s">
        <v>14</v>
      </c>
      <c r="S10" s="633" t="e">
        <f t="shared" si="0"/>
        <v>#DIV/0!</v>
      </c>
      <c r="T10" s="632" t="s">
        <v>14</v>
      </c>
      <c r="U10" s="633" t="e">
        <f t="shared" si="1"/>
        <v>#DIV/0!</v>
      </c>
      <c r="V10" s="632" t="s">
        <v>14</v>
      </c>
      <c r="W10" s="633" t="e">
        <f t="shared" si="2"/>
        <v>#DIV/0!</v>
      </c>
      <c r="X10" s="634"/>
      <c r="Y10" s="4129"/>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217"/>
      <c r="Q11" s="1241" t="str">
        <f t="shared" si="6"/>
        <v>容积率</v>
      </c>
      <c r="R11" s="632" t="s">
        <v>14</v>
      </c>
      <c r="S11" s="633" t="e">
        <f t="shared" si="0"/>
        <v>#N/A</v>
      </c>
      <c r="T11" s="632" t="s">
        <v>14</v>
      </c>
      <c r="U11" s="633" t="e">
        <f t="shared" si="1"/>
        <v>#N/A</v>
      </c>
      <c r="V11" s="632" t="s">
        <v>14</v>
      </c>
      <c r="W11" s="633" t="e">
        <f t="shared" si="2"/>
        <v>#N/A</v>
      </c>
      <c r="X11" s="634"/>
      <c r="Y11" s="4129"/>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217"/>
      <c r="Q12" s="1241">
        <f t="shared" si="6"/>
        <v>111</v>
      </c>
      <c r="R12" s="632" t="s">
        <v>14</v>
      </c>
      <c r="S12" s="633">
        <f t="shared" si="0"/>
        <v>100</v>
      </c>
      <c r="T12" s="632" t="s">
        <v>14</v>
      </c>
      <c r="U12" s="633">
        <f t="shared" si="1"/>
        <v>100</v>
      </c>
      <c r="V12" s="632" t="s">
        <v>14</v>
      </c>
      <c r="W12" s="633">
        <f t="shared" si="2"/>
        <v>100</v>
      </c>
      <c r="X12" s="634"/>
      <c r="Y12" s="4129"/>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217"/>
      <c r="Q13" s="1241">
        <f t="shared" si="6"/>
        <v>111</v>
      </c>
      <c r="R13" s="632" t="s">
        <v>14</v>
      </c>
      <c r="S13" s="633">
        <f t="shared" si="0"/>
        <v>100</v>
      </c>
      <c r="T13" s="632" t="s">
        <v>14</v>
      </c>
      <c r="U13" s="633">
        <f t="shared" si="1"/>
        <v>100</v>
      </c>
      <c r="V13" s="632" t="s">
        <v>14</v>
      </c>
      <c r="W13" s="633">
        <f t="shared" si="2"/>
        <v>100</v>
      </c>
      <c r="X13" s="634"/>
      <c r="Y13" s="4129"/>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217"/>
      <c r="Q14" s="1241">
        <f t="shared" si="6"/>
        <v>111</v>
      </c>
      <c r="R14" s="632" t="s">
        <v>14</v>
      </c>
      <c r="S14" s="633">
        <f t="shared" si="0"/>
        <v>100</v>
      </c>
      <c r="T14" s="632" t="s">
        <v>14</v>
      </c>
      <c r="U14" s="633">
        <f t="shared" si="1"/>
        <v>100</v>
      </c>
      <c r="V14" s="632" t="s">
        <v>14</v>
      </c>
      <c r="W14" s="633">
        <f t="shared" si="2"/>
        <v>100</v>
      </c>
      <c r="X14" s="634"/>
      <c r="Y14" s="4129"/>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219" t="s">
        <v>1691</v>
      </c>
      <c r="Q15" s="1249" t="str">
        <f t="shared" si="6"/>
        <v>产业集聚程度</v>
      </c>
      <c r="R15" s="636" t="s">
        <v>14</v>
      </c>
      <c r="S15" s="637">
        <f t="shared" si="0"/>
        <v>100</v>
      </c>
      <c r="T15" s="636" t="s">
        <v>14</v>
      </c>
      <c r="U15" s="637">
        <f t="shared" si="1"/>
        <v>100</v>
      </c>
      <c r="V15" s="636" t="s">
        <v>14</v>
      </c>
      <c r="W15" s="637">
        <f t="shared" si="2"/>
        <v>100</v>
      </c>
      <c r="X15" s="1251"/>
      <c r="Y15" s="4219"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220"/>
      <c r="Q16" s="1249"/>
      <c r="R16" s="636"/>
      <c r="S16" s="637"/>
      <c r="T16" s="636"/>
      <c r="U16" s="637"/>
      <c r="V16" s="636"/>
      <c r="W16" s="637"/>
      <c r="X16" s="1251"/>
      <c r="Y16" s="4220"/>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220"/>
      <c r="Q17" s="1249" t="str">
        <f>B17</f>
        <v>交通便捷度</v>
      </c>
      <c r="R17" s="636" t="s">
        <v>14</v>
      </c>
      <c r="S17" s="637">
        <f>F17</f>
        <v>100</v>
      </c>
      <c r="T17" s="636" t="s">
        <v>14</v>
      </c>
      <c r="U17" s="637">
        <f>H17</f>
        <v>100</v>
      </c>
      <c r="V17" s="636" t="s">
        <v>14</v>
      </c>
      <c r="W17" s="637">
        <f>J17</f>
        <v>100</v>
      </c>
      <c r="X17" s="1251"/>
      <c r="Y17" s="4220"/>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220"/>
      <c r="Q18" s="1249"/>
      <c r="R18" s="636"/>
      <c r="S18" s="637"/>
      <c r="T18" s="636"/>
      <c r="U18" s="637"/>
      <c r="V18" s="636"/>
      <c r="W18" s="637"/>
      <c r="X18" s="1251"/>
      <c r="Y18" s="4220"/>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220"/>
      <c r="Q19" s="1249" t="str">
        <f t="shared" ref="Q19:Q33" si="8">B19</f>
        <v>区域土地利用方向</v>
      </c>
      <c r="R19" s="636" t="s">
        <v>14</v>
      </c>
      <c r="S19" s="637">
        <f>F19</f>
        <v>100</v>
      </c>
      <c r="T19" s="636" t="s">
        <v>14</v>
      </c>
      <c r="U19" s="637">
        <f>H19</f>
        <v>100</v>
      </c>
      <c r="V19" s="636" t="s">
        <v>14</v>
      </c>
      <c r="W19" s="637">
        <f>J19</f>
        <v>100</v>
      </c>
      <c r="X19" s="1251"/>
      <c r="Y19" s="4220"/>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220"/>
      <c r="Q20" s="1249"/>
      <c r="R20" s="636"/>
      <c r="S20" s="637"/>
      <c r="T20" s="636"/>
      <c r="U20" s="637"/>
      <c r="V20" s="636"/>
      <c r="W20" s="637"/>
      <c r="X20" s="1251"/>
      <c r="Y20" s="4220"/>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220"/>
      <c r="Q21" s="1249" t="str">
        <f t="shared" si="8"/>
        <v>环境状况</v>
      </c>
      <c r="R21" s="636" t="s">
        <v>14</v>
      </c>
      <c r="S21" s="637">
        <f>F21</f>
        <v>100</v>
      </c>
      <c r="T21" s="636" t="s">
        <v>14</v>
      </c>
      <c r="U21" s="637">
        <f>H21</f>
        <v>100</v>
      </c>
      <c r="V21" s="636" t="s">
        <v>14</v>
      </c>
      <c r="W21" s="637">
        <f>J21</f>
        <v>100</v>
      </c>
      <c r="X21" s="1251"/>
      <c r="Y21" s="4220"/>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220"/>
      <c r="Q22" s="1249"/>
      <c r="R22" s="636"/>
      <c r="S22" s="637"/>
      <c r="T22" s="636"/>
      <c r="U22" s="637"/>
      <c r="V22" s="636"/>
      <c r="W22" s="637"/>
      <c r="X22" s="1251"/>
      <c r="Y22" s="4220"/>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220"/>
      <c r="Q23" s="1241" t="str">
        <f t="shared" si="8"/>
        <v>公共配套设施</v>
      </c>
      <c r="R23" s="632" t="s">
        <v>14</v>
      </c>
      <c r="S23" s="633">
        <f>F23</f>
        <v>100</v>
      </c>
      <c r="T23" s="632" t="s">
        <v>14</v>
      </c>
      <c r="U23" s="633">
        <f>H23</f>
        <v>100</v>
      </c>
      <c r="V23" s="632" t="s">
        <v>14</v>
      </c>
      <c r="W23" s="633">
        <f>J23</f>
        <v>100</v>
      </c>
      <c r="X23" s="634"/>
      <c r="Y23" s="4220"/>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220"/>
      <c r="Q24" s="1241"/>
      <c r="R24" s="632"/>
      <c r="S24" s="633"/>
      <c r="T24" s="632"/>
      <c r="U24" s="633"/>
      <c r="V24" s="632"/>
      <c r="W24" s="633"/>
      <c r="X24" s="634"/>
      <c r="Y24" s="4220"/>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220"/>
      <c r="Q25" s="1241" t="str">
        <f t="shared" ref="Q25" si="9">B25</f>
        <v>基础设施水平</v>
      </c>
      <c r="R25" s="632" t="s">
        <v>14</v>
      </c>
      <c r="S25" s="633">
        <f>F25</f>
        <v>100</v>
      </c>
      <c r="T25" s="632" t="s">
        <v>14</v>
      </c>
      <c r="U25" s="633">
        <f>H25</f>
        <v>100</v>
      </c>
      <c r="V25" s="632" t="s">
        <v>14</v>
      </c>
      <c r="W25" s="633">
        <f>J25</f>
        <v>100</v>
      </c>
      <c r="X25" s="634"/>
      <c r="Y25" s="4220"/>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220"/>
      <c r="Q26" s="1241"/>
      <c r="R26" s="632"/>
      <c r="S26" s="633"/>
      <c r="T26" s="632"/>
      <c r="U26" s="633"/>
      <c r="V26" s="632"/>
      <c r="W26" s="633"/>
      <c r="X26" s="634"/>
      <c r="Y26" s="4220"/>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220"/>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220"/>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220"/>
      <c r="Q28" s="1249" t="str">
        <f t="shared" si="8"/>
        <v>毗邻道路的类型与等级</v>
      </c>
      <c r="R28" s="636" t="s">
        <v>14</v>
      </c>
      <c r="S28" s="637">
        <f t="shared" si="10"/>
        <v>100</v>
      </c>
      <c r="T28" s="636" t="s">
        <v>14</v>
      </c>
      <c r="U28" s="637">
        <f t="shared" si="11"/>
        <v>100</v>
      </c>
      <c r="V28" s="636" t="s">
        <v>14</v>
      </c>
      <c r="W28" s="637">
        <f t="shared" si="12"/>
        <v>100</v>
      </c>
      <c r="X28" s="1251"/>
      <c r="Y28" s="4220"/>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220"/>
      <c r="Q29" s="1249"/>
      <c r="R29" s="636"/>
      <c r="S29" s="637"/>
      <c r="T29" s="636"/>
      <c r="U29" s="637"/>
      <c r="V29" s="636"/>
      <c r="W29" s="637"/>
      <c r="X29" s="1251"/>
      <c r="Y29" s="4220"/>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220"/>
      <c r="Q30" s="1249" t="str">
        <f t="shared" si="8"/>
        <v>土地级别</v>
      </c>
      <c r="R30" s="636" t="s">
        <v>14</v>
      </c>
      <c r="S30" s="637">
        <f t="shared" si="10"/>
        <v>100</v>
      </c>
      <c r="T30" s="636" t="s">
        <v>14</v>
      </c>
      <c r="U30" s="637">
        <f t="shared" si="11"/>
        <v>100</v>
      </c>
      <c r="V30" s="636" t="s">
        <v>14</v>
      </c>
      <c r="W30" s="637">
        <f t="shared" si="12"/>
        <v>100</v>
      </c>
      <c r="X30" s="1251"/>
      <c r="Y30" s="4220"/>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220"/>
      <c r="Q31" s="1249">
        <f t="shared" si="8"/>
        <v>111</v>
      </c>
      <c r="R31" s="636" t="s">
        <v>14</v>
      </c>
      <c r="S31" s="637">
        <f t="shared" si="10"/>
        <v>100</v>
      </c>
      <c r="T31" s="636" t="s">
        <v>14</v>
      </c>
      <c r="U31" s="637">
        <f t="shared" si="11"/>
        <v>100</v>
      </c>
      <c r="V31" s="636" t="s">
        <v>14</v>
      </c>
      <c r="W31" s="637">
        <f t="shared" si="12"/>
        <v>100</v>
      </c>
      <c r="X31" s="1251"/>
      <c r="Y31" s="4220"/>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28" t="s">
        <v>1696</v>
      </c>
      <c r="Q32" s="1249">
        <f t="shared" si="8"/>
        <v>111</v>
      </c>
      <c r="R32" s="636" t="s">
        <v>14</v>
      </c>
      <c r="S32" s="637">
        <f t="shared" si="10"/>
        <v>100</v>
      </c>
      <c r="T32" s="636" t="s">
        <v>14</v>
      </c>
      <c r="U32" s="637">
        <f t="shared" si="11"/>
        <v>100</v>
      </c>
      <c r="V32" s="636" t="s">
        <v>14</v>
      </c>
      <c r="W32" s="637">
        <f t="shared" si="12"/>
        <v>100</v>
      </c>
      <c r="X32" s="1251"/>
      <c r="Y32" s="4224"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224"/>
      <c r="Q33" s="1249">
        <f t="shared" si="8"/>
        <v>111</v>
      </c>
      <c r="R33" s="639" t="s">
        <v>14</v>
      </c>
      <c r="S33" s="640">
        <f t="shared" si="10"/>
        <v>100</v>
      </c>
      <c r="T33" s="639" t="s">
        <v>14</v>
      </c>
      <c r="U33" s="640">
        <f t="shared" si="11"/>
        <v>100</v>
      </c>
      <c r="V33" s="639" t="s">
        <v>14</v>
      </c>
      <c r="W33" s="640">
        <f t="shared" si="12"/>
        <v>100</v>
      </c>
      <c r="X33" s="641"/>
      <c r="Y33" s="4224"/>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224"/>
      <c r="Q34" s="1249" t="str">
        <f>B34</f>
        <v>宗地面积</v>
      </c>
      <c r="R34" s="636" t="s">
        <v>14</v>
      </c>
      <c r="S34" s="637" t="e">
        <f t="shared" si="10"/>
        <v>#N/A</v>
      </c>
      <c r="T34" s="636" t="s">
        <v>14</v>
      </c>
      <c r="U34" s="637" t="e">
        <f t="shared" si="11"/>
        <v>#N/A</v>
      </c>
      <c r="V34" s="636" t="s">
        <v>14</v>
      </c>
      <c r="W34" s="637" t="e">
        <f t="shared" si="12"/>
        <v>#N/A</v>
      </c>
      <c r="X34" s="1251"/>
      <c r="Y34" s="4224"/>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224"/>
      <c r="Q35" s="1249" t="str">
        <f t="shared" ref="Q35:Q40" si="14">B35</f>
        <v>宗地形状</v>
      </c>
      <c r="R35" s="636" t="s">
        <v>14</v>
      </c>
      <c r="S35" s="637">
        <f t="shared" si="10"/>
        <v>100</v>
      </c>
      <c r="T35" s="636" t="s">
        <v>14</v>
      </c>
      <c r="U35" s="637">
        <f t="shared" si="11"/>
        <v>100</v>
      </c>
      <c r="V35" s="636" t="s">
        <v>14</v>
      </c>
      <c r="W35" s="637">
        <f t="shared" si="12"/>
        <v>100</v>
      </c>
      <c r="X35" s="1251"/>
      <c r="Y35" s="4224"/>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224"/>
      <c r="Q36" s="1249" t="str">
        <f t="shared" si="14"/>
        <v>宗地开发程度</v>
      </c>
      <c r="R36" s="632" t="s">
        <v>14</v>
      </c>
      <c r="S36" s="633">
        <f t="shared" si="10"/>
        <v>100</v>
      </c>
      <c r="T36" s="632" t="s">
        <v>14</v>
      </c>
      <c r="U36" s="633">
        <f t="shared" si="11"/>
        <v>100</v>
      </c>
      <c r="V36" s="632" t="s">
        <v>14</v>
      </c>
      <c r="W36" s="633">
        <f t="shared" si="12"/>
        <v>100</v>
      </c>
      <c r="X36" s="634"/>
      <c r="Y36" s="4224"/>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224" t="s">
        <v>1696</v>
      </c>
      <c r="Q37" s="1249" t="str">
        <f t="shared" si="14"/>
        <v>工程地质条件</v>
      </c>
      <c r="R37" s="636" t="s">
        <v>14</v>
      </c>
      <c r="S37" s="637">
        <f t="shared" si="10"/>
        <v>100</v>
      </c>
      <c r="T37" s="636" t="s">
        <v>14</v>
      </c>
      <c r="U37" s="637">
        <f t="shared" si="11"/>
        <v>100</v>
      </c>
      <c r="V37" s="636" t="s">
        <v>14</v>
      </c>
      <c r="W37" s="637">
        <f t="shared" si="12"/>
        <v>100</v>
      </c>
      <c r="X37" s="1251"/>
      <c r="Y37" s="4224"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224"/>
      <c r="Q38" s="1249">
        <f t="shared" si="14"/>
        <v>111</v>
      </c>
      <c r="R38" s="636" t="s">
        <v>14</v>
      </c>
      <c r="S38" s="637">
        <f t="shared" si="10"/>
        <v>100</v>
      </c>
      <c r="T38" s="636" t="s">
        <v>14</v>
      </c>
      <c r="U38" s="637">
        <f t="shared" si="11"/>
        <v>100</v>
      </c>
      <c r="V38" s="636" t="s">
        <v>14</v>
      </c>
      <c r="W38" s="637">
        <f t="shared" si="12"/>
        <v>100</v>
      </c>
      <c r="X38" s="1251"/>
      <c r="Y38" s="4224"/>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224"/>
      <c r="Q39" s="1249">
        <f t="shared" si="14"/>
        <v>111</v>
      </c>
      <c r="R39" s="636" t="s">
        <v>14</v>
      </c>
      <c r="S39" s="637">
        <f t="shared" si="10"/>
        <v>100</v>
      </c>
      <c r="T39" s="636" t="s">
        <v>14</v>
      </c>
      <c r="U39" s="637">
        <f t="shared" si="11"/>
        <v>100</v>
      </c>
      <c r="V39" s="636" t="s">
        <v>14</v>
      </c>
      <c r="W39" s="637">
        <f t="shared" si="12"/>
        <v>100</v>
      </c>
      <c r="X39" s="1251"/>
      <c r="Y39" s="4224"/>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224"/>
      <c r="Q40" s="1249">
        <f t="shared" si="14"/>
        <v>111</v>
      </c>
      <c r="R40" s="639" t="s">
        <v>14</v>
      </c>
      <c r="S40" s="640">
        <f t="shared" si="10"/>
        <v>100</v>
      </c>
      <c r="T40" s="639" t="s">
        <v>14</v>
      </c>
      <c r="U40" s="640">
        <f t="shared" si="11"/>
        <v>100</v>
      </c>
      <c r="V40" s="639" t="s">
        <v>14</v>
      </c>
      <c r="W40" s="640">
        <f t="shared" si="12"/>
        <v>100</v>
      </c>
      <c r="X40" s="641"/>
      <c r="Y40" s="4224"/>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217" t="str">
        <f>A41</f>
        <v>成交单价</v>
      </c>
      <c r="Q41" s="4217"/>
      <c r="R41" s="4212">
        <f>E41</f>
        <v>0</v>
      </c>
      <c r="S41" s="4212"/>
      <c r="T41" s="4212">
        <f>G41</f>
        <v>0</v>
      </c>
      <c r="U41" s="4212"/>
      <c r="V41" s="4212">
        <f>I41</f>
        <v>0</v>
      </c>
      <c r="W41" s="4212"/>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217" t="str">
        <f>A42</f>
        <v>比较价值（元/平方米）</v>
      </c>
      <c r="Q42" s="4217"/>
      <c r="R42" s="4230" t="e">
        <f>ROUND(PRODUCT(R41,AA7:AA40),0)</f>
        <v>#DIV/0!</v>
      </c>
      <c r="S42" s="4230"/>
      <c r="T42" s="4230" t="e">
        <f>ROUND(PRODUCT(T41,AB7:AB40),0)</f>
        <v>#DIV/0!</v>
      </c>
      <c r="U42" s="4230"/>
      <c r="V42" s="4230" t="e">
        <f>ROUND(PRODUCT(V41,AC7:AC40),0)</f>
        <v>#DIV/0!</v>
      </c>
      <c r="W42" s="4230"/>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214" t="str">
        <f>A43</f>
        <v>估价对象XX用房的比较价值（楼面单价，元/平方米）</v>
      </c>
      <c r="Q43" s="4215"/>
      <c r="R43" s="4231" t="e">
        <f>ROUND(IF(D42="简单平均",AVERAGE(R42:W42),R42*F42+T42*H42+V42*J42),0)</f>
        <v>#DIV/0!</v>
      </c>
      <c r="S43" s="4231"/>
      <c r="T43" s="4231"/>
      <c r="U43" s="4231"/>
      <c r="V43" s="4231"/>
      <c r="W43" s="4231"/>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200" t="s">
        <v>1887</v>
      </c>
      <c r="H50" s="4232"/>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686.62</v>
      </c>
      <c r="F51" s="574" t="e">
        <f t="shared" ref="F51:F60" si="15">ROUND(B51*E51/10000,0)</f>
        <v>#DIV/0!</v>
      </c>
      <c r="G51" s="4199"/>
      <c r="H51" s="4217"/>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2023-8-1</v>
      </c>
      <c r="D63" s="623">
        <f>EDATE(C63,-3)</f>
        <v>45047</v>
      </c>
      <c r="E63" s="623">
        <f>EDATE(D63,-3)</f>
        <v>44958</v>
      </c>
      <c r="F63" s="623">
        <f t="shared" ref="F63:O63" si="18">EDATE(E63,-3)</f>
        <v>44866</v>
      </c>
      <c r="G63" s="623">
        <f t="shared" si="18"/>
        <v>44774</v>
      </c>
      <c r="H63" s="623">
        <f t="shared" si="18"/>
        <v>44682</v>
      </c>
      <c r="I63" s="623">
        <f t="shared" si="18"/>
        <v>44593</v>
      </c>
      <c r="J63" s="623">
        <f t="shared" si="18"/>
        <v>44501</v>
      </c>
      <c r="K63" s="623">
        <f t="shared" si="18"/>
        <v>44409</v>
      </c>
      <c r="L63" s="623">
        <f t="shared" si="18"/>
        <v>44317</v>
      </c>
      <c r="M63" s="623">
        <f t="shared" si="18"/>
        <v>44228</v>
      </c>
      <c r="N63" s="623">
        <f t="shared" si="18"/>
        <v>44136</v>
      </c>
      <c r="O63" s="623">
        <f t="shared" si="18"/>
        <v>44044</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2023-3</v>
      </c>
      <c r="D65" s="1081" t="str">
        <f t="shared" ref="D65:O65" si="19">YEAR(D63)&amp;"-"&amp;ROUNDUP(MONTH(D63)/3,0)</f>
        <v>2023-2</v>
      </c>
      <c r="E65" s="1081" t="str">
        <f t="shared" si="19"/>
        <v>2023-1</v>
      </c>
      <c r="F65" s="1081" t="str">
        <f t="shared" si="19"/>
        <v>2022-4</v>
      </c>
      <c r="G65" s="1081" t="str">
        <f t="shared" si="19"/>
        <v>2022-3</v>
      </c>
      <c r="H65" s="1081" t="str">
        <f t="shared" si="19"/>
        <v>2022-2</v>
      </c>
      <c r="I65" s="1081" t="str">
        <f t="shared" si="19"/>
        <v>2022-1</v>
      </c>
      <c r="J65" s="1081" t="str">
        <f t="shared" si="19"/>
        <v>2021-4</v>
      </c>
      <c r="K65" s="1081" t="str">
        <f t="shared" si="19"/>
        <v>2021-3</v>
      </c>
      <c r="L65" s="1081" t="str">
        <f t="shared" si="19"/>
        <v>2021-2</v>
      </c>
      <c r="M65" s="1081" t="str">
        <f t="shared" si="19"/>
        <v>2021-1</v>
      </c>
      <c r="N65" s="1081" t="str">
        <f t="shared" si="19"/>
        <v>2020-4</v>
      </c>
      <c r="O65" s="1081" t="str">
        <f t="shared" si="19"/>
        <v>2020-3</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40" t="s">
        <v>2084</v>
      </c>
      <c r="D1" s="4241"/>
      <c r="E1" s="4241"/>
      <c r="F1" s="4241"/>
      <c r="G1" s="4241"/>
      <c r="H1" s="4241"/>
      <c r="I1" s="4241"/>
      <c r="J1" s="4241"/>
      <c r="K1" s="4241"/>
      <c r="L1" s="4241"/>
      <c r="M1" s="4241"/>
      <c r="N1" s="4241"/>
      <c r="O1" s="4241"/>
      <c r="P1" s="4241"/>
      <c r="Q1" s="4241"/>
      <c r="R1" s="4241"/>
      <c r="S1" s="4242"/>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37" t="s">
        <v>27</v>
      </c>
      <c r="D22" s="4238"/>
      <c r="E22" s="4238"/>
      <c r="F22" s="4238"/>
      <c r="G22" s="4238"/>
      <c r="H22" s="4238"/>
      <c r="I22" s="4238"/>
      <c r="J22" s="4238"/>
      <c r="K22" s="4238"/>
      <c r="L22" s="4238"/>
      <c r="M22" s="4238"/>
      <c r="N22" s="4238"/>
      <c r="O22" s="4238"/>
      <c r="P22" s="4238"/>
      <c r="Q22" s="4239"/>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51"/>
      <c r="C2" s="3851"/>
      <c r="D2" s="3851"/>
      <c r="E2" s="3851"/>
    </row>
    <row r="3" spans="1:5" ht="18">
      <c r="A3" s="3852" t="str">
        <f>IF(项目基本情况!B9="房地产市场价值","估价结果一览表（市场价值不需“结果表-1”）","估价结果一览表")</f>
        <v>估价结果一览表</v>
      </c>
      <c r="B3" s="3852"/>
      <c r="C3" s="3852"/>
      <c r="D3" s="3852"/>
      <c r="E3" s="3852"/>
    </row>
    <row r="4" spans="1:5" ht="19.5" thickBot="1">
      <c r="A4" s="1388"/>
      <c r="B4" s="3850" t="s">
        <v>917</v>
      </c>
      <c r="C4" s="3850"/>
      <c r="D4" s="3850"/>
      <c r="E4" s="1388"/>
    </row>
    <row r="5" spans="1:5" ht="16.5" thickTop="1">
      <c r="A5" s="1386"/>
      <c r="B5" s="3848" t="s">
        <v>909</v>
      </c>
      <c r="C5" s="1389" t="s">
        <v>910</v>
      </c>
      <c r="D5" s="772" t="e">
        <f ca="1">结果表!H101</f>
        <v>#REF!</v>
      </c>
      <c r="E5" s="1386"/>
    </row>
    <row r="6" spans="1:5" ht="15.75">
      <c r="A6" s="1386"/>
      <c r="B6" s="3848"/>
      <c r="C6" s="1389" t="s">
        <v>911</v>
      </c>
      <c r="D6" s="772" t="e">
        <f ca="1">NUMBERSTRING(INT(D5*10000),2)&amp;"元整"</f>
        <v>#REF!</v>
      </c>
      <c r="E6" s="1386"/>
    </row>
    <row r="7" spans="1:5" ht="15.75">
      <c r="A7" s="1386"/>
      <c r="B7" s="3853"/>
      <c r="C7" s="1390" t="s">
        <v>912</v>
      </c>
      <c r="D7" s="773" t="e">
        <f ca="1">结果表!H102</f>
        <v>#REF!</v>
      </c>
      <c r="E7" s="1386"/>
    </row>
    <row r="8" spans="1:5" ht="15.75">
      <c r="A8" s="1386"/>
      <c r="B8" s="3854" t="str">
        <f>结果表!E103</f>
        <v>2.估价师知悉的法定优先受偿款</v>
      </c>
      <c r="C8" s="1391" t="s">
        <v>913</v>
      </c>
      <c r="D8" s="773">
        <f>结果表!H103</f>
        <v>0</v>
      </c>
      <c r="E8" s="1386"/>
    </row>
    <row r="9" spans="1:5" ht="15.75">
      <c r="A9" s="1386"/>
      <c r="B9" s="3856"/>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47" t="str">
        <f>结果表!E107</f>
        <v>3.房地产抵押价值</v>
      </c>
      <c r="C13" s="1394" t="s">
        <v>910</v>
      </c>
      <c r="D13" s="775" t="e">
        <f ca="1">结果表!H107</f>
        <v>#REF!</v>
      </c>
      <c r="E13" s="1386"/>
    </row>
    <row r="14" spans="1:5" ht="15.75">
      <c r="A14" s="1386"/>
      <c r="B14" s="3848"/>
      <c r="C14" s="1389" t="s">
        <v>911</v>
      </c>
      <c r="D14" s="772" t="e">
        <f ca="1">NUMBERSTRING(INT(D13*10000),2)&amp;"元整"</f>
        <v>#REF!</v>
      </c>
      <c r="E14" s="1386"/>
    </row>
    <row r="15" spans="1:5" ht="15">
      <c r="A15" s="1386"/>
      <c r="B15" s="3853"/>
      <c r="C15" s="1390" t="s">
        <v>921</v>
      </c>
      <c r="D15" s="778" t="e">
        <f ca="1">结果表!H108</f>
        <v>#REF!</v>
      </c>
      <c r="E15" s="1386"/>
    </row>
    <row r="16" spans="1:5" ht="15">
      <c r="A16" s="1386"/>
      <c r="B16" s="3854" t="str">
        <f>结果表!E109</f>
        <v>——</v>
      </c>
      <c r="C16" s="1394" t="s">
        <v>922</v>
      </c>
      <c r="D16" s="1395" t="str">
        <f>结果表!H109</f>
        <v>——</v>
      </c>
      <c r="E16" s="1386"/>
    </row>
    <row r="17" spans="1:5" ht="15.75">
      <c r="A17" s="1386"/>
      <c r="B17" s="3855"/>
      <c r="C17" s="1389" t="s">
        <v>923</v>
      </c>
      <c r="D17" s="772" t="e">
        <f>NUMBERSTRING(INT(D16*10000),2)&amp;"元整"</f>
        <v>#VALUE!</v>
      </c>
      <c r="E17" s="1386"/>
    </row>
    <row r="18" spans="1:5" ht="15">
      <c r="A18" s="1386"/>
      <c r="B18" s="3856"/>
      <c r="C18" s="1390" t="s">
        <v>912</v>
      </c>
      <c r="D18" s="778" t="str">
        <f>结果表!H110</f>
        <v>——</v>
      </c>
      <c r="E18" s="1386"/>
    </row>
    <row r="19" spans="1:5" ht="15.75">
      <c r="A19" s="1386"/>
      <c r="B19" s="3847" t="str">
        <f>结果表!E111</f>
        <v>——</v>
      </c>
      <c r="C19" s="1394" t="s">
        <v>910</v>
      </c>
      <c r="D19" s="773" t="str">
        <f>结果表!H111</f>
        <v>——</v>
      </c>
      <c r="E19" s="1386"/>
    </row>
    <row r="20" spans="1:5" ht="15.75">
      <c r="A20" s="1386"/>
      <c r="B20" s="3848"/>
      <c r="C20" s="1389" t="s">
        <v>923</v>
      </c>
      <c r="D20" s="772" t="e">
        <f>NUMBERSTRING(INT(D19*10000),2)&amp;"元整"</f>
        <v>#VALUE!</v>
      </c>
      <c r="E20" s="1386"/>
    </row>
    <row r="21" spans="1:5" ht="15.75" thickBot="1">
      <c r="A21" s="1386"/>
      <c r="B21" s="3849"/>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50"/>
      <c r="B4" s="4251"/>
      <c r="C4" s="4251"/>
      <c r="D4" s="4252"/>
      <c r="E4" s="4252"/>
      <c r="F4" s="4252"/>
      <c r="G4" s="4252"/>
      <c r="H4" s="4252"/>
      <c r="I4" s="4252"/>
      <c r="J4" s="4253"/>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3234</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47" t="s">
        <v>1960</v>
      </c>
      <c r="X8" s="4248"/>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49"/>
      <c r="X9" s="2988" t="s">
        <v>3265</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49"/>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3235</v>
      </c>
      <c r="B12" s="2931" t="s">
        <v>3236</v>
      </c>
      <c r="C12" s="2932"/>
      <c r="D12" s="2933" t="s">
        <v>3237</v>
      </c>
      <c r="E12" s="2934" t="s">
        <v>3238</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3239</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3240</v>
      </c>
      <c r="G14" s="2938" t="s">
        <v>3240</v>
      </c>
      <c r="H14" s="2938" t="s">
        <v>3240</v>
      </c>
      <c r="I14" s="2938" t="s">
        <v>3240</v>
      </c>
      <c r="J14" s="2938" t="s">
        <v>3240</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3241</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3242</v>
      </c>
      <c r="B17" s="2947" t="s">
        <v>3243</v>
      </c>
      <c r="C17" s="2957">
        <f>ROUND(IF(OR(E2="工业",E2="公共服务"),1,IF(AND(E18=0,E19=0),1,IF(AND(E18=J24,E19=G19),0.8,IF(E19=0,1+E17*(-0.2),1+E17*G17*(-0.2))))),4)</f>
        <v>1</v>
      </c>
      <c r="D17" s="2948" t="s">
        <v>3244</v>
      </c>
      <c r="E17" s="2957" t="e">
        <f>ROUND(G18/I18,2)</f>
        <v>#DIV/0!</v>
      </c>
      <c r="F17" s="2948" t="s">
        <v>3247</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3245</v>
      </c>
      <c r="E18" s="2955"/>
      <c r="F18" s="2950" t="s">
        <v>3248</v>
      </c>
      <c r="G18" s="2954">
        <f>ROUND(1-(1/(POWER(1+G24,E18))),4)</f>
        <v>0</v>
      </c>
      <c r="H18" s="2950" t="s">
        <v>3250</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3246</v>
      </c>
      <c r="E19" s="2964"/>
      <c r="F19" s="2965" t="s">
        <v>3249</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54" t="s">
        <v>3251</v>
      </c>
      <c r="B20" s="106" t="s">
        <v>1994</v>
      </c>
      <c r="C20" s="2951" t="e">
        <f>ROUND(IF(F21="与级别开发程度一致",0,(G21-E21)/C21),0)</f>
        <v>#DIV/0!</v>
      </c>
      <c r="D20" s="2967" t="s">
        <v>1998</v>
      </c>
      <c r="E20" s="2968"/>
      <c r="F20" s="4260" t="s">
        <v>1995</v>
      </c>
      <c r="G20" s="4261"/>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55"/>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45142</v>
      </c>
      <c r="H23" s="2969" t="s">
        <v>3253</v>
      </c>
      <c r="I23" s="2970" t="str">
        <f>IF(H23="季度增幅（自定义）",SUMIF(N25:N28,E2,O25:O28),"")</f>
        <v/>
      </c>
      <c r="J23" s="3065" t="s">
        <v>3252</v>
      </c>
      <c r="K23" s="1026"/>
      <c r="L23" s="1858" t="s">
        <v>2004</v>
      </c>
      <c r="M23" s="1227">
        <f>ROUND(SUMIF(地价!B2:G2,E2,地价!B16:G16),0)</f>
        <v>0</v>
      </c>
      <c r="N23" s="1859" t="s">
        <v>2005</v>
      </c>
      <c r="O23" s="685">
        <f>ROUNDDOWN(DATEDIF(E23,G23,"M")/3,0)</f>
        <v>10</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3332</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3254</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3255</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3259</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3257</v>
      </c>
      <c r="G33" s="1902"/>
      <c r="H33" s="1902"/>
      <c r="I33" s="1902"/>
      <c r="J33" s="1903"/>
      <c r="K33" s="1020"/>
      <c r="L33" s="2975" t="s">
        <v>3260</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3261</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3258</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3262</v>
      </c>
      <c r="L36" s="3066">
        <f ca="1">'数据-取费表'!B40</f>
        <v>4.7500000000000001E-2</v>
      </c>
      <c r="M36" s="2984">
        <f ca="1">ROUND($L$36*(1+M31),3)</f>
        <v>5.8999999999999997E-2</v>
      </c>
      <c r="N36" s="2984">
        <f ca="1">ROUND($L$36*(1+N31),3)</f>
        <v>5.7000000000000002E-2</v>
      </c>
      <c r="O36" s="2984">
        <f ca="1">ROUND($L$36*(1+O31),3)</f>
        <v>5.5E-2</v>
      </c>
      <c r="P36" s="2984">
        <f ca="1">ROUND($L$36*(1+P31),3)</f>
        <v>5.1999999999999998E-2</v>
      </c>
      <c r="Q36" s="2984">
        <f ca="1">ROUND($L$36*(1+Q31),3)</f>
        <v>5.5E-2</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58"/>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3263</v>
      </c>
      <c r="L37" s="2983">
        <f ca="1">L36+K38</f>
        <v>5.2499999999999998E-2</v>
      </c>
      <c r="M37" s="2984">
        <f ca="1">ROUND($L$37*(1+M31),3)</f>
        <v>6.6000000000000003E-2</v>
      </c>
      <c r="N37" s="2984">
        <f t="shared" ref="N37:Q37" ca="1" si="3">ROUND($L$37*(1+N31),3)</f>
        <v>6.3E-2</v>
      </c>
      <c r="O37" s="2984">
        <f t="shared" ca="1" si="3"/>
        <v>0.06</v>
      </c>
      <c r="P37" s="2984">
        <f t="shared" ca="1" si="3"/>
        <v>5.8000000000000003E-2</v>
      </c>
      <c r="Q37" s="2984">
        <f t="shared" ca="1" si="3"/>
        <v>0.06</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59"/>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59"/>
      <c r="B39" s="1844" t="s">
        <v>3256</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3264</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63.75">
      <c r="A50" s="1933" t="s">
        <v>2052</v>
      </c>
      <c r="B50" s="1936" t="str">
        <f>估价对象房地状况!C4</f>
        <v>估价对象附近有领展购物广场（中关村店）、新中关购物中心等商场，周边商业氛围较成熟，人流量较大，商业繁华度较好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102">
      <c r="A51" s="1933" t="s">
        <v>2053</v>
      </c>
      <c r="B51"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3266</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城市支路</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04">
      <c r="A56" s="1940" t="s">
        <v>2059</v>
      </c>
      <c r="B5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自然环境：万泉河等自然景观；
人文环境：中国人民大学等人文场所；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估价对象附近有银丰大厦、神州数码大厦、绿创大厦、银科大厦等办公用楼，办公集聚程度好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102">
      <c r="A62" s="1933" t="s">
        <v>2053</v>
      </c>
      <c r="B62"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3266</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城市支路</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04">
      <c r="A67" s="1933" t="s">
        <v>2059</v>
      </c>
      <c r="B67"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自然环境：万泉河等自然景观；
人文环境：中国人民大学等人文场所；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102">
      <c r="A73" s="1933" t="s">
        <v>2053</v>
      </c>
      <c r="B73"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3266</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城市支路</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204">
      <c r="A76" s="1933" t="s">
        <v>2059</v>
      </c>
      <c r="B7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自然环境：万泉河等自然景观；
人文环境：中国人民大学等人文场所；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3267</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2605</v>
      </c>
      <c r="B91" s="3004">
        <f>1+E93</f>
        <v>1</v>
      </c>
      <c r="C91" s="2997"/>
      <c r="D91" s="2998"/>
      <c r="E91" s="1634"/>
      <c r="F91" s="1634"/>
      <c r="G91" s="2999"/>
      <c r="H91" s="3000"/>
      <c r="I91" s="3001"/>
      <c r="J91" s="3002"/>
      <c r="K91" s="3002"/>
      <c r="L91" s="3002"/>
      <c r="M91" s="3002"/>
      <c r="N91" s="3002"/>
    </row>
    <row r="92" spans="1:37" ht="24.75">
      <c r="A92" s="3005" t="s">
        <v>3268</v>
      </c>
      <c r="B92" s="2992"/>
      <c r="C92" s="2992" t="s">
        <v>3277</v>
      </c>
      <c r="D92" s="2992" t="s">
        <v>3278</v>
      </c>
      <c r="E92" s="2974" t="s">
        <v>3279</v>
      </c>
      <c r="F92" s="3007" t="s">
        <v>3280</v>
      </c>
      <c r="G92" s="2992" t="s">
        <v>3281</v>
      </c>
      <c r="H92" s="3014" t="s">
        <v>3284</v>
      </c>
      <c r="I92" s="2992" t="s">
        <v>3285</v>
      </c>
      <c r="J92" s="3015" t="s">
        <v>3286</v>
      </c>
      <c r="K92" s="3015" t="s">
        <v>3287</v>
      </c>
      <c r="L92" s="3015" t="s">
        <v>3288</v>
      </c>
      <c r="M92" s="3015" t="s">
        <v>3289</v>
      </c>
      <c r="N92" s="3015" t="s">
        <v>3290</v>
      </c>
    </row>
    <row r="93" spans="1:37" ht="24">
      <c r="A93" s="2995" t="s">
        <v>3269</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102">
      <c r="A94" s="3005" t="s">
        <v>3270</v>
      </c>
      <c r="B94" s="2996"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3266</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3271</v>
      </c>
      <c r="B96" s="3011" t="s">
        <v>3282</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3272</v>
      </c>
      <c r="B97" s="2996" t="str">
        <f>估价对象房地状况!C24</f>
        <v>城市支路</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3273</v>
      </c>
      <c r="B98" s="3012" t="s">
        <v>3283</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204">
      <c r="A99" s="3005" t="s">
        <v>3274</v>
      </c>
      <c r="B99" s="2996"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3275</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3276</v>
      </c>
      <c r="B101" s="3013" t="str">
        <f>估价对象房地状况!C20</f>
        <v xml:space="preserve">自然环境：万泉河等自然景观；
人文环境：中国人民大学等人文场所；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56" t="s">
        <v>3291</v>
      </c>
      <c r="B103" s="4256"/>
      <c r="C103" s="4256"/>
      <c r="D103" s="4256"/>
      <c r="E103" s="4256"/>
      <c r="F103" s="4256"/>
      <c r="G103" s="4256"/>
      <c r="H103" s="4256"/>
      <c r="I103" s="4256"/>
      <c r="J103" s="4256"/>
      <c r="K103" s="3016"/>
      <c r="L103" s="3016"/>
      <c r="M103" s="3016"/>
      <c r="N103" s="3016"/>
    </row>
    <row r="104" spans="1:14">
      <c r="A104" s="4257" t="s">
        <v>3292</v>
      </c>
      <c r="B104" s="4257" t="s">
        <v>3293</v>
      </c>
      <c r="C104" s="3017" t="s">
        <v>3294</v>
      </c>
      <c r="D104" s="3018"/>
      <c r="E104" s="3018"/>
      <c r="F104" s="3018"/>
      <c r="G104" s="3018"/>
      <c r="H104" s="3018"/>
      <c r="I104" s="3018"/>
      <c r="J104" s="3019"/>
      <c r="K104" s="3020"/>
      <c r="L104" s="3020"/>
      <c r="M104" s="3020"/>
      <c r="N104" s="3020"/>
    </row>
    <row r="105" spans="1:14">
      <c r="A105" s="4257"/>
      <c r="B105" s="4257"/>
      <c r="C105" s="3021" t="s">
        <v>3295</v>
      </c>
      <c r="D105" s="3021" t="s">
        <v>3296</v>
      </c>
      <c r="E105" s="3021" t="s">
        <v>3297</v>
      </c>
      <c r="F105" s="3021" t="s">
        <v>3298</v>
      </c>
      <c r="G105" s="3021" t="s">
        <v>3299</v>
      </c>
      <c r="H105" s="3021" t="s">
        <v>3300</v>
      </c>
      <c r="I105" s="3021" t="s">
        <v>3301</v>
      </c>
      <c r="J105" s="3021" t="s">
        <v>3302</v>
      </c>
      <c r="K105" s="3021" t="s">
        <v>3303</v>
      </c>
      <c r="L105" s="3021" t="s">
        <v>3304</v>
      </c>
      <c r="M105" s="3021" t="s">
        <v>3305</v>
      </c>
      <c r="N105" s="3021" t="s">
        <v>3306</v>
      </c>
    </row>
    <row r="106" spans="1:14">
      <c r="A106" s="4243" t="s">
        <v>3307</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44"/>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44"/>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44"/>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44"/>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44"/>
      <c r="B111" s="3021" t="s">
        <v>3265</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45"/>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46" t="s">
        <v>3308</v>
      </c>
      <c r="B113" s="4246"/>
      <c r="C113" s="4246"/>
      <c r="D113" s="4246"/>
      <c r="E113" s="4246"/>
      <c r="F113" s="4246"/>
      <c r="G113" s="4246"/>
      <c r="H113" s="4246"/>
      <c r="I113" s="4246"/>
      <c r="J113" s="4246"/>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3309</v>
      </c>
      <c r="B116" s="3042">
        <f>G3</f>
        <v>0</v>
      </c>
      <c r="C116" s="3026" t="s">
        <v>3310</v>
      </c>
      <c r="D116" s="3027">
        <f>SUMPRODUCT((A118:A122=F116)*(B117:M117=H116)*B118:M122)</f>
        <v>0</v>
      </c>
      <c r="E116" s="1803" t="s">
        <v>3311</v>
      </c>
      <c r="F116" s="3028">
        <f>E2</f>
        <v>0</v>
      </c>
      <c r="G116" s="1803" t="s">
        <v>3312</v>
      </c>
      <c r="H116" s="3028">
        <f>G2</f>
        <v>0</v>
      </c>
      <c r="I116" s="1803"/>
      <c r="J116" s="3029"/>
      <c r="K116" s="3029"/>
      <c r="L116" s="3029"/>
      <c r="M116" s="3029"/>
      <c r="N116" s="3024"/>
    </row>
    <row r="117" spans="1:14">
      <c r="A117" s="3030"/>
      <c r="B117" s="3031" t="s">
        <v>3313</v>
      </c>
      <c r="C117" s="3031" t="s">
        <v>3314</v>
      </c>
      <c r="D117" s="3031" t="s">
        <v>3315</v>
      </c>
      <c r="E117" s="3032" t="s">
        <v>3316</v>
      </c>
      <c r="F117" s="3032" t="s">
        <v>3317</v>
      </c>
      <c r="G117" s="3032" t="s">
        <v>3318</v>
      </c>
      <c r="H117" s="3033" t="s">
        <v>3319</v>
      </c>
      <c r="I117" s="3033" t="s">
        <v>3320</v>
      </c>
      <c r="J117" s="3034" t="s">
        <v>3321</v>
      </c>
      <c r="K117" s="3034" t="s">
        <v>3322</v>
      </c>
      <c r="L117" s="3034" t="s">
        <v>3323</v>
      </c>
      <c r="M117" s="3035" t="s">
        <v>3324</v>
      </c>
      <c r="N117" s="3024"/>
    </row>
    <row r="118" spans="1:14">
      <c r="A118" s="3036" t="s">
        <v>3325</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3326</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3327</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3328</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2605</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2587</v>
      </c>
      <c r="B1" s="2698" t="s">
        <v>2588</v>
      </c>
      <c r="C1" s="2698" t="s">
        <v>2589</v>
      </c>
      <c r="D1" s="2698" t="s">
        <v>2590</v>
      </c>
      <c r="E1" s="2698" t="s">
        <v>2591</v>
      </c>
      <c r="F1" s="2698" t="s">
        <v>2592</v>
      </c>
      <c r="G1" s="2698" t="s">
        <v>2593</v>
      </c>
      <c r="H1" s="2698" t="s">
        <v>2594</v>
      </c>
      <c r="I1" s="2698" t="s">
        <v>2595</v>
      </c>
      <c r="J1" s="2698" t="s">
        <v>2596</v>
      </c>
      <c r="K1" s="2698" t="s">
        <v>2597</v>
      </c>
      <c r="L1" s="2698" t="s">
        <v>2598</v>
      </c>
      <c r="M1" s="2699" t="s">
        <v>2599</v>
      </c>
    </row>
    <row r="2" spans="1:13" ht="19.5" customHeight="1">
      <c r="A2" s="2701" t="s">
        <v>2600</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2601</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2602</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2603</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2604</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2605</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2606</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2607</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2608</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2609</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2610</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2611</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2612</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2613</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2614</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2615</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2616</v>
      </c>
      <c r="B18" s="2723"/>
      <c r="C18" s="2724"/>
      <c r="D18" s="2724"/>
      <c r="E18" s="2723"/>
      <c r="F18" s="2724"/>
      <c r="G18" s="2724"/>
    </row>
    <row r="19" spans="1:13" ht="19.5" customHeight="1" thickBot="1">
      <c r="A19" s="2721" t="s">
        <v>2617</v>
      </c>
      <c r="B19" s="2726" t="s">
        <v>2618</v>
      </c>
      <c r="C19" s="2726" t="s">
        <v>2619</v>
      </c>
      <c r="D19" s="2727"/>
      <c r="E19" s="2721" t="s">
        <v>2620</v>
      </c>
      <c r="F19" s="2728"/>
      <c r="G19" s="2728"/>
    </row>
    <row r="20" spans="1:13" ht="19.5" customHeight="1">
      <c r="A20" s="4269" t="s">
        <v>2600</v>
      </c>
      <c r="B20" s="4262" t="s">
        <v>2621</v>
      </c>
      <c r="C20" s="2729" t="s">
        <v>2432</v>
      </c>
      <c r="D20" s="2730"/>
      <c r="E20" s="2731">
        <v>1</v>
      </c>
      <c r="F20" s="2732" t="s">
        <v>2433</v>
      </c>
      <c r="G20" s="2732"/>
    </row>
    <row r="21" spans="1:13" ht="19.5" customHeight="1">
      <c r="A21" s="4270"/>
      <c r="B21" s="4263"/>
      <c r="C21" s="2733" t="s">
        <v>2434</v>
      </c>
      <c r="D21" s="2734"/>
      <c r="E21" s="2735">
        <v>1</v>
      </c>
      <c r="F21" s="2732" t="s">
        <v>2435</v>
      </c>
      <c r="G21" s="2732"/>
    </row>
    <row r="22" spans="1:13" ht="19.5" customHeight="1">
      <c r="A22" s="4270"/>
      <c r="B22" s="4263"/>
      <c r="C22" s="2733" t="s">
        <v>2436</v>
      </c>
      <c r="D22" s="2734"/>
      <c r="E22" s="2735">
        <v>0.9</v>
      </c>
      <c r="F22" s="2732" t="s">
        <v>2437</v>
      </c>
      <c r="G22" s="2732"/>
    </row>
    <row r="23" spans="1:13" ht="19.5" customHeight="1">
      <c r="A23" s="4270"/>
      <c r="B23" s="4263"/>
      <c r="C23" s="2733" t="s">
        <v>2438</v>
      </c>
      <c r="D23" s="2734"/>
      <c r="E23" s="2735">
        <v>0.9</v>
      </c>
      <c r="F23" s="2732" t="s">
        <v>2439</v>
      </c>
      <c r="G23" s="2732"/>
    </row>
    <row r="24" spans="1:13" ht="19.5" customHeight="1">
      <c r="A24" s="4270"/>
      <c r="B24" s="4263"/>
      <c r="C24" s="2733" t="s">
        <v>2440</v>
      </c>
      <c r="D24" s="2734"/>
      <c r="E24" s="2735">
        <v>0.8</v>
      </c>
      <c r="F24" s="2732" t="s">
        <v>2441</v>
      </c>
      <c r="G24" s="2732"/>
    </row>
    <row r="25" spans="1:13" ht="19.5" customHeight="1" thickBot="1">
      <c r="A25" s="4271"/>
      <c r="B25" s="4264"/>
      <c r="C25" s="2736" t="s">
        <v>2442</v>
      </c>
      <c r="D25" s="2737"/>
      <c r="E25" s="2738">
        <v>0.8</v>
      </c>
      <c r="F25" s="2732" t="s">
        <v>2443</v>
      </c>
      <c r="G25" s="2732"/>
    </row>
    <row r="26" spans="1:13" ht="19.5" customHeight="1" thickBot="1">
      <c r="A26" s="2739" t="s">
        <v>2622</v>
      </c>
      <c r="B26" s="2740" t="s">
        <v>2621</v>
      </c>
      <c r="C26" s="2741" t="s">
        <v>2623</v>
      </c>
      <c r="D26" s="2742"/>
      <c r="E26" s="2743">
        <v>1</v>
      </c>
      <c r="F26" s="2732" t="s">
        <v>2444</v>
      </c>
      <c r="G26" s="2732"/>
    </row>
    <row r="27" spans="1:13" ht="19.5" customHeight="1">
      <c r="A27" s="4265" t="s">
        <v>2624</v>
      </c>
      <c r="B27" s="4262" t="s">
        <v>2605</v>
      </c>
      <c r="C27" s="2729" t="s">
        <v>2445</v>
      </c>
      <c r="D27" s="2730"/>
      <c r="E27" s="2731">
        <v>1</v>
      </c>
      <c r="F27" s="2732" t="s">
        <v>2446</v>
      </c>
      <c r="G27" s="2732"/>
    </row>
    <row r="28" spans="1:13" ht="19.5" customHeight="1">
      <c r="A28" s="4266"/>
      <c r="B28" s="4263"/>
      <c r="C28" s="2733" t="s">
        <v>2447</v>
      </c>
      <c r="D28" s="2734"/>
      <c r="E28" s="2735">
        <v>1</v>
      </c>
      <c r="F28" s="2732" t="s">
        <v>2448</v>
      </c>
      <c r="G28" s="2732"/>
    </row>
    <row r="29" spans="1:13" ht="19.5" customHeight="1">
      <c r="A29" s="4266"/>
      <c r="B29" s="4263"/>
      <c r="C29" s="2733" t="s">
        <v>2449</v>
      </c>
      <c r="D29" s="2734"/>
      <c r="E29" s="2735">
        <v>0.8</v>
      </c>
      <c r="F29" s="2732" t="s">
        <v>2450</v>
      </c>
      <c r="G29" s="2732"/>
    </row>
    <row r="30" spans="1:13" ht="19.5" customHeight="1">
      <c r="A30" s="4266"/>
      <c r="B30" s="4263"/>
      <c r="C30" s="2733" t="s">
        <v>2451</v>
      </c>
      <c r="D30" s="2734"/>
      <c r="E30" s="2735">
        <v>0.8</v>
      </c>
      <c r="F30" s="2732" t="s">
        <v>2452</v>
      </c>
      <c r="G30" s="2732"/>
    </row>
    <row r="31" spans="1:13" ht="19.5" customHeight="1">
      <c r="A31" s="4266"/>
      <c r="B31" s="4263"/>
      <c r="C31" s="2733" t="s">
        <v>2453</v>
      </c>
      <c r="D31" s="2734"/>
      <c r="E31" s="2735">
        <v>0.8</v>
      </c>
      <c r="F31" s="2732" t="s">
        <v>2454</v>
      </c>
      <c r="G31" s="2732"/>
    </row>
    <row r="32" spans="1:13" ht="19.5" customHeight="1">
      <c r="A32" s="4266"/>
      <c r="B32" s="4263"/>
      <c r="C32" s="2733" t="s">
        <v>2455</v>
      </c>
      <c r="D32" s="2734"/>
      <c r="E32" s="2735">
        <v>0.7</v>
      </c>
      <c r="F32" s="2732" t="s">
        <v>2456</v>
      </c>
      <c r="G32" s="2732"/>
    </row>
    <row r="33" spans="1:7" ht="19.5" customHeight="1">
      <c r="A33" s="4266"/>
      <c r="B33" s="4263"/>
      <c r="C33" s="2733" t="s">
        <v>2457</v>
      </c>
      <c r="D33" s="2734"/>
      <c r="E33" s="2735">
        <v>0.8</v>
      </c>
      <c r="F33" s="2732" t="s">
        <v>2458</v>
      </c>
      <c r="G33" s="2732"/>
    </row>
    <row r="34" spans="1:7" ht="19.5" customHeight="1">
      <c r="A34" s="4266"/>
      <c r="B34" s="4263"/>
      <c r="C34" s="2733" t="s">
        <v>2459</v>
      </c>
      <c r="D34" s="2734"/>
      <c r="E34" s="2735">
        <v>0.6</v>
      </c>
      <c r="F34" s="2732" t="s">
        <v>2460</v>
      </c>
      <c r="G34" s="2732"/>
    </row>
    <row r="35" spans="1:7" ht="19.5" customHeight="1">
      <c r="A35" s="4266"/>
      <c r="B35" s="4263"/>
      <c r="C35" s="2733" t="s">
        <v>2461</v>
      </c>
      <c r="D35" s="2734"/>
      <c r="E35" s="2735">
        <v>0.2</v>
      </c>
      <c r="F35" s="2732" t="s">
        <v>2462</v>
      </c>
      <c r="G35" s="2732"/>
    </row>
    <row r="36" spans="1:7" ht="19.5" customHeight="1">
      <c r="A36" s="4266"/>
      <c r="B36" s="4263"/>
      <c r="C36" s="2733" t="s">
        <v>2463</v>
      </c>
      <c r="D36" s="2734"/>
      <c r="E36" s="2735">
        <v>0.2</v>
      </c>
      <c r="F36" s="2732" t="s">
        <v>2464</v>
      </c>
      <c r="G36" s="2732"/>
    </row>
    <row r="37" spans="1:7" ht="19.5" customHeight="1">
      <c r="A37" s="4266"/>
      <c r="B37" s="4268" t="s">
        <v>2625</v>
      </c>
      <c r="C37" s="2733" t="s">
        <v>2465</v>
      </c>
      <c r="D37" s="2734"/>
      <c r="E37" s="2735">
        <v>0.6</v>
      </c>
      <c r="F37" s="2732" t="s">
        <v>2466</v>
      </c>
      <c r="G37" s="2732"/>
    </row>
    <row r="38" spans="1:7" ht="19.5" customHeight="1">
      <c r="A38" s="4266"/>
      <c r="B38" s="4263"/>
      <c r="C38" s="2733" t="s">
        <v>2467</v>
      </c>
      <c r="D38" s="2734"/>
      <c r="E38" s="2735">
        <v>0.6</v>
      </c>
      <c r="F38" s="2732" t="s">
        <v>2468</v>
      </c>
      <c r="G38" s="2732"/>
    </row>
    <row r="39" spans="1:7" ht="19.5" customHeight="1" thickBot="1">
      <c r="A39" s="4267"/>
      <c r="B39" s="4264"/>
      <c r="C39" s="2736" t="s">
        <v>2469</v>
      </c>
      <c r="D39" s="2737"/>
      <c r="E39" s="2738">
        <v>0.6</v>
      </c>
      <c r="F39" s="2732" t="s">
        <v>2470</v>
      </c>
      <c r="G39" s="2732"/>
    </row>
    <row r="40" spans="1:7" ht="19.5" customHeight="1" thickBot="1">
      <c r="A40" s="2739" t="s">
        <v>2602</v>
      </c>
      <c r="B40" s="2740" t="s">
        <v>2602</v>
      </c>
      <c r="C40" s="2741" t="s">
        <v>2626</v>
      </c>
      <c r="D40" s="2742"/>
      <c r="E40" s="2743">
        <v>1</v>
      </c>
      <c r="F40" s="2732" t="s">
        <v>2471</v>
      </c>
      <c r="G40" s="2732"/>
    </row>
    <row r="41" spans="1:7" ht="19.5" customHeight="1">
      <c r="A41" s="4269" t="s">
        <v>2603</v>
      </c>
      <c r="B41" s="4262" t="s">
        <v>2627</v>
      </c>
      <c r="C41" s="2729" t="s">
        <v>2472</v>
      </c>
      <c r="D41" s="2730"/>
      <c r="E41" s="2731">
        <v>1</v>
      </c>
      <c r="F41" s="2732" t="s">
        <v>2473</v>
      </c>
      <c r="G41" s="2732"/>
    </row>
    <row r="42" spans="1:7" ht="19.5" customHeight="1">
      <c r="A42" s="4270"/>
      <c r="B42" s="4263"/>
      <c r="C42" s="2733" t="s">
        <v>2474</v>
      </c>
      <c r="D42" s="2734"/>
      <c r="E42" s="2735">
        <v>1</v>
      </c>
      <c r="F42" s="2732" t="s">
        <v>2475</v>
      </c>
      <c r="G42" s="2732"/>
    </row>
    <row r="43" spans="1:7" ht="19.5" customHeight="1">
      <c r="A43" s="4270"/>
      <c r="B43" s="4272"/>
      <c r="C43" s="2733" t="s">
        <v>2476</v>
      </c>
      <c r="D43" s="2734"/>
      <c r="E43" s="2735">
        <v>1.5</v>
      </c>
      <c r="F43" s="2732" t="s">
        <v>2477</v>
      </c>
      <c r="G43" s="2732"/>
    </row>
    <row r="44" spans="1:7" ht="19.5" customHeight="1">
      <c r="A44" s="4270"/>
      <c r="B44" s="2744" t="s">
        <v>2628</v>
      </c>
      <c r="C44" s="2733" t="s">
        <v>2629</v>
      </c>
      <c r="D44" s="2734"/>
      <c r="E44" s="2735">
        <v>2</v>
      </c>
      <c r="F44" s="2732" t="s">
        <v>2478</v>
      </c>
      <c r="G44" s="2732"/>
    </row>
    <row r="45" spans="1:7" ht="19.5" customHeight="1">
      <c r="A45" s="4270"/>
      <c r="B45" s="4268" t="s">
        <v>2630</v>
      </c>
      <c r="C45" s="2733" t="s">
        <v>2479</v>
      </c>
      <c r="D45" s="2734"/>
      <c r="E45" s="2735">
        <v>1</v>
      </c>
      <c r="F45" s="2732" t="s">
        <v>2480</v>
      </c>
      <c r="G45" s="2732"/>
    </row>
    <row r="46" spans="1:7" ht="19.5" customHeight="1">
      <c r="A46" s="4270"/>
      <c r="B46" s="4263"/>
      <c r="C46" s="2733" t="s">
        <v>2481</v>
      </c>
      <c r="D46" s="2734"/>
      <c r="E46" s="2735">
        <v>1</v>
      </c>
      <c r="F46" s="2732" t="s">
        <v>2482</v>
      </c>
      <c r="G46" s="2732"/>
    </row>
    <row r="47" spans="1:7" ht="19.5" customHeight="1">
      <c r="A47" s="4270"/>
      <c r="B47" s="4263"/>
      <c r="C47" s="2733" t="s">
        <v>2483</v>
      </c>
      <c r="D47" s="2734"/>
      <c r="E47" s="2735">
        <v>1</v>
      </c>
      <c r="F47" s="2732" t="s">
        <v>2484</v>
      </c>
      <c r="G47" s="2732"/>
    </row>
    <row r="48" spans="1:7" ht="19.5" customHeight="1">
      <c r="A48" s="4270"/>
      <c r="B48" s="4263"/>
      <c r="C48" s="2733" t="s">
        <v>2485</v>
      </c>
      <c r="D48" s="2734"/>
      <c r="E48" s="2735">
        <v>1</v>
      </c>
      <c r="F48" s="2732" t="s">
        <v>2486</v>
      </c>
      <c r="G48" s="2732"/>
    </row>
    <row r="49" spans="1:7" ht="19.5" customHeight="1">
      <c r="A49" s="4270"/>
      <c r="B49" s="4263"/>
      <c r="C49" s="2733" t="s">
        <v>2487</v>
      </c>
      <c r="D49" s="2734"/>
      <c r="E49" s="2735">
        <v>1</v>
      </c>
      <c r="F49" s="2732" t="s">
        <v>2488</v>
      </c>
      <c r="G49" s="2732"/>
    </row>
    <row r="50" spans="1:7" ht="19.5" customHeight="1">
      <c r="A50" s="4270"/>
      <c r="B50" s="4263"/>
      <c r="C50" s="2733" t="s">
        <v>2489</v>
      </c>
      <c r="D50" s="2734"/>
      <c r="E50" s="2735">
        <v>1</v>
      </c>
      <c r="F50" s="2732" t="s">
        <v>2490</v>
      </c>
      <c r="G50" s="2732"/>
    </row>
    <row r="51" spans="1:7" ht="19.5" customHeight="1" thickBot="1">
      <c r="A51" s="4271"/>
      <c r="B51" s="4264"/>
      <c r="C51" s="2736" t="s">
        <v>2491</v>
      </c>
      <c r="D51" s="2737"/>
      <c r="E51" s="2738">
        <v>1</v>
      </c>
      <c r="F51" s="2732" t="s">
        <v>2492</v>
      </c>
      <c r="G51" s="2732"/>
    </row>
    <row r="52" spans="1:7" ht="19.5" customHeight="1">
      <c r="A52" s="2745"/>
      <c r="B52" s="2745"/>
      <c r="C52" s="2745"/>
      <c r="D52" s="2745"/>
      <c r="E52" s="2745"/>
      <c r="F52" s="2745"/>
      <c r="G52" s="2745"/>
    </row>
    <row r="54" spans="1:7" ht="19.5" customHeight="1">
      <c r="A54" s="2746"/>
      <c r="B54" s="2718" t="s">
        <v>2631</v>
      </c>
      <c r="C54" s="2718" t="s">
        <v>2631</v>
      </c>
      <c r="D54" s="2718" t="s">
        <v>2631</v>
      </c>
      <c r="E54" s="2721" t="s">
        <v>2631</v>
      </c>
      <c r="F54" s="2721" t="s">
        <v>2632</v>
      </c>
      <c r="G54" s="2721" t="s">
        <v>2633</v>
      </c>
    </row>
    <row r="55" spans="1:7" ht="19.5" customHeight="1">
      <c r="A55" s="2747"/>
      <c r="B55" s="2721" t="s">
        <v>2600</v>
      </c>
      <c r="C55" s="2721" t="s">
        <v>2600</v>
      </c>
      <c r="D55" s="2721" t="s">
        <v>2600</v>
      </c>
      <c r="E55" s="2718" t="s">
        <v>2601</v>
      </c>
      <c r="F55" s="2718" t="s">
        <v>2603</v>
      </c>
      <c r="G55" s="2718" t="s">
        <v>2634</v>
      </c>
    </row>
    <row r="56" spans="1:7" ht="19.5" customHeight="1">
      <c r="A56" s="2748"/>
      <c r="B56" s="2718">
        <v>1</v>
      </c>
      <c r="C56" s="2718">
        <v>2</v>
      </c>
      <c r="D56" s="2718">
        <v>3</v>
      </c>
      <c r="E56" s="2749" t="s">
        <v>2635</v>
      </c>
      <c r="F56" s="2749" t="s">
        <v>2635</v>
      </c>
      <c r="G56" s="2749" t="s">
        <v>2635</v>
      </c>
    </row>
    <row r="57" spans="1:7" ht="19.5" customHeight="1">
      <c r="A57" s="2750" t="s">
        <v>2588</v>
      </c>
      <c r="B57" s="2718">
        <v>0.7</v>
      </c>
      <c r="C57" s="2718">
        <v>0.4</v>
      </c>
      <c r="D57" s="2718">
        <v>0.3</v>
      </c>
      <c r="E57" s="2749">
        <v>0.3</v>
      </c>
      <c r="F57" s="2718">
        <v>0.3</v>
      </c>
      <c r="G57" s="2718">
        <v>0.2</v>
      </c>
    </row>
    <row r="58" spans="1:7" ht="19.5" customHeight="1">
      <c r="A58" s="2750" t="s">
        <v>2589</v>
      </c>
      <c r="B58" s="2718">
        <v>0.7</v>
      </c>
      <c r="C58" s="2718">
        <v>0.4</v>
      </c>
      <c r="D58" s="2718">
        <v>0.3</v>
      </c>
      <c r="E58" s="2718">
        <v>0.3</v>
      </c>
      <c r="F58" s="2718">
        <v>0.3</v>
      </c>
      <c r="G58" s="2718">
        <v>0.2</v>
      </c>
    </row>
    <row r="59" spans="1:7" ht="19.5" customHeight="1">
      <c r="A59" s="2750" t="s">
        <v>2590</v>
      </c>
      <c r="B59" s="2718">
        <v>0.6</v>
      </c>
      <c r="C59" s="2718">
        <v>0.3</v>
      </c>
      <c r="D59" s="2718">
        <v>0.25</v>
      </c>
      <c r="E59" s="2718">
        <v>0.25</v>
      </c>
      <c r="F59" s="2718">
        <v>0.25</v>
      </c>
      <c r="G59" s="2718">
        <v>0.15</v>
      </c>
    </row>
    <row r="60" spans="1:7" ht="19.5" customHeight="1">
      <c r="A60" s="2750" t="s">
        <v>2591</v>
      </c>
      <c r="B60" s="2718">
        <v>0.6</v>
      </c>
      <c r="C60" s="2718">
        <v>0.3</v>
      </c>
      <c r="D60" s="2718">
        <v>0.25</v>
      </c>
      <c r="E60" s="2718">
        <v>0.25</v>
      </c>
      <c r="F60" s="2718">
        <v>0.25</v>
      </c>
      <c r="G60" s="2718">
        <v>0.15</v>
      </c>
    </row>
    <row r="61" spans="1:7" ht="19.5" customHeight="1">
      <c r="A61" s="2750" t="s">
        <v>2592</v>
      </c>
      <c r="B61" s="2718">
        <v>0.6</v>
      </c>
      <c r="C61" s="2718">
        <v>0.3</v>
      </c>
      <c r="D61" s="2718">
        <v>0.25</v>
      </c>
      <c r="E61" s="2718">
        <v>0.25</v>
      </c>
      <c r="F61" s="2718">
        <v>0.25</v>
      </c>
      <c r="G61" s="2718">
        <v>0.15</v>
      </c>
    </row>
    <row r="62" spans="1:7" ht="19.5" customHeight="1">
      <c r="A62" s="2750" t="s">
        <v>2593</v>
      </c>
      <c r="B62" s="2718">
        <v>0.6</v>
      </c>
      <c r="C62" s="2718">
        <v>0.3</v>
      </c>
      <c r="D62" s="2718">
        <v>0.25</v>
      </c>
      <c r="E62" s="2718">
        <v>0.25</v>
      </c>
      <c r="F62" s="2718">
        <v>0.25</v>
      </c>
      <c r="G62" s="2718">
        <v>0.15</v>
      </c>
    </row>
    <row r="63" spans="1:7" ht="19.5" customHeight="1">
      <c r="A63" s="2750" t="s">
        <v>2594</v>
      </c>
      <c r="B63" s="2718">
        <v>0.6</v>
      </c>
      <c r="C63" s="2718">
        <v>0.3</v>
      </c>
      <c r="D63" s="2718">
        <v>0.25</v>
      </c>
      <c r="E63" s="2718">
        <v>0.25</v>
      </c>
      <c r="F63" s="2718">
        <v>0.25</v>
      </c>
      <c r="G63" s="2718">
        <v>0.15</v>
      </c>
    </row>
    <row r="64" spans="1:7" ht="19.5" customHeight="1">
      <c r="A64" s="2750" t="s">
        <v>2595</v>
      </c>
      <c r="B64" s="2718">
        <v>0.5</v>
      </c>
      <c r="C64" s="2718">
        <v>0.2</v>
      </c>
      <c r="D64" s="2718">
        <v>0.2</v>
      </c>
      <c r="E64" s="2718">
        <v>0.2</v>
      </c>
      <c r="F64" s="2718">
        <v>0.2</v>
      </c>
      <c r="G64" s="2718">
        <v>0.1</v>
      </c>
    </row>
    <row r="65" spans="1:7" ht="19.5" customHeight="1">
      <c r="A65" s="2750" t="s">
        <v>2596</v>
      </c>
      <c r="B65" s="2718">
        <v>0.5</v>
      </c>
      <c r="C65" s="2718">
        <v>0.2</v>
      </c>
      <c r="D65" s="2718">
        <v>0.2</v>
      </c>
      <c r="E65" s="2718">
        <v>0.2</v>
      </c>
      <c r="F65" s="2718">
        <v>0.2</v>
      </c>
      <c r="G65" s="2718">
        <v>0.1</v>
      </c>
    </row>
    <row r="66" spans="1:7" ht="19.5" customHeight="1">
      <c r="A66" s="2750" t="s">
        <v>2597</v>
      </c>
      <c r="B66" s="2718">
        <v>0.5</v>
      </c>
      <c r="C66" s="2718">
        <v>0.2</v>
      </c>
      <c r="D66" s="2718">
        <v>0.2</v>
      </c>
      <c r="E66" s="2718">
        <v>0.2</v>
      </c>
      <c r="F66" s="2718">
        <v>0.2</v>
      </c>
      <c r="G66" s="2718">
        <v>0.1</v>
      </c>
    </row>
    <row r="67" spans="1:7" ht="19.5" customHeight="1">
      <c r="A67" s="2750" t="s">
        <v>2598</v>
      </c>
      <c r="B67" s="2718">
        <v>0.5</v>
      </c>
      <c r="C67" s="2718">
        <v>0.2</v>
      </c>
      <c r="D67" s="2718">
        <v>0.2</v>
      </c>
      <c r="E67" s="2718">
        <v>0.2</v>
      </c>
      <c r="F67" s="2718">
        <v>0.2</v>
      </c>
      <c r="G67" s="2718">
        <v>0.1</v>
      </c>
    </row>
    <row r="68" spans="1:7" ht="19.5" customHeight="1">
      <c r="A68" s="2750" t="s">
        <v>2599</v>
      </c>
      <c r="B68" s="2718">
        <v>0.5</v>
      </c>
      <c r="C68" s="2718">
        <v>0.2</v>
      </c>
      <c r="D68" s="2718">
        <v>0.2</v>
      </c>
      <c r="E68" s="2718">
        <v>0.2</v>
      </c>
      <c r="F68" s="2718">
        <v>0.2</v>
      </c>
      <c r="G68" s="2718">
        <v>0.1</v>
      </c>
    </row>
    <row r="70" spans="1:7" ht="19.5" customHeight="1">
      <c r="A70" s="2751"/>
      <c r="B70" s="2752"/>
      <c r="C70" s="2752"/>
      <c r="D70" s="2752" t="s">
        <v>2636</v>
      </c>
      <c r="E70" s="2752"/>
      <c r="F70" s="2752"/>
    </row>
    <row r="71" spans="1:7" ht="19.5" customHeight="1">
      <c r="A71" s="2744" t="s">
        <v>2637</v>
      </c>
      <c r="B71" s="2744" t="s">
        <v>2638</v>
      </c>
      <c r="C71" s="2744" t="s">
        <v>2639</v>
      </c>
      <c r="D71" s="2744" t="s">
        <v>2640</v>
      </c>
      <c r="E71" s="2744" t="s">
        <v>2641</v>
      </c>
      <c r="F71" s="2744" t="s">
        <v>2642</v>
      </c>
    </row>
    <row r="72" spans="1:7" ht="13.5">
      <c r="A72" s="2744"/>
      <c r="B72" s="2744"/>
      <c r="C72" s="2744" t="s">
        <v>2643</v>
      </c>
      <c r="D72" s="2744"/>
      <c r="E72" s="2744" t="s">
        <v>2614</v>
      </c>
      <c r="F72" s="2744" t="s">
        <v>2614</v>
      </c>
    </row>
    <row r="73" spans="1:7" ht="13.5">
      <c r="A73" s="2744">
        <v>1</v>
      </c>
      <c r="B73" s="4268" t="s">
        <v>2644</v>
      </c>
      <c r="C73" s="2718" t="s">
        <v>2645</v>
      </c>
      <c r="D73" s="2718" t="s">
        <v>2646</v>
      </c>
      <c r="E73" s="2744">
        <v>0.2</v>
      </c>
      <c r="F73" s="2744">
        <v>25</v>
      </c>
    </row>
    <row r="74" spans="1:7" ht="24">
      <c r="A74" s="2744">
        <v>2</v>
      </c>
      <c r="B74" s="4263"/>
      <c r="C74" s="2718" t="s">
        <v>2647</v>
      </c>
      <c r="D74" s="2718" t="s">
        <v>2648</v>
      </c>
      <c r="E74" s="2744">
        <v>0.2</v>
      </c>
      <c r="F74" s="2744">
        <v>25</v>
      </c>
    </row>
    <row r="75" spans="1:7" ht="24">
      <c r="A75" s="2744">
        <v>3</v>
      </c>
      <c r="B75" s="4263"/>
      <c r="C75" s="2718" t="s">
        <v>2649</v>
      </c>
      <c r="D75" s="2718" t="s">
        <v>2650</v>
      </c>
      <c r="E75" s="2744">
        <v>0.2</v>
      </c>
      <c r="F75" s="2744">
        <v>25</v>
      </c>
    </row>
    <row r="76" spans="1:7" ht="13.5">
      <c r="A76" s="2744">
        <v>4</v>
      </c>
      <c r="B76" s="4263"/>
      <c r="C76" s="2718" t="s">
        <v>2651</v>
      </c>
      <c r="D76" s="2718" t="s">
        <v>2652</v>
      </c>
      <c r="E76" s="2744">
        <v>0.15</v>
      </c>
      <c r="F76" s="2744">
        <v>20</v>
      </c>
    </row>
    <row r="77" spans="1:7" ht="24">
      <c r="A77" s="2744">
        <v>5</v>
      </c>
      <c r="B77" s="4263"/>
      <c r="C77" s="2718" t="s">
        <v>2653</v>
      </c>
      <c r="D77" s="2718" t="s">
        <v>2654</v>
      </c>
      <c r="E77" s="2744">
        <v>0.15</v>
      </c>
      <c r="F77" s="2744">
        <v>20</v>
      </c>
    </row>
    <row r="78" spans="1:7" ht="24">
      <c r="A78" s="2744">
        <v>6</v>
      </c>
      <c r="B78" s="4263"/>
      <c r="C78" s="2718" t="s">
        <v>2655</v>
      </c>
      <c r="D78" s="2718" t="s">
        <v>2656</v>
      </c>
      <c r="E78" s="2744">
        <v>0.15</v>
      </c>
      <c r="F78" s="2744">
        <v>20</v>
      </c>
    </row>
    <row r="79" spans="1:7" ht="24">
      <c r="A79" s="2744">
        <v>7</v>
      </c>
      <c r="B79" s="4263"/>
      <c r="C79" s="2718" t="s">
        <v>2657</v>
      </c>
      <c r="D79" s="2718" t="s">
        <v>2658</v>
      </c>
      <c r="E79" s="2744">
        <v>0.15</v>
      </c>
      <c r="F79" s="2744">
        <v>20</v>
      </c>
    </row>
    <row r="80" spans="1:7" ht="24">
      <c r="A80" s="2744">
        <v>8</v>
      </c>
      <c r="B80" s="4263"/>
      <c r="C80" s="2718" t="s">
        <v>2659</v>
      </c>
      <c r="D80" s="2718" t="s">
        <v>2660</v>
      </c>
      <c r="E80" s="2744">
        <v>0.1</v>
      </c>
      <c r="F80" s="2744">
        <v>15</v>
      </c>
    </row>
    <row r="81" spans="1:6" ht="24">
      <c r="A81" s="2744">
        <v>9</v>
      </c>
      <c r="B81" s="4263"/>
      <c r="C81" s="2718" t="s">
        <v>2661</v>
      </c>
      <c r="D81" s="2718" t="s">
        <v>2662</v>
      </c>
      <c r="E81" s="2744">
        <v>0.1</v>
      </c>
      <c r="F81" s="2744">
        <v>15</v>
      </c>
    </row>
    <row r="82" spans="1:6" ht="24">
      <c r="A82" s="2744">
        <v>10</v>
      </c>
      <c r="B82" s="4263"/>
      <c r="C82" s="2718" t="s">
        <v>2663</v>
      </c>
      <c r="D82" s="2718" t="s">
        <v>2664</v>
      </c>
      <c r="E82" s="2744">
        <v>0.1</v>
      </c>
      <c r="F82" s="2744">
        <v>15</v>
      </c>
    </row>
    <row r="83" spans="1:6" ht="24">
      <c r="A83" s="2744">
        <v>11</v>
      </c>
      <c r="B83" s="4263"/>
      <c r="C83" s="2718" t="s">
        <v>2665</v>
      </c>
      <c r="D83" s="2718" t="s">
        <v>2666</v>
      </c>
      <c r="E83" s="2744">
        <v>0.1</v>
      </c>
      <c r="F83" s="2744">
        <v>15</v>
      </c>
    </row>
    <row r="84" spans="1:6" ht="24">
      <c r="A84" s="2744">
        <v>12</v>
      </c>
      <c r="B84" s="4263"/>
      <c r="C84" s="2718" t="s">
        <v>2667</v>
      </c>
      <c r="D84" s="2718" t="s">
        <v>2668</v>
      </c>
      <c r="E84" s="2744">
        <v>0.1</v>
      </c>
      <c r="F84" s="2744">
        <v>15</v>
      </c>
    </row>
    <row r="85" spans="1:6" ht="13.5">
      <c r="A85" s="2744">
        <v>13</v>
      </c>
      <c r="B85" s="4263"/>
      <c r="C85" s="2718" t="s">
        <v>2669</v>
      </c>
      <c r="D85" s="2718" t="s">
        <v>2670</v>
      </c>
      <c r="E85" s="2744">
        <v>0.1</v>
      </c>
      <c r="F85" s="2744">
        <v>15</v>
      </c>
    </row>
    <row r="86" spans="1:6" ht="13.5">
      <c r="A86" s="2744">
        <v>14</v>
      </c>
      <c r="B86" s="4263"/>
      <c r="C86" s="2718" t="s">
        <v>2671</v>
      </c>
      <c r="D86" s="2718" t="s">
        <v>2672</v>
      </c>
      <c r="E86" s="2744">
        <v>0.1</v>
      </c>
      <c r="F86" s="2744">
        <v>15</v>
      </c>
    </row>
    <row r="87" spans="1:6" ht="13.5">
      <c r="A87" s="2744">
        <v>15</v>
      </c>
      <c r="B87" s="4263"/>
      <c r="C87" s="2718" t="s">
        <v>2673</v>
      </c>
      <c r="D87" s="2718" t="s">
        <v>2674</v>
      </c>
      <c r="E87" s="2744">
        <v>0.1</v>
      </c>
      <c r="F87" s="2744">
        <v>15</v>
      </c>
    </row>
    <row r="88" spans="1:6" ht="24">
      <c r="A88" s="2744">
        <v>16</v>
      </c>
      <c r="B88" s="4263"/>
      <c r="C88" s="2718" t="s">
        <v>2675</v>
      </c>
      <c r="D88" s="2718" t="s">
        <v>2676</v>
      </c>
      <c r="E88" s="2744">
        <v>0.1</v>
      </c>
      <c r="F88" s="2744">
        <v>15</v>
      </c>
    </row>
    <row r="89" spans="1:6" ht="24">
      <c r="A89" s="2744">
        <v>17</v>
      </c>
      <c r="B89" s="4272"/>
      <c r="C89" s="2718" t="s">
        <v>2677</v>
      </c>
      <c r="D89" s="2718" t="s">
        <v>2678</v>
      </c>
      <c r="E89" s="2744">
        <v>0.1</v>
      </c>
      <c r="F89" s="2744">
        <v>15</v>
      </c>
    </row>
    <row r="90" spans="1:6" ht="13.5">
      <c r="A90" s="2744">
        <v>18</v>
      </c>
      <c r="B90" s="4268" t="s">
        <v>2679</v>
      </c>
      <c r="C90" s="2718" t="s">
        <v>2680</v>
      </c>
      <c r="D90" s="2718" t="s">
        <v>2681</v>
      </c>
      <c r="E90" s="2744">
        <v>0.2</v>
      </c>
      <c r="F90" s="2744">
        <v>25</v>
      </c>
    </row>
    <row r="91" spans="1:6" ht="24">
      <c r="A91" s="2744">
        <v>19</v>
      </c>
      <c r="B91" s="4263"/>
      <c r="C91" s="2718" t="s">
        <v>2682</v>
      </c>
      <c r="D91" s="2718" t="s">
        <v>2683</v>
      </c>
      <c r="E91" s="2744">
        <v>0.2</v>
      </c>
      <c r="F91" s="2744">
        <v>25</v>
      </c>
    </row>
    <row r="92" spans="1:6" ht="13.5">
      <c r="A92" s="2744">
        <v>20</v>
      </c>
      <c r="B92" s="4263"/>
      <c r="C92" s="2718" t="s">
        <v>2684</v>
      </c>
      <c r="D92" s="2718" t="s">
        <v>2685</v>
      </c>
      <c r="E92" s="2744">
        <v>0.15</v>
      </c>
      <c r="F92" s="2744">
        <v>20</v>
      </c>
    </row>
    <row r="93" spans="1:6" ht="13.5">
      <c r="A93" s="2744">
        <v>21</v>
      </c>
      <c r="B93" s="4263"/>
      <c r="C93" s="2718" t="s">
        <v>2686</v>
      </c>
      <c r="D93" s="2718" t="s">
        <v>2687</v>
      </c>
      <c r="E93" s="2744">
        <v>0.15</v>
      </c>
      <c r="F93" s="2744">
        <v>20</v>
      </c>
    </row>
    <row r="94" spans="1:6" ht="13.5">
      <c r="A94" s="2744">
        <v>22</v>
      </c>
      <c r="B94" s="4263"/>
      <c r="C94" s="2718" t="s">
        <v>2688</v>
      </c>
      <c r="D94" s="2718" t="s">
        <v>2689</v>
      </c>
      <c r="E94" s="2744">
        <v>0.15</v>
      </c>
      <c r="F94" s="2744">
        <v>20</v>
      </c>
    </row>
    <row r="95" spans="1:6" ht="36">
      <c r="A95" s="2744">
        <v>23</v>
      </c>
      <c r="B95" s="4263"/>
      <c r="C95" s="2718" t="s">
        <v>2690</v>
      </c>
      <c r="D95" s="2718" t="s">
        <v>2691</v>
      </c>
      <c r="E95" s="2744">
        <v>0.15</v>
      </c>
      <c r="F95" s="2744">
        <v>20</v>
      </c>
    </row>
    <row r="96" spans="1:6" ht="13.5">
      <c r="A96" s="2744">
        <v>24</v>
      </c>
      <c r="B96" s="4263"/>
      <c r="C96" s="2718" t="s">
        <v>2692</v>
      </c>
      <c r="D96" s="2718" t="s">
        <v>2693</v>
      </c>
      <c r="E96" s="2744">
        <v>0.1</v>
      </c>
      <c r="F96" s="2744">
        <v>15</v>
      </c>
    </row>
    <row r="97" spans="1:6" ht="13.5">
      <c r="A97" s="2744">
        <v>25</v>
      </c>
      <c r="B97" s="4263"/>
      <c r="C97" s="2718" t="s">
        <v>2694</v>
      </c>
      <c r="D97" s="2718" t="s">
        <v>2695</v>
      </c>
      <c r="E97" s="2744">
        <v>0.1</v>
      </c>
      <c r="F97" s="2744">
        <v>15</v>
      </c>
    </row>
    <row r="98" spans="1:6" ht="24">
      <c r="A98" s="2744">
        <v>26</v>
      </c>
      <c r="B98" s="4263"/>
      <c r="C98" s="2718" t="s">
        <v>2696</v>
      </c>
      <c r="D98" s="2718" t="s">
        <v>2697</v>
      </c>
      <c r="E98" s="2744">
        <v>0.1</v>
      </c>
      <c r="F98" s="2744">
        <v>15</v>
      </c>
    </row>
    <row r="99" spans="1:6" ht="24">
      <c r="A99" s="2744">
        <v>27</v>
      </c>
      <c r="B99" s="4263"/>
      <c r="C99" s="2718" t="s">
        <v>2698</v>
      </c>
      <c r="D99" s="2718" t="s">
        <v>2699</v>
      </c>
      <c r="E99" s="2744">
        <v>0.1</v>
      </c>
      <c r="F99" s="2744">
        <v>15</v>
      </c>
    </row>
    <row r="100" spans="1:6" ht="13.5">
      <c r="A100" s="2744">
        <v>28</v>
      </c>
      <c r="B100" s="4263"/>
      <c r="C100" s="2718" t="s">
        <v>2700</v>
      </c>
      <c r="D100" s="2718" t="s">
        <v>2701</v>
      </c>
      <c r="E100" s="2744">
        <v>0.1</v>
      </c>
      <c r="F100" s="2744">
        <v>15</v>
      </c>
    </row>
    <row r="101" spans="1:6" ht="13.5">
      <c r="A101" s="2744">
        <v>29</v>
      </c>
      <c r="B101" s="4263"/>
      <c r="C101" s="2718" t="s">
        <v>2702</v>
      </c>
      <c r="D101" s="2718" t="s">
        <v>2703</v>
      </c>
      <c r="E101" s="2744">
        <v>0.1</v>
      </c>
      <c r="F101" s="2744">
        <v>15</v>
      </c>
    </row>
    <row r="102" spans="1:6" ht="13.5">
      <c r="A102" s="2744">
        <v>30</v>
      </c>
      <c r="B102" s="4263"/>
      <c r="C102" s="2718" t="s">
        <v>2704</v>
      </c>
      <c r="D102" s="2718" t="s">
        <v>2705</v>
      </c>
      <c r="E102" s="2744">
        <v>0.1</v>
      </c>
      <c r="F102" s="2744">
        <v>15</v>
      </c>
    </row>
    <row r="103" spans="1:6" ht="24">
      <c r="A103" s="2744">
        <v>31</v>
      </c>
      <c r="B103" s="4263"/>
      <c r="C103" s="2718" t="s">
        <v>2706</v>
      </c>
      <c r="D103" s="2718" t="s">
        <v>2707</v>
      </c>
      <c r="E103" s="2744">
        <v>0.1</v>
      </c>
      <c r="F103" s="2744">
        <v>15</v>
      </c>
    </row>
    <row r="104" spans="1:6" ht="24">
      <c r="A104" s="2744">
        <v>32</v>
      </c>
      <c r="B104" s="4263"/>
      <c r="C104" s="2718" t="s">
        <v>2708</v>
      </c>
      <c r="D104" s="2718" t="s">
        <v>2709</v>
      </c>
      <c r="E104" s="2744">
        <v>0.1</v>
      </c>
      <c r="F104" s="2744">
        <v>15</v>
      </c>
    </row>
    <row r="105" spans="1:6" ht="24">
      <c r="A105" s="2744">
        <v>33</v>
      </c>
      <c r="B105" s="4263"/>
      <c r="C105" s="2718" t="s">
        <v>2710</v>
      </c>
      <c r="D105" s="2718" t="s">
        <v>2711</v>
      </c>
      <c r="E105" s="2744">
        <v>0.1</v>
      </c>
      <c r="F105" s="2744">
        <v>15</v>
      </c>
    </row>
    <row r="106" spans="1:6" ht="24">
      <c r="A106" s="2744">
        <v>34</v>
      </c>
      <c r="B106" s="4272"/>
      <c r="C106" s="2718" t="s">
        <v>2712</v>
      </c>
      <c r="D106" s="2718" t="s">
        <v>2713</v>
      </c>
      <c r="E106" s="2744">
        <v>0.1</v>
      </c>
      <c r="F106" s="2744">
        <v>15</v>
      </c>
    </row>
    <row r="107" spans="1:6" ht="24">
      <c r="A107" s="2744">
        <v>35</v>
      </c>
      <c r="B107" s="4268" t="s">
        <v>2714</v>
      </c>
      <c r="C107" s="2744" t="s">
        <v>2715</v>
      </c>
      <c r="D107" s="2718" t="s">
        <v>2716</v>
      </c>
      <c r="E107" s="2744">
        <v>0.15</v>
      </c>
      <c r="F107" s="2744">
        <v>20</v>
      </c>
    </row>
    <row r="108" spans="1:6" ht="13.5">
      <c r="A108" s="2744">
        <v>36</v>
      </c>
      <c r="B108" s="4263"/>
      <c r="C108" s="2744" t="s">
        <v>2717</v>
      </c>
      <c r="D108" s="2718" t="s">
        <v>2718</v>
      </c>
      <c r="E108" s="2744">
        <v>0.15</v>
      </c>
      <c r="F108" s="2744">
        <v>20</v>
      </c>
    </row>
    <row r="109" spans="1:6" ht="13.5">
      <c r="A109" s="2744">
        <v>37</v>
      </c>
      <c r="B109" s="4263"/>
      <c r="C109" s="2744" t="s">
        <v>2719</v>
      </c>
      <c r="D109" s="2718" t="s">
        <v>2720</v>
      </c>
      <c r="E109" s="2744">
        <v>0.15</v>
      </c>
      <c r="F109" s="2744">
        <v>20</v>
      </c>
    </row>
    <row r="110" spans="1:6" ht="13.5">
      <c r="A110" s="2744">
        <v>38</v>
      </c>
      <c r="B110" s="4263"/>
      <c r="C110" s="2744" t="s">
        <v>2721</v>
      </c>
      <c r="D110" s="2718" t="s">
        <v>2722</v>
      </c>
      <c r="E110" s="2744">
        <v>0.1</v>
      </c>
      <c r="F110" s="2744">
        <v>15</v>
      </c>
    </row>
    <row r="111" spans="1:6" ht="24">
      <c r="A111" s="2744">
        <v>39</v>
      </c>
      <c r="B111" s="4263"/>
      <c r="C111" s="2744" t="s">
        <v>2723</v>
      </c>
      <c r="D111" s="2718" t="s">
        <v>2724</v>
      </c>
      <c r="E111" s="2744">
        <v>0.1</v>
      </c>
      <c r="F111" s="2744">
        <v>15</v>
      </c>
    </row>
    <row r="112" spans="1:6" ht="24">
      <c r="A112" s="2744">
        <v>40</v>
      </c>
      <c r="B112" s="4272"/>
      <c r="C112" s="2744" t="s">
        <v>2725</v>
      </c>
      <c r="D112" s="2718" t="s">
        <v>2726</v>
      </c>
      <c r="E112" s="2744">
        <v>0.1</v>
      </c>
      <c r="F112" s="2744">
        <v>15</v>
      </c>
    </row>
    <row r="113" spans="1:6" ht="13.5">
      <c r="A113" s="2744">
        <v>41</v>
      </c>
      <c r="B113" s="4273" t="s">
        <v>2727</v>
      </c>
      <c r="C113" s="2744" t="s">
        <v>2728</v>
      </c>
      <c r="D113" s="2718" t="s">
        <v>2729</v>
      </c>
      <c r="E113" s="2744">
        <v>0.1</v>
      </c>
      <c r="F113" s="2744">
        <v>15</v>
      </c>
    </row>
    <row r="114" spans="1:6" ht="13.5">
      <c r="A114" s="2744">
        <v>42</v>
      </c>
      <c r="B114" s="4273"/>
      <c r="C114" s="2744" t="s">
        <v>2730</v>
      </c>
      <c r="D114" s="2718" t="s">
        <v>2731</v>
      </c>
      <c r="E114" s="2744">
        <v>0.1</v>
      </c>
      <c r="F114" s="2744">
        <v>15</v>
      </c>
    </row>
    <row r="115" spans="1:6" ht="24">
      <c r="A115" s="2744">
        <v>43</v>
      </c>
      <c r="B115" s="4273"/>
      <c r="C115" s="2744" t="s">
        <v>2732</v>
      </c>
      <c r="D115" s="2718" t="s">
        <v>2733</v>
      </c>
      <c r="E115" s="2744">
        <v>0.1</v>
      </c>
      <c r="F115" s="2744">
        <v>15</v>
      </c>
    </row>
    <row r="116" spans="1:6" ht="13.5">
      <c r="A116" s="2744">
        <v>44</v>
      </c>
      <c r="B116" s="4268" t="s">
        <v>2734</v>
      </c>
      <c r="C116" s="2744" t="s">
        <v>2735</v>
      </c>
      <c r="D116" s="2718" t="s">
        <v>2736</v>
      </c>
      <c r="E116" s="2744">
        <v>0.1</v>
      </c>
      <c r="F116" s="2744">
        <v>15</v>
      </c>
    </row>
    <row r="117" spans="1:6" ht="24">
      <c r="A117" s="2744">
        <v>45</v>
      </c>
      <c r="B117" s="4272"/>
      <c r="C117" s="2718" t="s">
        <v>2737</v>
      </c>
      <c r="D117" s="2718" t="s">
        <v>2738</v>
      </c>
      <c r="E117" s="2744">
        <v>0.1</v>
      </c>
      <c r="F117" s="2744">
        <v>15</v>
      </c>
    </row>
    <row r="118" spans="1:6" ht="24">
      <c r="A118" s="2744">
        <v>46</v>
      </c>
      <c r="B118" s="4268" t="s">
        <v>2739</v>
      </c>
      <c r="C118" s="2744" t="s">
        <v>2740</v>
      </c>
      <c r="D118" s="2718" t="s">
        <v>2741</v>
      </c>
      <c r="E118" s="2744">
        <v>0.1</v>
      </c>
      <c r="F118" s="2744">
        <v>15</v>
      </c>
    </row>
    <row r="119" spans="1:6" ht="24">
      <c r="A119" s="2744">
        <v>47</v>
      </c>
      <c r="B119" s="4272"/>
      <c r="C119" s="2744" t="s">
        <v>2742</v>
      </c>
      <c r="D119" s="2718" t="s">
        <v>2743</v>
      </c>
      <c r="E119" s="2744">
        <v>0.1</v>
      </c>
      <c r="F119" s="2744">
        <v>15</v>
      </c>
    </row>
    <row r="120" spans="1:6" ht="13.5">
      <c r="A120" s="2744">
        <v>48</v>
      </c>
      <c r="B120" s="4268" t="s">
        <v>2744</v>
      </c>
      <c r="C120" s="2744" t="s">
        <v>2745</v>
      </c>
      <c r="D120" s="2718" t="s">
        <v>2746</v>
      </c>
      <c r="E120" s="2744">
        <v>0.1</v>
      </c>
      <c r="F120" s="2744">
        <v>15</v>
      </c>
    </row>
    <row r="121" spans="1:6" ht="13.5">
      <c r="A121" s="2744">
        <v>49</v>
      </c>
      <c r="B121" s="4272"/>
      <c r="C121" s="2744" t="s">
        <v>2747</v>
      </c>
      <c r="D121" s="2718" t="s">
        <v>2748</v>
      </c>
      <c r="E121" s="2744">
        <v>0.1</v>
      </c>
      <c r="F121" s="2744">
        <v>15</v>
      </c>
    </row>
    <row r="122" spans="1:6" ht="24">
      <c r="A122" s="2744">
        <v>50</v>
      </c>
      <c r="B122" s="4273" t="s">
        <v>2749</v>
      </c>
      <c r="C122" s="2744" t="s">
        <v>2750</v>
      </c>
      <c r="D122" s="2718" t="s">
        <v>2751</v>
      </c>
      <c r="E122" s="2744">
        <v>0.1</v>
      </c>
      <c r="F122" s="2744">
        <v>15</v>
      </c>
    </row>
    <row r="123" spans="1:6" ht="24">
      <c r="A123" s="2744">
        <v>51</v>
      </c>
      <c r="B123" s="4273"/>
      <c r="C123" s="2744" t="s">
        <v>2752</v>
      </c>
      <c r="D123" s="2718" t="s">
        <v>2753</v>
      </c>
      <c r="E123" s="2744">
        <v>0.1</v>
      </c>
      <c r="F123" s="2744">
        <v>15</v>
      </c>
    </row>
    <row r="124" spans="1:6" ht="24">
      <c r="A124" s="2744">
        <v>52</v>
      </c>
      <c r="B124" s="4273" t="s">
        <v>2754</v>
      </c>
      <c r="C124" s="2744" t="s">
        <v>2755</v>
      </c>
      <c r="D124" s="2718" t="s">
        <v>2756</v>
      </c>
      <c r="E124" s="2744">
        <v>0.1</v>
      </c>
      <c r="F124" s="2744">
        <v>15</v>
      </c>
    </row>
    <row r="125" spans="1:6" ht="24">
      <c r="A125" s="2744">
        <v>53</v>
      </c>
      <c r="B125" s="4273"/>
      <c r="C125" s="2744" t="s">
        <v>2757</v>
      </c>
      <c r="D125" s="2718" t="s">
        <v>2758</v>
      </c>
      <c r="E125" s="2744">
        <v>0.1</v>
      </c>
      <c r="F125" s="2744">
        <v>15</v>
      </c>
    </row>
    <row r="126" spans="1:6" ht="13.5">
      <c r="A126" s="2744">
        <v>54</v>
      </c>
      <c r="B126" s="2744" t="s">
        <v>2759</v>
      </c>
      <c r="C126" s="2744" t="s">
        <v>2760</v>
      </c>
      <c r="D126" s="2718" t="s">
        <v>2761</v>
      </c>
      <c r="E126" s="2744">
        <v>0.1</v>
      </c>
      <c r="F126" s="2744">
        <v>15</v>
      </c>
    </row>
    <row r="127" spans="1:6" ht="13.5">
      <c r="A127" s="2744">
        <v>55</v>
      </c>
      <c r="B127" s="4273" t="s">
        <v>2762</v>
      </c>
      <c r="C127" s="2744" t="s">
        <v>2763</v>
      </c>
      <c r="D127" s="2718" t="s">
        <v>2764</v>
      </c>
      <c r="E127" s="2744">
        <v>0.1</v>
      </c>
      <c r="F127" s="2744">
        <v>15</v>
      </c>
    </row>
    <row r="128" spans="1:6" ht="13.5">
      <c r="A128" s="2744">
        <v>56</v>
      </c>
      <c r="B128" s="4273"/>
      <c r="C128" s="2744" t="s">
        <v>2765</v>
      </c>
      <c r="D128" s="2718" t="s">
        <v>2766</v>
      </c>
      <c r="E128" s="2744">
        <v>0.1</v>
      </c>
      <c r="F128" s="2744">
        <v>15</v>
      </c>
    </row>
    <row r="129" spans="1:6" ht="24">
      <c r="A129" s="2744">
        <v>57</v>
      </c>
      <c r="B129" s="4273"/>
      <c r="C129" s="2744" t="s">
        <v>2767</v>
      </c>
      <c r="D129" s="2718" t="s">
        <v>2768</v>
      </c>
      <c r="E129" s="2744">
        <v>0.1</v>
      </c>
      <c r="F129" s="2744">
        <v>15</v>
      </c>
    </row>
    <row r="130" spans="1:6" ht="24">
      <c r="A130" s="2744">
        <v>58</v>
      </c>
      <c r="B130" s="4273" t="s">
        <v>2769</v>
      </c>
      <c r="C130" s="2744" t="s">
        <v>2770</v>
      </c>
      <c r="D130" s="2718" t="s">
        <v>2771</v>
      </c>
      <c r="E130" s="2744">
        <v>0.1</v>
      </c>
      <c r="F130" s="2744">
        <v>15</v>
      </c>
    </row>
    <row r="131" spans="1:6" ht="13.5">
      <c r="A131" s="2744">
        <v>59</v>
      </c>
      <c r="B131" s="4273"/>
      <c r="C131" s="2744" t="s">
        <v>2772</v>
      </c>
      <c r="D131" s="2718" t="s">
        <v>2773</v>
      </c>
      <c r="E131" s="2744">
        <v>0.1</v>
      </c>
      <c r="F131" s="2744">
        <v>15</v>
      </c>
    </row>
    <row r="132" spans="1:6" ht="13.5">
      <c r="A132" s="2744">
        <v>60</v>
      </c>
      <c r="B132" s="4268" t="s">
        <v>2774</v>
      </c>
      <c r="C132" s="2744" t="s">
        <v>2775</v>
      </c>
      <c r="D132" s="2718" t="s">
        <v>2776</v>
      </c>
      <c r="E132" s="2744">
        <v>0.1</v>
      </c>
      <c r="F132" s="2744">
        <v>15</v>
      </c>
    </row>
    <row r="133" spans="1:6" ht="13.5">
      <c r="A133" s="2744">
        <v>61</v>
      </c>
      <c r="B133" s="4272"/>
      <c r="C133" s="2744" t="s">
        <v>2777</v>
      </c>
      <c r="D133" s="2718" t="s">
        <v>2778</v>
      </c>
      <c r="E133" s="2744">
        <v>0.1</v>
      </c>
      <c r="F133" s="2744">
        <v>15</v>
      </c>
    </row>
    <row r="134" spans="1:6" ht="24">
      <c r="A134" s="2744">
        <v>62</v>
      </c>
      <c r="B134" s="2744" t="s">
        <v>2779</v>
      </c>
      <c r="C134" s="2744" t="s">
        <v>2780</v>
      </c>
      <c r="D134" s="2718" t="s">
        <v>2781</v>
      </c>
      <c r="E134" s="2744">
        <v>0.1</v>
      </c>
      <c r="F134" s="2744">
        <v>15</v>
      </c>
    </row>
    <row r="135" spans="1:6" ht="13.5">
      <c r="A135" s="2744">
        <v>63</v>
      </c>
      <c r="B135" s="4273" t="s">
        <v>2782</v>
      </c>
      <c r="C135" s="2744" t="s">
        <v>2783</v>
      </c>
      <c r="D135" s="2718" t="s">
        <v>2784</v>
      </c>
      <c r="E135" s="2744">
        <v>0.1</v>
      </c>
      <c r="F135" s="2744">
        <v>15</v>
      </c>
    </row>
    <row r="136" spans="1:6" ht="13.5">
      <c r="A136" s="2744">
        <v>64</v>
      </c>
      <c r="B136" s="4273"/>
      <c r="C136" s="2744" t="s">
        <v>2785</v>
      </c>
      <c r="D136" s="2718" t="s">
        <v>2786</v>
      </c>
      <c r="E136" s="2744">
        <v>0.1</v>
      </c>
      <c r="F136" s="2744">
        <v>15</v>
      </c>
    </row>
    <row r="137" spans="1:6" ht="13.5">
      <c r="A137" s="2744">
        <v>65</v>
      </c>
      <c r="B137" s="2744" t="s">
        <v>2787</v>
      </c>
      <c r="C137" s="2744" t="s">
        <v>2788</v>
      </c>
      <c r="D137" s="2718" t="s">
        <v>2789</v>
      </c>
      <c r="E137" s="2744">
        <v>0.1</v>
      </c>
      <c r="F137" s="2744">
        <v>15</v>
      </c>
    </row>
    <row r="138" spans="1:6" ht="13.5">
      <c r="A138" s="2744"/>
      <c r="B138" s="2744"/>
      <c r="C138" s="2744"/>
      <c r="D138" s="2744"/>
      <c r="E138" s="2744" t="s">
        <v>2790</v>
      </c>
      <c r="F138" s="2744"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2791</v>
      </c>
      <c r="B1" s="2753"/>
      <c r="C1" s="2753"/>
      <c r="D1" s="2753"/>
      <c r="E1" s="2753"/>
      <c r="F1" s="2753"/>
      <c r="G1" s="2753"/>
      <c r="H1" s="2753"/>
      <c r="I1" s="2753"/>
      <c r="J1" s="2753"/>
      <c r="K1" s="2753"/>
      <c r="L1" s="2753"/>
      <c r="M1" s="2753"/>
      <c r="N1" s="671"/>
    </row>
    <row r="2" spans="1:20">
      <c r="A2" s="2754" t="s">
        <v>2792</v>
      </c>
      <c r="B2" s="2755" t="s">
        <v>2588</v>
      </c>
      <c r="C2" s="2755" t="s">
        <v>2589</v>
      </c>
      <c r="D2" s="2755" t="s">
        <v>2590</v>
      </c>
      <c r="E2" s="2755" t="s">
        <v>2591</v>
      </c>
      <c r="F2" s="2755" t="s">
        <v>2592</v>
      </c>
      <c r="G2" s="2755" t="s">
        <v>2593</v>
      </c>
      <c r="H2" s="2756" t="s">
        <v>2594</v>
      </c>
      <c r="I2" s="2756" t="s">
        <v>2595</v>
      </c>
      <c r="J2" s="2757" t="s">
        <v>2596</v>
      </c>
      <c r="K2" s="2757" t="s">
        <v>2597</v>
      </c>
      <c r="L2" s="2757" t="s">
        <v>2598</v>
      </c>
      <c r="M2" s="2758" t="s">
        <v>2599</v>
      </c>
      <c r="Q2" s="2768" t="s">
        <v>2797</v>
      </c>
      <c r="R2" s="2768" t="s">
        <v>2798</v>
      </c>
      <c r="S2" s="2768" t="s">
        <v>2799</v>
      </c>
      <c r="T2" s="2768" t="s">
        <v>2800</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2793</v>
      </c>
      <c r="B93" s="2753"/>
      <c r="C93" s="2753"/>
      <c r="D93" s="2753"/>
      <c r="E93" s="2753"/>
      <c r="F93" s="2753"/>
      <c r="G93" s="2753"/>
      <c r="H93" s="2753"/>
      <c r="I93" s="2753"/>
      <c r="J93" s="2753"/>
      <c r="K93" s="2753"/>
      <c r="L93" s="2753"/>
      <c r="M93" s="2753"/>
    </row>
    <row r="94" spans="1:20">
      <c r="A94" s="2754" t="s">
        <v>2792</v>
      </c>
      <c r="B94" s="2755" t="s">
        <v>2588</v>
      </c>
      <c r="C94" s="2755" t="s">
        <v>2589</v>
      </c>
      <c r="D94" s="2755" t="s">
        <v>2590</v>
      </c>
      <c r="E94" s="2755" t="s">
        <v>2591</v>
      </c>
      <c r="F94" s="2755" t="s">
        <v>2592</v>
      </c>
      <c r="G94" s="2755" t="s">
        <v>2593</v>
      </c>
      <c r="H94" s="2756" t="s">
        <v>2594</v>
      </c>
      <c r="I94" s="2756" t="s">
        <v>2595</v>
      </c>
      <c r="J94" s="2757" t="s">
        <v>2596</v>
      </c>
      <c r="K94" s="2757" t="s">
        <v>2597</v>
      </c>
      <c r="L94" s="2757" t="s">
        <v>2598</v>
      </c>
      <c r="M94" s="2758" t="s">
        <v>2599</v>
      </c>
      <c r="N94" s="672">
        <f>SUMPRODUCT((A95:A184=ROUNDDOWN(基准地价修正!G3,1))*(B94:M94=基准地价修正!G2)*(B95:M184))</f>
        <v>0</v>
      </c>
      <c r="Q94" s="2768" t="s">
        <v>2797</v>
      </c>
      <c r="R94" s="2768" t="s">
        <v>2798</v>
      </c>
      <c r="S94" s="2768" t="s">
        <v>2799</v>
      </c>
      <c r="T94" s="2768" t="s">
        <v>2800</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2794</v>
      </c>
      <c r="B185" s="2753"/>
      <c r="C185" s="2753"/>
      <c r="D185" s="2753"/>
      <c r="E185" s="2753"/>
      <c r="F185" s="2753"/>
      <c r="G185" s="2753"/>
      <c r="H185" s="2753"/>
      <c r="I185" s="2753"/>
      <c r="J185" s="2753"/>
      <c r="K185" s="2753"/>
      <c r="L185" s="2753"/>
      <c r="M185" s="2753"/>
    </row>
    <row r="186" spans="1:20">
      <c r="A186" s="2754" t="s">
        <v>2792</v>
      </c>
      <c r="B186" s="2755" t="s">
        <v>2588</v>
      </c>
      <c r="C186" s="2755" t="s">
        <v>2589</v>
      </c>
      <c r="D186" s="2755" t="s">
        <v>2590</v>
      </c>
      <c r="E186" s="2755" t="s">
        <v>2591</v>
      </c>
      <c r="F186" s="2755" t="s">
        <v>2592</v>
      </c>
      <c r="G186" s="2755" t="s">
        <v>2593</v>
      </c>
      <c r="H186" s="2756" t="s">
        <v>2594</v>
      </c>
      <c r="I186" s="2756" t="s">
        <v>2595</v>
      </c>
      <c r="J186" s="2757" t="s">
        <v>2596</v>
      </c>
      <c r="K186" s="2757" t="s">
        <v>2597</v>
      </c>
      <c r="L186" s="2757" t="s">
        <v>2598</v>
      </c>
      <c r="M186" s="2758" t="s">
        <v>2599</v>
      </c>
      <c r="Q186" s="2768" t="s">
        <v>2797</v>
      </c>
      <c r="R186" s="2768" t="s">
        <v>2798</v>
      </c>
      <c r="S186" s="2768" t="s">
        <v>2799</v>
      </c>
      <c r="T186" s="2768" t="s">
        <v>2800</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2795</v>
      </c>
      <c r="B277" s="2753"/>
      <c r="C277" s="2753"/>
      <c r="D277" s="2753"/>
      <c r="E277" s="2753"/>
      <c r="F277" s="2753"/>
      <c r="G277" s="2753"/>
      <c r="H277" s="2753"/>
      <c r="I277" s="2753"/>
      <c r="J277" s="2753"/>
      <c r="K277" s="2753"/>
      <c r="L277" s="2753"/>
      <c r="M277" s="2753"/>
    </row>
    <row r="278" spans="1:21">
      <c r="A278" s="2754" t="s">
        <v>2792</v>
      </c>
      <c r="B278" s="2755" t="s">
        <v>2588</v>
      </c>
      <c r="C278" s="2755" t="s">
        <v>2589</v>
      </c>
      <c r="D278" s="2755" t="s">
        <v>2590</v>
      </c>
      <c r="E278" s="2755" t="s">
        <v>2591</v>
      </c>
      <c r="F278" s="2755" t="s">
        <v>2592</v>
      </c>
      <c r="G278" s="2755" t="s">
        <v>2593</v>
      </c>
      <c r="H278" s="2756" t="s">
        <v>2594</v>
      </c>
      <c r="I278" s="2756" t="s">
        <v>2595</v>
      </c>
      <c r="J278" s="2757" t="s">
        <v>2596</v>
      </c>
      <c r="K278" s="2757" t="s">
        <v>2597</v>
      </c>
      <c r="L278" s="2757" t="s">
        <v>2598</v>
      </c>
      <c r="M278" s="2758" t="s">
        <v>2599</v>
      </c>
      <c r="Q278" s="2768" t="s">
        <v>2797</v>
      </c>
      <c r="R278" s="2768" t="s">
        <v>2798</v>
      </c>
      <c r="S278" s="2768" t="s">
        <v>2801</v>
      </c>
      <c r="T278" s="2768" t="s">
        <v>2802</v>
      </c>
      <c r="U278" s="2768" t="s">
        <v>2800</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2796</v>
      </c>
      <c r="B369" s="2766"/>
      <c r="C369" s="2766"/>
      <c r="D369" s="2766"/>
      <c r="E369" s="2766"/>
      <c r="F369" s="2766"/>
      <c r="G369" s="2766"/>
      <c r="H369" s="2766"/>
      <c r="I369" s="2766"/>
      <c r="J369" s="2766"/>
      <c r="K369" s="2766"/>
      <c r="L369" s="2766"/>
      <c r="M369" s="2766"/>
    </row>
    <row r="370" spans="1:20">
      <c r="A370" s="2754" t="s">
        <v>2792</v>
      </c>
      <c r="B370" s="2755" t="s">
        <v>2588</v>
      </c>
      <c r="C370" s="2755" t="s">
        <v>2589</v>
      </c>
      <c r="D370" s="2755" t="s">
        <v>2590</v>
      </c>
      <c r="E370" s="2755" t="s">
        <v>2591</v>
      </c>
      <c r="F370" s="2755" t="s">
        <v>2592</v>
      </c>
      <c r="G370" s="2755" t="s">
        <v>2593</v>
      </c>
      <c r="H370" s="2756" t="s">
        <v>2594</v>
      </c>
      <c r="I370" s="2756" t="s">
        <v>2595</v>
      </c>
      <c r="J370" s="2757" t="s">
        <v>2596</v>
      </c>
      <c r="K370" s="2757" t="s">
        <v>2597</v>
      </c>
      <c r="L370" s="2757" t="s">
        <v>2598</v>
      </c>
      <c r="M370" s="2758" t="s">
        <v>2599</v>
      </c>
      <c r="N370" s="672">
        <f>SUMPRODUCT((A371:A460=ROUNDDOWN(基准地价修正!G3,1))*(B370:M370=基准地价修正!G2)*(B371:M460))</f>
        <v>0</v>
      </c>
      <c r="Q370" s="2768" t="s">
        <v>2797</v>
      </c>
      <c r="R370" s="2768" t="s">
        <v>2798</v>
      </c>
      <c r="S370" s="2768" t="s">
        <v>2799</v>
      </c>
      <c r="T370" s="2768" t="s">
        <v>2800</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#DIV/0!</v>
      </c>
      <c r="C2" s="2" t="s">
        <v>106</v>
      </c>
      <c r="D2" s="138"/>
      <c r="E2" s="138"/>
      <c r="F2" s="138"/>
      <c r="G2" s="138"/>
    </row>
    <row r="3" spans="1:7" s="139" customFormat="1" ht="18" customHeight="1" thickBot="1">
      <c r="A3" s="142" t="s">
        <v>58</v>
      </c>
      <c r="B3" s="143" t="e">
        <f ca="1">ROUND(B2*10000/'数据-汇总表'!E3,0)</f>
        <v>#DIV/0!</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343.31</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343.31</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f ca="1">ROUND(SUM(C23:C25),0)</f>
        <v>1945</v>
      </c>
      <c r="D22" s="174">
        <f ca="1">C26</f>
        <v>0</v>
      </c>
      <c r="E22" s="175" t="s">
        <v>99</v>
      </c>
      <c r="F22" s="176">
        <f ca="1">'数据-取费表'!B40</f>
        <v>4.7500000000000001E-2</v>
      </c>
      <c r="G22" s="969" t="str">
        <f>IF('数据-取费表'!B22&lt;=1,"单利计息","复利计息")</f>
        <v>复利计息</v>
      </c>
    </row>
    <row r="23" spans="1:7" s="153" customFormat="1" ht="13.5" customHeight="1">
      <c r="A23" s="702" t="s">
        <v>349</v>
      </c>
      <c r="B23" s="154" t="s">
        <v>423</v>
      </c>
      <c r="C23" s="1006">
        <f ca="1">ROUND(IF('数据-取费表'!B22&lt;=1,C5*F22*'数据-取费表'!B23,C5*(POWER((1+F22),'数据-取费表'!B23)-1)),0)</f>
        <v>1945</v>
      </c>
      <c r="D23" s="177"/>
      <c r="E23" s="177"/>
      <c r="F23" s="178"/>
      <c r="G23" s="179" t="s">
        <v>81</v>
      </c>
    </row>
    <row r="24" spans="1:7" s="153" customFormat="1" ht="13.5" customHeight="1">
      <c r="A24" s="702" t="s">
        <v>347</v>
      </c>
      <c r="B24" s="154" t="s">
        <v>418</v>
      </c>
      <c r="C24" s="1006">
        <f ca="1">ROUND(IF('数据-取费表'!B22&lt;=1,C19*F22*('数据-取费表'!B19/2+'数据-取费表'!B21),C19*(POWER((1+F22),('数据-取费表'!B19/2+'数据-取费表'!B21))-1)),0)</f>
        <v>0</v>
      </c>
      <c r="D24" s="177"/>
      <c r="E24" s="177"/>
      <c r="F24" s="178"/>
      <c r="G24" s="179" t="s">
        <v>82</v>
      </c>
    </row>
    <row r="25" spans="1:7" s="153" customFormat="1" ht="24">
      <c r="A25" s="702" t="s">
        <v>348</v>
      </c>
      <c r="B25" s="154" t="s">
        <v>420</v>
      </c>
      <c r="C25" s="1006">
        <f ca="1">ROUND(IF('数据-取费表'!B22&lt;=1,C20*F22*'数据-取费表'!B23/2,C20*(POWER((1+F22),'数据-取费表'!B23/2)-1)),0)</f>
        <v>0</v>
      </c>
      <c r="D25" s="177"/>
      <c r="E25" s="180"/>
      <c r="F25" s="178"/>
      <c r="G25" s="181" t="s">
        <v>83</v>
      </c>
    </row>
    <row r="26" spans="1:7" s="153" customFormat="1">
      <c r="A26" s="702" t="s">
        <v>350</v>
      </c>
      <c r="B26" s="154" t="s">
        <v>422</v>
      </c>
      <c r="C26" s="177">
        <f ca="1">ROUND(IF('数据-取费表'!B22&lt;=1,F21*F22*'数据-取费表'!B23/2,F21*(POWER((1+F22),'数据-取费表'!B23/2)-1)),4)</f>
        <v>0</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#DIV/0!</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343.31</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f ca="1">ROUND(SUM(C42:C43),0)</f>
        <v>0</v>
      </c>
      <c r="D41" s="174">
        <f ca="1">C44</f>
        <v>0</v>
      </c>
      <c r="E41" s="175" t="s">
        <v>102</v>
      </c>
      <c r="F41" s="176"/>
      <c r="G41" s="969" t="str">
        <f>IF('数据-取费表'!B22&lt;=1,"单利计息","复利计息")</f>
        <v>复利计息</v>
      </c>
    </row>
    <row r="42" spans="1:7" ht="13.5" customHeight="1">
      <c r="A42" s="702" t="s">
        <v>349</v>
      </c>
      <c r="B42" s="154" t="s">
        <v>423</v>
      </c>
      <c r="C42" s="177">
        <f ca="1">ROUND(IF('数据-取费表'!B22&lt;=1,C33*F22*'数据-取费表'!B21/2,C33*(POWER((1+F22),'数据-取费表'!B21/2)-1)),0)</f>
        <v>0</v>
      </c>
      <c r="D42" s="177"/>
      <c r="E42" s="177"/>
      <c r="F42" s="178"/>
      <c r="G42" s="4153" t="s">
        <v>94</v>
      </c>
    </row>
    <row r="43" spans="1:7" ht="13.5" customHeight="1">
      <c r="A43" s="702" t="s">
        <v>347</v>
      </c>
      <c r="B43" s="154" t="s">
        <v>426</v>
      </c>
      <c r="C43" s="177">
        <f ca="1">ROUND(IF('数据-取费表'!B22&lt;=1,C39*F22*'数据-取费表'!B21/2,C39*(POWER((1+F22),'数据-取费表'!B21/2)-1)),0)</f>
        <v>0</v>
      </c>
      <c r="D43" s="177"/>
      <c r="E43" s="177"/>
      <c r="F43" s="178"/>
      <c r="G43" s="4154"/>
    </row>
    <row r="44" spans="1:7" ht="13.5" customHeight="1">
      <c r="A44" s="702" t="s">
        <v>348</v>
      </c>
      <c r="B44" s="154" t="s">
        <v>428</v>
      </c>
      <c r="C44" s="177">
        <f ca="1">ROUND(IF('数据-取费表'!B22&lt;=1,C40*F22*'数据-取费表'!B21/2,C40*(POWER((1+F22),'数据-取费表'!B21/2)-1)),4)</f>
        <v>0</v>
      </c>
      <c r="D44" s="177"/>
      <c r="E44" s="177"/>
      <c r="F44" s="178"/>
      <c r="G44" s="4155"/>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#DIV/0!</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#DIV/0!</v>
      </c>
      <c r="D51" s="171"/>
      <c r="E51" s="171"/>
      <c r="F51" s="203"/>
      <c r="G51" s="173" t="s">
        <v>37</v>
      </c>
    </row>
    <row r="52" spans="1:7" s="147" customFormat="1" ht="16.5" thickBot="1">
      <c r="A52" s="204" t="s">
        <v>38</v>
      </c>
      <c r="B52" s="205"/>
      <c r="C52" s="206" t="e">
        <f ca="1">C31+C51</f>
        <v>#DIV/0!</v>
      </c>
      <c r="D52" s="205"/>
      <c r="E52" s="205"/>
      <c r="F52" s="205"/>
      <c r="G52" s="207"/>
    </row>
    <row r="55" spans="1:7" ht="15">
      <c r="B55" s="209" t="s">
        <v>39</v>
      </c>
      <c r="C55" s="210"/>
    </row>
    <row r="56" spans="1:7">
      <c r="B56" s="212" t="s">
        <v>40</v>
      </c>
      <c r="C56" s="213" t="e">
        <f ca="1">ROUND(C51/C52,3)</f>
        <v>#DIV/0!</v>
      </c>
    </row>
    <row r="57" spans="1:7">
      <c r="B57" s="212" t="s">
        <v>41</v>
      </c>
      <c r="C57" s="214"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76" t="s">
        <v>2836</v>
      </c>
      <c r="B1" s="4276"/>
      <c r="C1" s="4276"/>
      <c r="D1" s="4276"/>
      <c r="E1" s="4276"/>
      <c r="F1" s="4276"/>
      <c r="G1" s="4277"/>
      <c r="I1" s="2849" t="s">
        <v>2837</v>
      </c>
      <c r="J1" s="2850" t="s">
        <v>2838</v>
      </c>
      <c r="K1" s="2850" t="s">
        <v>2839</v>
      </c>
      <c r="L1" s="2850" t="s">
        <v>2840</v>
      </c>
      <c r="M1" s="2850" t="s">
        <v>2841</v>
      </c>
      <c r="N1" s="2850" t="s">
        <v>2842</v>
      </c>
      <c r="O1" s="2850" t="s">
        <v>2843</v>
      </c>
      <c r="P1" s="2850" t="s">
        <v>2844</v>
      </c>
      <c r="Q1" s="2850" t="s">
        <v>2845</v>
      </c>
      <c r="R1" s="2850" t="s">
        <v>2846</v>
      </c>
      <c r="S1" s="2850" t="s">
        <v>2847</v>
      </c>
      <c r="T1" s="2851" t="s">
        <v>2848</v>
      </c>
    </row>
    <row r="2" spans="1:20" ht="12" thickBot="1">
      <c r="A2" s="2853" t="s">
        <v>2849</v>
      </c>
      <c r="B2" s="2853"/>
      <c r="C2" s="2853"/>
      <c r="D2" s="2853"/>
      <c r="E2" s="2853"/>
      <c r="F2" s="2853"/>
      <c r="G2" s="2854" t="s">
        <v>2850</v>
      </c>
      <c r="I2" s="2855" t="s">
        <v>2851</v>
      </c>
      <c r="J2" s="2855" t="s">
        <v>2852</v>
      </c>
      <c r="K2" s="2855" t="s">
        <v>2853</v>
      </c>
      <c r="L2" s="2855" t="s">
        <v>2854</v>
      </c>
      <c r="M2" s="2855" t="s">
        <v>2855</v>
      </c>
      <c r="N2" s="2855" t="s">
        <v>2856</v>
      </c>
      <c r="O2" s="2855" t="s">
        <v>2857</v>
      </c>
      <c r="P2" s="2855" t="s">
        <v>2858</v>
      </c>
      <c r="Q2" s="2855" t="s">
        <v>2859</v>
      </c>
      <c r="R2" s="2855" t="s">
        <v>2860</v>
      </c>
      <c r="S2" s="2855" t="s">
        <v>2861</v>
      </c>
      <c r="T2" s="2855" t="s">
        <v>2862</v>
      </c>
    </row>
    <row r="3" spans="1:20" s="2861" customFormat="1">
      <c r="A3" s="4274" t="s">
        <v>2863</v>
      </c>
      <c r="B3" s="2856"/>
      <c r="C3" s="2857" t="s">
        <v>2804</v>
      </c>
      <c r="D3" s="2857" t="s">
        <v>2864</v>
      </c>
      <c r="E3" s="2857" t="s">
        <v>2806</v>
      </c>
      <c r="F3" s="2857" t="s">
        <v>2865</v>
      </c>
      <c r="G3" s="2857" t="s">
        <v>2624</v>
      </c>
      <c r="H3" s="2858"/>
      <c r="I3" s="2859" t="s">
        <v>2866</v>
      </c>
      <c r="J3" s="2860" t="s">
        <v>128</v>
      </c>
      <c r="K3" s="2860" t="s">
        <v>129</v>
      </c>
      <c r="L3" s="2859" t="s">
        <v>130</v>
      </c>
      <c r="M3" s="2859" t="s">
        <v>131</v>
      </c>
      <c r="N3" s="2859" t="s">
        <v>132</v>
      </c>
      <c r="O3" s="2859" t="s">
        <v>133</v>
      </c>
      <c r="P3" s="2859" t="s">
        <v>134</v>
      </c>
      <c r="Q3" s="2859" t="s">
        <v>135</v>
      </c>
      <c r="R3" s="2859" t="s">
        <v>136</v>
      </c>
      <c r="S3" s="2859" t="s">
        <v>2867</v>
      </c>
      <c r="T3" s="2859" t="s">
        <v>2868</v>
      </c>
    </row>
    <row r="4" spans="1:20" s="2861" customFormat="1" ht="12" thickBot="1">
      <c r="A4" s="4275"/>
      <c r="B4" s="2862" t="s">
        <v>2869</v>
      </c>
      <c r="C4" s="2862" t="s">
        <v>2870</v>
      </c>
      <c r="D4" s="2862" t="s">
        <v>2870</v>
      </c>
      <c r="E4" s="2862" t="s">
        <v>2870</v>
      </c>
      <c r="F4" s="2863" t="s">
        <v>2870</v>
      </c>
      <c r="G4" s="2863" t="s">
        <v>2870</v>
      </c>
      <c r="H4" s="2858"/>
      <c r="I4" s="2860" t="s">
        <v>137</v>
      </c>
      <c r="J4" s="2860" t="s">
        <v>111</v>
      </c>
      <c r="K4" s="2860" t="s">
        <v>138</v>
      </c>
      <c r="L4" s="2859" t="s">
        <v>139</v>
      </c>
      <c r="M4" s="2859" t="s">
        <v>140</v>
      </c>
      <c r="N4" s="2859" t="s">
        <v>141</v>
      </c>
      <c r="O4" s="2859" t="s">
        <v>142</v>
      </c>
      <c r="P4" s="2859" t="s">
        <v>143</v>
      </c>
      <c r="Q4" s="2859" t="s">
        <v>2871</v>
      </c>
      <c r="R4" s="2859" t="s">
        <v>2872</v>
      </c>
      <c r="S4" s="2859" t="s">
        <v>2873</v>
      </c>
      <c r="T4" s="2859" t="s">
        <v>2874</v>
      </c>
    </row>
    <row r="5" spans="1:20">
      <c r="A5" s="2864" t="s">
        <v>2837</v>
      </c>
      <c r="B5" s="2855" t="s">
        <v>2851</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2875</v>
      </c>
      <c r="R5" s="2859" t="s">
        <v>2876</v>
      </c>
      <c r="S5" s="2859" t="s">
        <v>153</v>
      </c>
      <c r="T5" s="2859" t="s">
        <v>2877</v>
      </c>
    </row>
    <row r="6" spans="1:20" ht="12" thickBot="1">
      <c r="A6" s="2859" t="s">
        <v>144</v>
      </c>
      <c r="B6" s="2859" t="s">
        <v>2866</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2878</v>
      </c>
      <c r="Q6" s="2859" t="s">
        <v>2879</v>
      </c>
      <c r="R6" s="2859" t="s">
        <v>161</v>
      </c>
      <c r="S6" s="2859" t="s">
        <v>2880</v>
      </c>
      <c r="T6" s="2859" t="s">
        <v>2881</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2882</v>
      </c>
      <c r="Q7" s="2859" t="s">
        <v>2883</v>
      </c>
      <c r="R7" s="2859" t="s">
        <v>2884</v>
      </c>
      <c r="S7" s="2859" t="s">
        <v>2885</v>
      </c>
      <c r="T7" s="2859" t="s">
        <v>2886</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2887</v>
      </c>
      <c r="Q8" s="2859" t="s">
        <v>174</v>
      </c>
      <c r="R8" s="2859" t="s">
        <v>2888</v>
      </c>
      <c r="S8" s="2859" t="s">
        <v>2889</v>
      </c>
      <c r="T8" s="2866" t="s">
        <v>2890</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2891</v>
      </c>
      <c r="Q9" s="2859" t="s">
        <v>182</v>
      </c>
      <c r="R9" s="2859" t="s">
        <v>183</v>
      </c>
      <c r="S9" s="2859" t="s">
        <v>200</v>
      </c>
    </row>
    <row r="10" spans="1:20">
      <c r="A10" s="2864" t="s">
        <v>184</v>
      </c>
      <c r="B10" s="2855" t="s">
        <v>2852</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2892</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2893</v>
      </c>
      <c r="P11" s="2859" t="s">
        <v>191</v>
      </c>
      <c r="Q11" s="2859" t="s">
        <v>199</v>
      </c>
      <c r="R11" s="2859" t="s">
        <v>2894</v>
      </c>
      <c r="S11" s="2859" t="s">
        <v>2895</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2896</v>
      </c>
      <c r="P12" s="2859" t="s">
        <v>2897</v>
      </c>
      <c r="Q12" s="2859" t="s">
        <v>2898</v>
      </c>
      <c r="R12" s="2859" t="s">
        <v>2899</v>
      </c>
      <c r="S12" s="2859" t="s">
        <v>2900</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2901</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2902</v>
      </c>
      <c r="K14" s="2860" t="s">
        <v>215</v>
      </c>
      <c r="L14" s="2859" t="s">
        <v>216</v>
      </c>
      <c r="M14" s="2859" t="s">
        <v>217</v>
      </c>
      <c r="N14" s="2859" t="s">
        <v>218</v>
      </c>
      <c r="O14" s="2859" t="s">
        <v>240</v>
      </c>
      <c r="P14" s="2859" t="s">
        <v>213</v>
      </c>
      <c r="Q14" s="2859" t="s">
        <v>2903</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2904</v>
      </c>
      <c r="P15" s="2859" t="s">
        <v>2905</v>
      </c>
      <c r="Q15" s="2859" t="s">
        <v>242</v>
      </c>
      <c r="R15" s="2859" t="s">
        <v>2906</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2907</v>
      </c>
      <c r="P16" s="2859" t="s">
        <v>227</v>
      </c>
      <c r="Q16" s="2859" t="s">
        <v>250</v>
      </c>
      <c r="R16" s="2859" t="s">
        <v>207</v>
      </c>
      <c r="S16" s="2859" t="s">
        <v>2908</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2909</v>
      </c>
      <c r="P17" s="2859" t="s">
        <v>2910</v>
      </c>
      <c r="Q17" s="2859" t="s">
        <v>256</v>
      </c>
      <c r="R17" s="2859" t="s">
        <v>2911</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2912</v>
      </c>
      <c r="P18" s="2859" t="s">
        <v>241</v>
      </c>
      <c r="Q18" s="2859" t="s">
        <v>2913</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2914</v>
      </c>
      <c r="P19" s="2859" t="s">
        <v>249</v>
      </c>
      <c r="Q19" s="2859" t="s">
        <v>2915</v>
      </c>
      <c r="R19" s="2859" t="s">
        <v>265</v>
      </c>
      <c r="S19" s="2859" t="s">
        <v>2916</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2917</v>
      </c>
      <c r="P20" s="2859" t="s">
        <v>2918</v>
      </c>
      <c r="Q20" s="2859" t="s">
        <v>290</v>
      </c>
      <c r="R20" s="2859" t="s">
        <v>2919</v>
      </c>
      <c r="S20" s="2859" t="s">
        <v>277</v>
      </c>
    </row>
    <row r="21" spans="1:19" ht="14.25" customHeight="1" thickBot="1">
      <c r="A21" s="2859" t="s">
        <v>184</v>
      </c>
      <c r="B21" s="2860" t="s">
        <v>208</v>
      </c>
      <c r="C21" s="2859">
        <v>32370</v>
      </c>
      <c r="D21" s="2859">
        <v>26730</v>
      </c>
      <c r="E21" s="2859">
        <v>26640</v>
      </c>
      <c r="F21" s="2859"/>
      <c r="G21" s="2859">
        <v>19440</v>
      </c>
      <c r="J21" s="2866" t="s">
        <v>2920</v>
      </c>
      <c r="K21" s="2860" t="s">
        <v>267</v>
      </c>
      <c r="L21" s="2859" t="s">
        <v>268</v>
      </c>
      <c r="M21" s="2859" t="s">
        <v>269</v>
      </c>
      <c r="N21" s="2859" t="s">
        <v>270</v>
      </c>
      <c r="O21" s="2859" t="s">
        <v>264</v>
      </c>
      <c r="P21" s="2859" t="s">
        <v>283</v>
      </c>
      <c r="Q21" s="2859" t="s">
        <v>293</v>
      </c>
      <c r="R21" s="2859" t="s">
        <v>2921</v>
      </c>
      <c r="S21" s="2866" t="s">
        <v>2922</v>
      </c>
    </row>
    <row r="22" spans="1:19" ht="14.25" customHeight="1">
      <c r="A22" s="2859" t="s">
        <v>184</v>
      </c>
      <c r="B22" s="2860" t="s">
        <v>2902</v>
      </c>
      <c r="C22" s="2859">
        <v>29830</v>
      </c>
      <c r="D22" s="2859">
        <v>27600</v>
      </c>
      <c r="E22" s="2859">
        <v>28150</v>
      </c>
      <c r="F22" s="2859"/>
      <c r="G22" s="2859">
        <v>20080</v>
      </c>
      <c r="K22" s="2860" t="s">
        <v>2923</v>
      </c>
      <c r="L22" s="2859" t="s">
        <v>272</v>
      </c>
      <c r="M22" s="2859" t="s">
        <v>273</v>
      </c>
      <c r="N22" s="2859" t="s">
        <v>274</v>
      </c>
      <c r="O22" s="2859" t="s">
        <v>2924</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2925</v>
      </c>
      <c r="L23" s="2859" t="s">
        <v>278</v>
      </c>
      <c r="M23" s="2859" t="s">
        <v>279</v>
      </c>
      <c r="N23" s="2859" t="s">
        <v>2926</v>
      </c>
      <c r="O23" s="2859" t="s">
        <v>2927</v>
      </c>
      <c r="P23" s="2859" t="s">
        <v>289</v>
      </c>
      <c r="Q23" s="2859" t="s">
        <v>298</v>
      </c>
      <c r="R23" s="2859" t="s">
        <v>2928</v>
      </c>
    </row>
    <row r="24" spans="1:19" ht="14.25" customHeight="1">
      <c r="A24" s="2859" t="s">
        <v>184</v>
      </c>
      <c r="B24" s="2860" t="s">
        <v>230</v>
      </c>
      <c r="C24" s="2859">
        <v>27930</v>
      </c>
      <c r="D24" s="2859">
        <v>32260</v>
      </c>
      <c r="E24" s="2859">
        <v>32120</v>
      </c>
      <c r="F24" s="2859"/>
      <c r="G24" s="2859">
        <v>23470</v>
      </c>
      <c r="K24" s="2860" t="s">
        <v>2929</v>
      </c>
      <c r="L24" s="2859" t="s">
        <v>281</v>
      </c>
      <c r="M24" s="2859" t="s">
        <v>282</v>
      </c>
      <c r="N24" s="2859" t="s">
        <v>2930</v>
      </c>
      <c r="O24" s="2859" t="s">
        <v>285</v>
      </c>
      <c r="P24" s="2859" t="s">
        <v>2931</v>
      </c>
      <c r="Q24" s="2868" t="s">
        <v>2932</v>
      </c>
      <c r="R24" s="2859" t="s">
        <v>2933</v>
      </c>
    </row>
    <row r="25" spans="1:19" ht="14.25" customHeight="1">
      <c r="A25" s="2859" t="s">
        <v>184</v>
      </c>
      <c r="B25" s="2860" t="s">
        <v>235</v>
      </c>
      <c r="C25" s="2859">
        <v>32230</v>
      </c>
      <c r="D25" s="2859">
        <v>29640</v>
      </c>
      <c r="E25" s="2859">
        <v>29510</v>
      </c>
      <c r="F25" s="2859"/>
      <c r="G25" s="2859">
        <v>21560</v>
      </c>
      <c r="K25" s="2860" t="s">
        <v>2934</v>
      </c>
      <c r="L25" s="2859" t="s">
        <v>2935</v>
      </c>
      <c r="M25" s="2859" t="s">
        <v>284</v>
      </c>
      <c r="N25" s="2859" t="s">
        <v>292</v>
      </c>
      <c r="O25" s="2859" t="s">
        <v>288</v>
      </c>
      <c r="P25" s="2859" t="s">
        <v>275</v>
      </c>
      <c r="Q25" s="2868" t="s">
        <v>271</v>
      </c>
      <c r="R25" s="2859" t="s">
        <v>2936</v>
      </c>
    </row>
    <row r="26" spans="1:19" ht="14.25" customHeight="1" thickBot="1">
      <c r="A26" s="2859" t="s">
        <v>184</v>
      </c>
      <c r="B26" s="2860" t="s">
        <v>244</v>
      </c>
      <c r="C26" s="2859">
        <v>31690</v>
      </c>
      <c r="D26" s="2859">
        <v>27650</v>
      </c>
      <c r="E26" s="2859">
        <v>28200</v>
      </c>
      <c r="F26" s="2859"/>
      <c r="G26" s="2859">
        <v>20110</v>
      </c>
      <c r="K26" s="2865" t="s">
        <v>2937</v>
      </c>
      <c r="L26" s="2859" t="s">
        <v>2938</v>
      </c>
      <c r="M26" s="2859" t="s">
        <v>287</v>
      </c>
      <c r="N26" s="2859" t="s">
        <v>294</v>
      </c>
      <c r="O26" s="2859" t="s">
        <v>2939</v>
      </c>
      <c r="P26" s="2859" t="s">
        <v>2940</v>
      </c>
      <c r="Q26" s="2868" t="s">
        <v>276</v>
      </c>
      <c r="R26" s="2859" t="s">
        <v>2941</v>
      </c>
    </row>
    <row r="27" spans="1:19" ht="14.25" customHeight="1">
      <c r="A27" s="2859" t="s">
        <v>184</v>
      </c>
      <c r="B27" s="2860" t="s">
        <v>251</v>
      </c>
      <c r="C27" s="2859">
        <v>29610</v>
      </c>
      <c r="D27" s="2859">
        <v>27770</v>
      </c>
      <c r="E27" s="2859">
        <v>28300</v>
      </c>
      <c r="F27" s="2859"/>
      <c r="G27" s="2859">
        <v>20210</v>
      </c>
      <c r="L27" s="2859" t="s">
        <v>2942</v>
      </c>
      <c r="M27" s="2859" t="s">
        <v>291</v>
      </c>
      <c r="N27" s="2859" t="s">
        <v>297</v>
      </c>
      <c r="O27" s="2859" t="s">
        <v>2943</v>
      </c>
      <c r="P27" s="2859" t="s">
        <v>2944</v>
      </c>
      <c r="Q27" s="2859" t="s">
        <v>2945</v>
      </c>
      <c r="R27" s="2859" t="s">
        <v>2946</v>
      </c>
    </row>
    <row r="28" spans="1:19" ht="14.25" customHeight="1">
      <c r="A28" s="2859" t="s">
        <v>184</v>
      </c>
      <c r="B28" s="2860" t="s">
        <v>259</v>
      </c>
      <c r="C28" s="2859"/>
      <c r="D28" s="2859">
        <v>31520</v>
      </c>
      <c r="E28" s="2859">
        <v>31410</v>
      </c>
      <c r="F28" s="2859"/>
      <c r="G28" s="2859">
        <v>22940</v>
      </c>
      <c r="L28" s="2859" t="s">
        <v>2947</v>
      </c>
      <c r="M28" s="2859" t="s">
        <v>2948</v>
      </c>
      <c r="N28" s="2859" t="s">
        <v>2949</v>
      </c>
      <c r="O28" s="2859" t="s">
        <v>2950</v>
      </c>
      <c r="P28" s="2859" t="s">
        <v>2951</v>
      </c>
      <c r="Q28" s="2859" t="s">
        <v>2952</v>
      </c>
      <c r="R28" s="2859" t="s">
        <v>2953</v>
      </c>
    </row>
    <row r="29" spans="1:19" ht="14.25" customHeight="1" thickBot="1">
      <c r="A29" s="2867" t="s">
        <v>184</v>
      </c>
      <c r="B29" s="2869" t="s">
        <v>2920</v>
      </c>
      <c r="C29" s="2870"/>
      <c r="D29" s="2870">
        <v>29460</v>
      </c>
      <c r="E29" s="2870">
        <v>28640</v>
      </c>
      <c r="F29" s="2870"/>
      <c r="G29" s="2870">
        <v>21430</v>
      </c>
      <c r="L29" s="2859" t="s">
        <v>2954</v>
      </c>
      <c r="M29" s="2859" t="s">
        <v>2955</v>
      </c>
      <c r="N29" s="2859" t="s">
        <v>2956</v>
      </c>
      <c r="O29" s="2859" t="s">
        <v>2957</v>
      </c>
      <c r="P29" s="2859" t="s">
        <v>2958</v>
      </c>
      <c r="Q29" s="2859" t="s">
        <v>2959</v>
      </c>
      <c r="R29" s="2859" t="s">
        <v>280</v>
      </c>
    </row>
    <row r="30" spans="1:19" ht="14.25" customHeight="1">
      <c r="A30" s="2864" t="s">
        <v>296</v>
      </c>
      <c r="B30" s="2855" t="s">
        <v>2853</v>
      </c>
      <c r="C30" s="2855">
        <v>26890</v>
      </c>
      <c r="D30" s="2855">
        <v>26770</v>
      </c>
      <c r="E30" s="2855">
        <v>25700</v>
      </c>
      <c r="F30" s="2855">
        <v>8180</v>
      </c>
      <c r="G30" s="2871">
        <v>18740</v>
      </c>
      <c r="L30" s="2859" t="s">
        <v>2960</v>
      </c>
      <c r="M30" s="2859" t="s">
        <v>2961</v>
      </c>
      <c r="N30" s="2859" t="s">
        <v>2962</v>
      </c>
      <c r="O30" s="2859" t="s">
        <v>2963</v>
      </c>
      <c r="P30" s="2859" t="s">
        <v>2964</v>
      </c>
      <c r="Q30" s="2859" t="s">
        <v>2965</v>
      </c>
      <c r="R30" s="2859" t="s">
        <v>2966</v>
      </c>
    </row>
    <row r="31" spans="1:19" ht="14.25" customHeight="1">
      <c r="A31" s="2859" t="s">
        <v>296</v>
      </c>
      <c r="B31" s="2860" t="s">
        <v>129</v>
      </c>
      <c r="C31" s="2859">
        <v>24550</v>
      </c>
      <c r="D31" s="2859">
        <v>23990</v>
      </c>
      <c r="E31" s="2859">
        <v>22930</v>
      </c>
      <c r="F31" s="2859">
        <v>7470</v>
      </c>
      <c r="G31" s="2872">
        <v>16790</v>
      </c>
      <c r="L31" s="2859" t="s">
        <v>2967</v>
      </c>
      <c r="M31" s="2859" t="s">
        <v>2968</v>
      </c>
      <c r="N31" s="2859" t="s">
        <v>2969</v>
      </c>
      <c r="O31" s="2859" t="s">
        <v>2970</v>
      </c>
      <c r="P31" s="2859" t="s">
        <v>2971</v>
      </c>
      <c r="Q31" s="2859" t="s">
        <v>2972</v>
      </c>
      <c r="R31" s="2859" t="s">
        <v>2973</v>
      </c>
    </row>
    <row r="32" spans="1:19" ht="14.25" customHeight="1" thickBot="1">
      <c r="A32" s="2859" t="s">
        <v>296</v>
      </c>
      <c r="B32" s="2860" t="s">
        <v>138</v>
      </c>
      <c r="C32" s="2859">
        <v>27210</v>
      </c>
      <c r="D32" s="2859">
        <v>23240</v>
      </c>
      <c r="E32" s="2859">
        <v>23260</v>
      </c>
      <c r="F32" s="2859">
        <v>7130</v>
      </c>
      <c r="G32" s="2872">
        <v>16270</v>
      </c>
      <c r="L32" s="2859" t="s">
        <v>2974</v>
      </c>
      <c r="M32" s="2859" t="s">
        <v>2975</v>
      </c>
      <c r="N32" s="2859" t="s">
        <v>300</v>
      </c>
      <c r="O32" s="2859" t="s">
        <v>2976</v>
      </c>
      <c r="P32" s="2859" t="s">
        <v>299</v>
      </c>
      <c r="Q32" s="2859" t="s">
        <v>2977</v>
      </c>
      <c r="R32" s="2866" t="s">
        <v>2978</v>
      </c>
    </row>
    <row r="33" spans="1:17" ht="14.25" customHeight="1" thickBot="1">
      <c r="A33" s="2859" t="s">
        <v>296</v>
      </c>
      <c r="B33" s="2860" t="s">
        <v>147</v>
      </c>
      <c r="C33" s="2859">
        <v>27300</v>
      </c>
      <c r="D33" s="2859">
        <v>22980</v>
      </c>
      <c r="E33" s="2859">
        <v>24260</v>
      </c>
      <c r="F33" s="2859">
        <v>5860</v>
      </c>
      <c r="G33" s="2872">
        <v>16090</v>
      </c>
      <c r="L33" s="2866" t="s">
        <v>2979</v>
      </c>
      <c r="M33" s="2859" t="s">
        <v>2980</v>
      </c>
      <c r="N33" s="2859" t="s">
        <v>301</v>
      </c>
      <c r="O33" s="2859" t="s">
        <v>2981</v>
      </c>
      <c r="P33" s="2859" t="s">
        <v>2982</v>
      </c>
      <c r="Q33" s="2859" t="s">
        <v>2983</v>
      </c>
    </row>
    <row r="34" spans="1:17" ht="14.25" customHeight="1">
      <c r="A34" s="2859" t="s">
        <v>296</v>
      </c>
      <c r="B34" s="2860" t="s">
        <v>156</v>
      </c>
      <c r="C34" s="2859">
        <v>23090</v>
      </c>
      <c r="D34" s="2859">
        <v>23390</v>
      </c>
      <c r="E34" s="2859">
        <v>23510</v>
      </c>
      <c r="F34" s="2859">
        <v>6700</v>
      </c>
      <c r="G34" s="2872">
        <v>16370</v>
      </c>
      <c r="M34" s="2859" t="s">
        <v>2984</v>
      </c>
      <c r="N34" s="2859" t="s">
        <v>302</v>
      </c>
      <c r="O34" s="2859" t="s">
        <v>2985</v>
      </c>
      <c r="P34" s="2859" t="s">
        <v>2986</v>
      </c>
      <c r="Q34" s="2859" t="s">
        <v>2987</v>
      </c>
    </row>
    <row r="35" spans="1:17" ht="14.25" customHeight="1">
      <c r="A35" s="2859" t="s">
        <v>296</v>
      </c>
      <c r="B35" s="2860" t="s">
        <v>163</v>
      </c>
      <c r="C35" s="2859">
        <v>27270</v>
      </c>
      <c r="D35" s="2859">
        <v>24270</v>
      </c>
      <c r="E35" s="2859">
        <v>24950</v>
      </c>
      <c r="F35" s="2859">
        <v>6600</v>
      </c>
      <c r="G35" s="2872">
        <v>16990</v>
      </c>
      <c r="M35" s="2859" t="s">
        <v>2988</v>
      </c>
      <c r="N35" s="2859" t="s">
        <v>2989</v>
      </c>
      <c r="O35" s="2859" t="s">
        <v>2990</v>
      </c>
      <c r="P35" s="2859" t="s">
        <v>2991</v>
      </c>
      <c r="Q35" s="2859" t="s">
        <v>2992</v>
      </c>
    </row>
    <row r="36" spans="1:17" ht="14.25" customHeight="1">
      <c r="A36" s="2859" t="s">
        <v>296</v>
      </c>
      <c r="B36" s="2860" t="s">
        <v>169</v>
      </c>
      <c r="C36" s="2859">
        <v>23490</v>
      </c>
      <c r="D36" s="2859">
        <v>23020</v>
      </c>
      <c r="E36" s="2859">
        <v>25230</v>
      </c>
      <c r="F36" s="2859">
        <v>6780</v>
      </c>
      <c r="G36" s="2872">
        <v>16120</v>
      </c>
      <c r="M36" s="2859" t="s">
        <v>2993</v>
      </c>
      <c r="N36" s="2859" t="s">
        <v>2994</v>
      </c>
      <c r="O36" s="2859" t="s">
        <v>2995</v>
      </c>
      <c r="P36" s="2859" t="s">
        <v>2996</v>
      </c>
      <c r="Q36" s="2859" t="s">
        <v>2997</v>
      </c>
    </row>
    <row r="37" spans="1:17" ht="14.25" customHeight="1">
      <c r="A37" s="2859" t="s">
        <v>296</v>
      </c>
      <c r="B37" s="2860" t="s">
        <v>176</v>
      </c>
      <c r="C37" s="2859">
        <v>24380</v>
      </c>
      <c r="D37" s="2859">
        <v>22240</v>
      </c>
      <c r="E37" s="2859">
        <v>25980</v>
      </c>
      <c r="F37" s="2859">
        <v>8160</v>
      </c>
      <c r="G37" s="2872">
        <v>15570</v>
      </c>
      <c r="M37" s="2859" t="s">
        <v>2998</v>
      </c>
      <c r="N37" s="2859" t="s">
        <v>2999</v>
      </c>
      <c r="O37" s="2859" t="s">
        <v>3000</v>
      </c>
      <c r="P37" s="2859" t="s">
        <v>3001</v>
      </c>
      <c r="Q37" s="2859" t="s">
        <v>3002</v>
      </c>
    </row>
    <row r="38" spans="1:17" ht="14.25" customHeight="1">
      <c r="A38" s="2859" t="s">
        <v>296</v>
      </c>
      <c r="B38" s="2860" t="s">
        <v>186</v>
      </c>
      <c r="C38" s="2859">
        <v>23120</v>
      </c>
      <c r="D38" s="2859">
        <v>24630</v>
      </c>
      <c r="E38" s="2859">
        <v>25030</v>
      </c>
      <c r="F38" s="2859">
        <v>7710</v>
      </c>
      <c r="G38" s="2872">
        <v>17240</v>
      </c>
      <c r="M38" s="2859" t="s">
        <v>3003</v>
      </c>
      <c r="N38" s="2859" t="s">
        <v>3004</v>
      </c>
      <c r="O38" s="2859" t="s">
        <v>3005</v>
      </c>
      <c r="P38" s="2859" t="s">
        <v>3006</v>
      </c>
      <c r="Q38" s="2859" t="s">
        <v>3007</v>
      </c>
    </row>
    <row r="39" spans="1:17" ht="14.25" customHeight="1">
      <c r="A39" s="2859" t="s">
        <v>296</v>
      </c>
      <c r="B39" s="2860" t="s">
        <v>195</v>
      </c>
      <c r="C39" s="2859">
        <v>22330</v>
      </c>
      <c r="D39" s="2859">
        <v>21140</v>
      </c>
      <c r="E39" s="2859">
        <v>23970</v>
      </c>
      <c r="F39" s="2859">
        <v>7940</v>
      </c>
      <c r="G39" s="2872">
        <v>14790</v>
      </c>
      <c r="M39" s="2859" t="s">
        <v>3008</v>
      </c>
      <c r="N39" s="2859" t="s">
        <v>3009</v>
      </c>
      <c r="O39" s="2859" t="s">
        <v>3010</v>
      </c>
      <c r="P39" s="2859" t="s">
        <v>3011</v>
      </c>
      <c r="Q39" s="2859" t="s">
        <v>3012</v>
      </c>
    </row>
    <row r="40" spans="1:17" ht="14.25" customHeight="1">
      <c r="A40" s="2859" t="s">
        <v>296</v>
      </c>
      <c r="B40" s="2860" t="s">
        <v>202</v>
      </c>
      <c r="C40" s="2859">
        <v>24740</v>
      </c>
      <c r="D40" s="2859">
        <v>24690</v>
      </c>
      <c r="E40" s="2859">
        <v>22610</v>
      </c>
      <c r="F40" s="2859"/>
      <c r="G40" s="2872">
        <v>17280</v>
      </c>
      <c r="M40" s="2859" t="s">
        <v>3013</v>
      </c>
      <c r="N40" s="2859" t="s">
        <v>3014</v>
      </c>
      <c r="O40" s="2859" t="s">
        <v>3015</v>
      </c>
      <c r="P40" s="2859" t="s">
        <v>3016</v>
      </c>
      <c r="Q40" s="2859" t="s">
        <v>3017</v>
      </c>
    </row>
    <row r="41" spans="1:17" ht="14.25" customHeight="1" thickBot="1">
      <c r="A41" s="2859" t="s">
        <v>296</v>
      </c>
      <c r="B41" s="2860" t="s">
        <v>209</v>
      </c>
      <c r="C41" s="2859">
        <v>21220</v>
      </c>
      <c r="D41" s="2859">
        <v>21120</v>
      </c>
      <c r="E41" s="2859">
        <v>22590</v>
      </c>
      <c r="F41" s="2859"/>
      <c r="G41" s="2872">
        <v>14780</v>
      </c>
      <c r="M41" s="2866" t="s">
        <v>3018</v>
      </c>
      <c r="N41" s="2859" t="s">
        <v>3019</v>
      </c>
      <c r="O41" s="2859" t="s">
        <v>3020</v>
      </c>
      <c r="P41" s="2859" t="s">
        <v>3021</v>
      </c>
      <c r="Q41" s="2859" t="s">
        <v>3022</v>
      </c>
    </row>
    <row r="42" spans="1:17" ht="14.25" customHeight="1">
      <c r="A42" s="2859" t="s">
        <v>296</v>
      </c>
      <c r="B42" s="2860" t="s">
        <v>215</v>
      </c>
      <c r="C42" s="2859">
        <v>24800</v>
      </c>
      <c r="D42" s="2859">
        <v>22280</v>
      </c>
      <c r="E42" s="2859">
        <v>24350</v>
      </c>
      <c r="F42" s="2859"/>
      <c r="G42" s="2872">
        <v>15590</v>
      </c>
      <c r="N42" s="2859" t="s">
        <v>3023</v>
      </c>
      <c r="O42" s="2859" t="s">
        <v>3024</v>
      </c>
      <c r="P42" s="2859" t="s">
        <v>3025</v>
      </c>
      <c r="Q42" s="2859" t="s">
        <v>3026</v>
      </c>
    </row>
    <row r="43" spans="1:17" ht="14.25" customHeight="1">
      <c r="A43" s="2859" t="s">
        <v>3027</v>
      </c>
      <c r="B43" s="2860" t="s">
        <v>223</v>
      </c>
      <c r="C43" s="2859">
        <v>21210</v>
      </c>
      <c r="D43" s="2859">
        <v>21160</v>
      </c>
      <c r="E43" s="2859">
        <v>22650</v>
      </c>
      <c r="F43" s="2859"/>
      <c r="G43" s="2872">
        <v>14800</v>
      </c>
      <c r="N43" s="2859" t="s">
        <v>3028</v>
      </c>
      <c r="O43" s="2859" t="s">
        <v>3029</v>
      </c>
      <c r="P43" s="2859" t="s">
        <v>3030</v>
      </c>
      <c r="Q43" s="2859" t="s">
        <v>3031</v>
      </c>
    </row>
    <row r="44" spans="1:17" ht="14.25" customHeight="1" thickBot="1">
      <c r="A44" s="2859" t="s">
        <v>296</v>
      </c>
      <c r="B44" s="2860" t="s">
        <v>231</v>
      </c>
      <c r="C44" s="2859">
        <v>22370</v>
      </c>
      <c r="D44" s="2859">
        <v>23140</v>
      </c>
      <c r="E44" s="2859">
        <v>25090</v>
      </c>
      <c r="F44" s="2859"/>
      <c r="G44" s="2872">
        <v>16190</v>
      </c>
      <c r="N44" s="2859" t="s">
        <v>3032</v>
      </c>
      <c r="O44" s="2859" t="s">
        <v>3033</v>
      </c>
      <c r="P44" s="2866" t="s">
        <v>3034</v>
      </c>
      <c r="Q44" s="2859" t="s">
        <v>3035</v>
      </c>
    </row>
    <row r="45" spans="1:17" ht="14.25" customHeight="1" thickBot="1">
      <c r="A45" s="2859" t="s">
        <v>296</v>
      </c>
      <c r="B45" s="2860" t="s">
        <v>236</v>
      </c>
      <c r="C45" s="2859">
        <v>21240</v>
      </c>
      <c r="D45" s="2859">
        <v>27050</v>
      </c>
      <c r="E45" s="2859">
        <v>28000</v>
      </c>
      <c r="F45" s="2859"/>
      <c r="G45" s="2872">
        <v>18940</v>
      </c>
      <c r="N45" s="2859" t="s">
        <v>3036</v>
      </c>
      <c r="O45" s="2866" t="s">
        <v>3037</v>
      </c>
      <c r="Q45" s="2859" t="s">
        <v>3038</v>
      </c>
    </row>
    <row r="46" spans="1:17" ht="14.25" customHeight="1">
      <c r="A46" s="2859" t="s">
        <v>296</v>
      </c>
      <c r="B46" s="2860" t="s">
        <v>245</v>
      </c>
      <c r="C46" s="2859">
        <v>23240</v>
      </c>
      <c r="D46" s="2859">
        <v>23000</v>
      </c>
      <c r="E46" s="2859">
        <v>24980</v>
      </c>
      <c r="F46" s="2859"/>
      <c r="G46" s="2872">
        <v>16100</v>
      </c>
      <c r="N46" s="2859" t="s">
        <v>3039</v>
      </c>
      <c r="Q46" s="2859" t="s">
        <v>3040</v>
      </c>
    </row>
    <row r="47" spans="1:17" ht="14.25" customHeight="1">
      <c r="A47" s="2859" t="s">
        <v>296</v>
      </c>
      <c r="B47" s="2860" t="s">
        <v>252</v>
      </c>
      <c r="C47" s="2859">
        <v>27150</v>
      </c>
      <c r="D47" s="2859">
        <v>23310</v>
      </c>
      <c r="E47" s="2859">
        <v>25150</v>
      </c>
      <c r="F47" s="2859"/>
      <c r="G47" s="2872">
        <v>16310</v>
      </c>
      <c r="N47" s="2859" t="s">
        <v>3041</v>
      </c>
      <c r="Q47" s="2859" t="s">
        <v>3042</v>
      </c>
    </row>
    <row r="48" spans="1:17" ht="14.25" customHeight="1">
      <c r="A48" s="2859" t="s">
        <v>296</v>
      </c>
      <c r="B48" s="2860" t="s">
        <v>260</v>
      </c>
      <c r="C48" s="2859">
        <v>23100</v>
      </c>
      <c r="D48" s="2859">
        <v>21110</v>
      </c>
      <c r="E48" s="2859">
        <v>23080</v>
      </c>
      <c r="F48" s="2859"/>
      <c r="G48" s="2872">
        <v>14780</v>
      </c>
      <c r="N48" s="2859" t="s">
        <v>3043</v>
      </c>
      <c r="Q48" s="2859" t="s">
        <v>3044</v>
      </c>
    </row>
    <row r="49" spans="1:17" ht="14.25" customHeight="1">
      <c r="A49" s="2859" t="s">
        <v>296</v>
      </c>
      <c r="B49" s="2860" t="s">
        <v>267</v>
      </c>
      <c r="C49" s="2859">
        <v>23400</v>
      </c>
      <c r="D49" s="2859">
        <v>22920</v>
      </c>
      <c r="E49" s="2859">
        <v>24900</v>
      </c>
      <c r="F49" s="2859"/>
      <c r="G49" s="2872">
        <v>16040</v>
      </c>
      <c r="N49" s="2859" t="s">
        <v>3045</v>
      </c>
      <c r="Q49" s="2859" t="s">
        <v>3046</v>
      </c>
    </row>
    <row r="50" spans="1:17" ht="14.25" customHeight="1">
      <c r="A50" s="2859" t="s">
        <v>296</v>
      </c>
      <c r="B50" s="2860" t="s">
        <v>2923</v>
      </c>
      <c r="C50" s="2859">
        <v>21200</v>
      </c>
      <c r="D50" s="2859">
        <v>26540</v>
      </c>
      <c r="E50" s="2859">
        <v>23200</v>
      </c>
      <c r="F50" s="2859"/>
      <c r="G50" s="2872">
        <v>18580</v>
      </c>
      <c r="N50" s="2859" t="s">
        <v>3047</v>
      </c>
      <c r="Q50" s="2860" t="s">
        <v>3048</v>
      </c>
    </row>
    <row r="51" spans="1:17" ht="14.25" customHeight="1" thickBot="1">
      <c r="A51" s="2859" t="s">
        <v>296</v>
      </c>
      <c r="B51" s="2860" t="s">
        <v>2925</v>
      </c>
      <c r="C51" s="2859">
        <v>23000</v>
      </c>
      <c r="D51" s="2859">
        <v>23460</v>
      </c>
      <c r="E51" s="2859">
        <v>25290</v>
      </c>
      <c r="F51" s="2859"/>
      <c r="G51" s="2872">
        <v>16420</v>
      </c>
      <c r="N51" s="2859" t="s">
        <v>3049</v>
      </c>
      <c r="Q51" s="2866" t="s">
        <v>3050</v>
      </c>
    </row>
    <row r="52" spans="1:17" ht="14.25" customHeight="1">
      <c r="A52" s="2859" t="s">
        <v>296</v>
      </c>
      <c r="B52" s="2860" t="s">
        <v>2929</v>
      </c>
      <c r="C52" s="2859">
        <v>26660</v>
      </c>
      <c r="D52" s="2859">
        <v>22350</v>
      </c>
      <c r="E52" s="2859">
        <v>22920</v>
      </c>
      <c r="F52" s="2859"/>
      <c r="G52" s="2872">
        <v>15640</v>
      </c>
      <c r="N52" s="2859" t="s">
        <v>3051</v>
      </c>
    </row>
    <row r="53" spans="1:17" ht="14.25" customHeight="1">
      <c r="A53" s="2859" t="s">
        <v>296</v>
      </c>
      <c r="B53" s="2860" t="s">
        <v>2934</v>
      </c>
      <c r="C53" s="2859">
        <v>23580</v>
      </c>
      <c r="D53" s="2859"/>
      <c r="E53" s="2859">
        <v>24280</v>
      </c>
      <c r="F53" s="2859"/>
      <c r="G53" s="2872"/>
      <c r="N53" s="2859" t="s">
        <v>3052</v>
      </c>
    </row>
    <row r="54" spans="1:17" ht="14.25" customHeight="1" thickBot="1">
      <c r="A54" s="2873" t="s">
        <v>296</v>
      </c>
      <c r="B54" s="2865" t="s">
        <v>2937</v>
      </c>
      <c r="C54" s="2866">
        <v>22460</v>
      </c>
      <c r="D54" s="2866"/>
      <c r="E54" s="2866"/>
      <c r="F54" s="2866"/>
      <c r="G54" s="2874"/>
      <c r="N54" s="2859" t="s">
        <v>3053</v>
      </c>
    </row>
    <row r="55" spans="1:17" ht="14.25" customHeight="1">
      <c r="A55" s="2864" t="s">
        <v>110</v>
      </c>
      <c r="B55" s="2855" t="s">
        <v>3054</v>
      </c>
      <c r="C55" s="2859">
        <v>21970</v>
      </c>
      <c r="D55" s="2859">
        <v>20370</v>
      </c>
      <c r="E55" s="2859">
        <v>20180</v>
      </c>
      <c r="F55" s="2859">
        <v>5730</v>
      </c>
      <c r="G55" s="2859">
        <v>13820</v>
      </c>
      <c r="N55" s="2859" t="s">
        <v>3055</v>
      </c>
    </row>
    <row r="56" spans="1:17" ht="14.25" customHeight="1">
      <c r="A56" s="2859" t="s">
        <v>110</v>
      </c>
      <c r="B56" s="2859" t="s">
        <v>130</v>
      </c>
      <c r="C56" s="2859">
        <v>20470</v>
      </c>
      <c r="D56" s="2859">
        <v>20700</v>
      </c>
      <c r="E56" s="2859">
        <v>20380</v>
      </c>
      <c r="F56" s="2859">
        <v>4760</v>
      </c>
      <c r="G56" s="2859">
        <v>14050</v>
      </c>
      <c r="N56" s="2859" t="s">
        <v>3056</v>
      </c>
    </row>
    <row r="57" spans="1:17" ht="14.25" customHeight="1">
      <c r="A57" s="2859" t="s">
        <v>110</v>
      </c>
      <c r="B57" s="2859" t="s">
        <v>139</v>
      </c>
      <c r="C57" s="2859">
        <v>20790</v>
      </c>
      <c r="D57" s="2859">
        <v>21370</v>
      </c>
      <c r="E57" s="2859">
        <v>20890</v>
      </c>
      <c r="F57" s="2859">
        <v>4910</v>
      </c>
      <c r="G57" s="2859">
        <v>14510</v>
      </c>
      <c r="N57" s="2859" t="s">
        <v>3057</v>
      </c>
    </row>
    <row r="58" spans="1:17" ht="14.25" customHeight="1">
      <c r="A58" s="2859" t="s">
        <v>110</v>
      </c>
      <c r="B58" s="2859" t="s">
        <v>148</v>
      </c>
      <c r="C58" s="2859">
        <v>21460</v>
      </c>
      <c r="D58" s="2859">
        <v>20920</v>
      </c>
      <c r="E58" s="2859">
        <v>23410</v>
      </c>
      <c r="F58" s="2859">
        <v>5100</v>
      </c>
      <c r="G58" s="2859">
        <v>14200</v>
      </c>
      <c r="N58" s="2859" t="s">
        <v>3058</v>
      </c>
    </row>
    <row r="59" spans="1:17" ht="14.25" customHeight="1">
      <c r="A59" s="2859" t="s">
        <v>110</v>
      </c>
      <c r="B59" s="2859" t="s">
        <v>157</v>
      </c>
      <c r="C59" s="2859">
        <v>21000</v>
      </c>
      <c r="D59" s="2859">
        <v>21550</v>
      </c>
      <c r="E59" s="2859">
        <v>21150</v>
      </c>
      <c r="F59" s="2859">
        <v>5250</v>
      </c>
      <c r="G59" s="2859">
        <v>14630</v>
      </c>
      <c r="N59" s="2859" t="s">
        <v>3059</v>
      </c>
    </row>
    <row r="60" spans="1:17" ht="14.25" customHeight="1">
      <c r="A60" s="2859" t="s">
        <v>110</v>
      </c>
      <c r="B60" s="2859" t="s">
        <v>164</v>
      </c>
      <c r="C60" s="2859">
        <v>21640</v>
      </c>
      <c r="D60" s="2859">
        <v>21260</v>
      </c>
      <c r="E60" s="2859">
        <v>24040</v>
      </c>
      <c r="F60" s="2859">
        <v>4470</v>
      </c>
      <c r="G60" s="2859">
        <v>14430</v>
      </c>
      <c r="N60" s="2859" t="s">
        <v>3060</v>
      </c>
    </row>
    <row r="61" spans="1:17" ht="14.25" customHeight="1">
      <c r="A61" s="2859" t="s">
        <v>110</v>
      </c>
      <c r="B61" s="2859" t="s">
        <v>170</v>
      </c>
      <c r="C61" s="2859">
        <v>21330</v>
      </c>
      <c r="D61" s="2859">
        <v>18640</v>
      </c>
      <c r="E61" s="2859">
        <v>21190</v>
      </c>
      <c r="F61" s="2859">
        <v>4180</v>
      </c>
      <c r="G61" s="2859">
        <v>12650</v>
      </c>
      <c r="N61" s="2859" t="s">
        <v>3061</v>
      </c>
    </row>
    <row r="62" spans="1:17" ht="14.25" customHeight="1">
      <c r="A62" s="2859" t="s">
        <v>110</v>
      </c>
      <c r="B62" s="2859" t="s">
        <v>177</v>
      </c>
      <c r="C62" s="2859">
        <v>18710</v>
      </c>
      <c r="D62" s="2859">
        <v>19400</v>
      </c>
      <c r="E62" s="2859">
        <v>23750</v>
      </c>
      <c r="F62" s="2859">
        <v>4860</v>
      </c>
      <c r="G62" s="2859">
        <v>13170</v>
      </c>
      <c r="N62" s="2859" t="s">
        <v>3062</v>
      </c>
    </row>
    <row r="63" spans="1:17" ht="14.25" customHeight="1">
      <c r="A63" s="2859" t="s">
        <v>110</v>
      </c>
      <c r="B63" s="2859" t="s">
        <v>187</v>
      </c>
      <c r="C63" s="2859">
        <v>19480</v>
      </c>
      <c r="D63" s="2859">
        <v>16830</v>
      </c>
      <c r="E63" s="2859">
        <v>21590</v>
      </c>
      <c r="F63" s="2859">
        <v>4560</v>
      </c>
      <c r="G63" s="2859">
        <v>11420</v>
      </c>
      <c r="N63" s="2859" t="s">
        <v>3063</v>
      </c>
    </row>
    <row r="64" spans="1:17" ht="14.25" customHeight="1" thickBot="1">
      <c r="A64" s="2859" t="s">
        <v>110</v>
      </c>
      <c r="B64" s="2859" t="s">
        <v>196</v>
      </c>
      <c r="C64" s="2859">
        <v>16920</v>
      </c>
      <c r="D64" s="2859">
        <v>19190</v>
      </c>
      <c r="E64" s="2859">
        <v>22200</v>
      </c>
      <c r="F64" s="2859">
        <v>4390</v>
      </c>
      <c r="G64" s="2859">
        <v>13030</v>
      </c>
      <c r="N64" s="2866" t="s">
        <v>3064</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2935</v>
      </c>
      <c r="C78" s="2859">
        <v>19820</v>
      </c>
      <c r="D78" s="2859">
        <v>19780</v>
      </c>
      <c r="E78" s="2859">
        <v>18560</v>
      </c>
      <c r="F78" s="2859"/>
      <c r="G78" s="2859">
        <v>13430</v>
      </c>
    </row>
    <row r="79" spans="1:7" s="2848" customFormat="1" ht="14.25" customHeight="1">
      <c r="A79" s="2859" t="s">
        <v>110</v>
      </c>
      <c r="B79" s="2859" t="s">
        <v>2938</v>
      </c>
      <c r="C79" s="2859">
        <v>21660</v>
      </c>
      <c r="D79" s="2859">
        <v>18000</v>
      </c>
      <c r="E79" s="2859">
        <v>22570</v>
      </c>
      <c r="F79" s="2859"/>
      <c r="G79" s="2859">
        <v>12220</v>
      </c>
    </row>
    <row r="80" spans="1:7" s="2848" customFormat="1" ht="14.25" customHeight="1">
      <c r="A80" s="2859" t="s">
        <v>110</v>
      </c>
      <c r="B80" s="2859" t="s">
        <v>2942</v>
      </c>
      <c r="C80" s="2859">
        <v>19850</v>
      </c>
      <c r="D80" s="2859"/>
      <c r="E80" s="2859">
        <v>21700</v>
      </c>
      <c r="F80" s="2859"/>
      <c r="G80" s="2859"/>
    </row>
    <row r="81" spans="1:7" s="2848" customFormat="1" ht="14.25" customHeight="1">
      <c r="A81" s="2859" t="s">
        <v>110</v>
      </c>
      <c r="B81" s="2859" t="s">
        <v>2947</v>
      </c>
      <c r="C81" s="2859">
        <v>18080</v>
      </c>
      <c r="D81" s="2859"/>
      <c r="E81" s="2859">
        <v>20900</v>
      </c>
      <c r="F81" s="2859"/>
      <c r="G81" s="2859"/>
    </row>
    <row r="82" spans="1:7" s="2848" customFormat="1" ht="14.25" customHeight="1">
      <c r="A82" s="2859" t="s">
        <v>110</v>
      </c>
      <c r="B82" s="2859" t="s">
        <v>2954</v>
      </c>
      <c r="C82" s="2859"/>
      <c r="D82" s="2859"/>
      <c r="E82" s="2859">
        <v>20840</v>
      </c>
      <c r="F82" s="2859"/>
      <c r="G82" s="2859"/>
    </row>
    <row r="83" spans="1:7" s="2848" customFormat="1" ht="14.25" customHeight="1">
      <c r="A83" s="2859" t="s">
        <v>110</v>
      </c>
      <c r="B83" s="2859" t="s">
        <v>3065</v>
      </c>
      <c r="C83" s="2859"/>
      <c r="D83" s="2859"/>
      <c r="E83" s="2859"/>
      <c r="F83" s="2859">
        <v>4770</v>
      </c>
      <c r="G83" s="2859"/>
    </row>
    <row r="84" spans="1:7" s="2848" customFormat="1" ht="14.25" customHeight="1">
      <c r="A84" s="2859" t="s">
        <v>110</v>
      </c>
      <c r="B84" s="2859" t="s">
        <v>3066</v>
      </c>
      <c r="C84" s="2859"/>
      <c r="D84" s="2859"/>
      <c r="E84" s="2859"/>
      <c r="F84" s="2859">
        <v>4600</v>
      </c>
      <c r="G84" s="2859"/>
    </row>
    <row r="85" spans="1:7" s="2848" customFormat="1" ht="14.25" customHeight="1">
      <c r="A85" s="2859" t="s">
        <v>110</v>
      </c>
      <c r="B85" s="2859" t="s">
        <v>3067</v>
      </c>
      <c r="C85" s="2859"/>
      <c r="D85" s="2859"/>
      <c r="E85" s="2859"/>
      <c r="F85" s="2859">
        <v>4680</v>
      </c>
      <c r="G85" s="2859"/>
    </row>
    <row r="86" spans="1:7" s="2848" customFormat="1" ht="14.25" customHeight="1" thickBot="1">
      <c r="A86" s="2867" t="s">
        <v>110</v>
      </c>
      <c r="B86" s="2869" t="s">
        <v>3068</v>
      </c>
      <c r="C86" s="2870">
        <v>16610</v>
      </c>
      <c r="D86" s="2870">
        <v>16540</v>
      </c>
      <c r="E86" s="2870">
        <v>18850</v>
      </c>
      <c r="F86" s="2870"/>
      <c r="G86" s="2870">
        <v>11220</v>
      </c>
    </row>
    <row r="87" spans="1:7" s="2848" customFormat="1" ht="14.25" customHeight="1">
      <c r="A87" s="2864" t="s">
        <v>303</v>
      </c>
      <c r="B87" s="2855" t="s">
        <v>3069</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2948</v>
      </c>
      <c r="C113" s="2859">
        <v>15520</v>
      </c>
      <c r="D113" s="2859">
        <v>15450</v>
      </c>
      <c r="E113" s="2859"/>
      <c r="F113" s="2859"/>
      <c r="G113" s="2872">
        <v>10210</v>
      </c>
    </row>
    <row r="114" spans="1:7" s="2848" customFormat="1" ht="14.25" customHeight="1">
      <c r="A114" s="2859" t="s">
        <v>303</v>
      </c>
      <c r="B114" s="2859" t="s">
        <v>2955</v>
      </c>
      <c r="C114" s="2859">
        <v>13110</v>
      </c>
      <c r="D114" s="2859">
        <v>13050</v>
      </c>
      <c r="E114" s="2859"/>
      <c r="F114" s="2859"/>
      <c r="G114" s="2872">
        <v>8620</v>
      </c>
    </row>
    <row r="115" spans="1:7" s="2848" customFormat="1" ht="14.25" customHeight="1">
      <c r="A115" s="2859" t="s">
        <v>303</v>
      </c>
      <c r="B115" s="2859" t="s">
        <v>2961</v>
      </c>
      <c r="C115" s="2859">
        <v>12460</v>
      </c>
      <c r="D115" s="2859">
        <v>12390</v>
      </c>
      <c r="E115" s="2859"/>
      <c r="F115" s="2859"/>
      <c r="G115" s="2872">
        <v>8190</v>
      </c>
    </row>
    <row r="116" spans="1:7" s="2848" customFormat="1" ht="14.25" customHeight="1">
      <c r="A116" s="2859" t="s">
        <v>303</v>
      </c>
      <c r="B116" s="2859" t="s">
        <v>2968</v>
      </c>
      <c r="C116" s="2859">
        <v>13580</v>
      </c>
      <c r="D116" s="2859">
        <v>13520</v>
      </c>
      <c r="E116" s="2859"/>
      <c r="F116" s="2859"/>
      <c r="G116" s="2872">
        <v>8930</v>
      </c>
    </row>
    <row r="117" spans="1:7" s="2848" customFormat="1" ht="14.25" customHeight="1">
      <c r="A117" s="2859" t="s">
        <v>303</v>
      </c>
      <c r="B117" s="2859" t="s">
        <v>2975</v>
      </c>
      <c r="C117" s="2859">
        <v>17120</v>
      </c>
      <c r="D117" s="2859">
        <v>17040</v>
      </c>
      <c r="E117" s="2859"/>
      <c r="F117" s="2859"/>
      <c r="G117" s="2872">
        <v>11260</v>
      </c>
    </row>
    <row r="118" spans="1:7" s="2848" customFormat="1" ht="14.25" customHeight="1">
      <c r="A118" s="2859" t="s">
        <v>303</v>
      </c>
      <c r="B118" s="2859" t="s">
        <v>2980</v>
      </c>
      <c r="C118" s="2859">
        <v>14860</v>
      </c>
      <c r="D118" s="2859">
        <v>14790</v>
      </c>
      <c r="E118" s="2859"/>
      <c r="F118" s="2859"/>
      <c r="G118" s="2872">
        <v>9780</v>
      </c>
    </row>
    <row r="119" spans="1:7" s="2848" customFormat="1" ht="14.25" customHeight="1">
      <c r="A119" s="2859" t="s">
        <v>303</v>
      </c>
      <c r="B119" s="2859" t="s">
        <v>2984</v>
      </c>
      <c r="C119" s="2859">
        <v>16470</v>
      </c>
      <c r="D119" s="2859">
        <v>16400</v>
      </c>
      <c r="E119" s="2859"/>
      <c r="F119" s="2859"/>
      <c r="G119" s="2872">
        <v>10840</v>
      </c>
    </row>
    <row r="120" spans="1:7" s="2848" customFormat="1" ht="14.25" customHeight="1">
      <c r="A120" s="2859" t="s">
        <v>303</v>
      </c>
      <c r="B120" s="2859" t="s">
        <v>3070</v>
      </c>
      <c r="C120" s="2859"/>
      <c r="D120" s="2859"/>
      <c r="E120" s="2859"/>
      <c r="F120" s="2859">
        <v>4160</v>
      </c>
      <c r="G120" s="2872"/>
    </row>
    <row r="121" spans="1:7" s="2848" customFormat="1" ht="14.25" customHeight="1">
      <c r="A121" s="2859" t="s">
        <v>303</v>
      </c>
      <c r="B121" s="2859" t="s">
        <v>3071</v>
      </c>
      <c r="C121" s="2859"/>
      <c r="D121" s="2859"/>
      <c r="E121" s="2859"/>
      <c r="F121" s="2859">
        <v>3880</v>
      </c>
      <c r="G121" s="2872"/>
    </row>
    <row r="122" spans="1:7" s="2848" customFormat="1" ht="14.25" customHeight="1">
      <c r="A122" s="2859" t="s">
        <v>303</v>
      </c>
      <c r="B122" s="2859" t="s">
        <v>3072</v>
      </c>
      <c r="C122" s="2859">
        <v>13750</v>
      </c>
      <c r="D122" s="2859">
        <v>13680</v>
      </c>
      <c r="E122" s="2859">
        <v>16460</v>
      </c>
      <c r="F122" s="2859">
        <v>2880</v>
      </c>
      <c r="G122" s="2872">
        <v>9040</v>
      </c>
    </row>
    <row r="123" spans="1:7" s="2848" customFormat="1" ht="14.25" customHeight="1">
      <c r="A123" s="2859" t="s">
        <v>303</v>
      </c>
      <c r="B123" s="2859" t="s">
        <v>3003</v>
      </c>
      <c r="C123" s="2859">
        <v>13590</v>
      </c>
      <c r="D123" s="2859">
        <v>13520</v>
      </c>
      <c r="E123" s="2859">
        <v>16290</v>
      </c>
      <c r="F123" s="2859">
        <v>2790</v>
      </c>
      <c r="G123" s="2872">
        <v>8930</v>
      </c>
    </row>
    <row r="124" spans="1:7" s="2848" customFormat="1" ht="14.25" customHeight="1">
      <c r="A124" s="2859" t="s">
        <v>303</v>
      </c>
      <c r="B124" s="2859" t="s">
        <v>3008</v>
      </c>
      <c r="C124" s="2859">
        <v>13400</v>
      </c>
      <c r="D124" s="2859">
        <v>13320</v>
      </c>
      <c r="E124" s="2859">
        <v>16100</v>
      </c>
      <c r="F124" s="2859">
        <v>2320</v>
      </c>
      <c r="G124" s="2872">
        <v>8800</v>
      </c>
    </row>
    <row r="125" spans="1:7" s="2848" customFormat="1" ht="14.25" customHeight="1">
      <c r="A125" s="2859" t="s">
        <v>303</v>
      </c>
      <c r="B125" s="2859" t="s">
        <v>3013</v>
      </c>
      <c r="C125" s="2859">
        <v>12860</v>
      </c>
      <c r="D125" s="2859">
        <v>12790</v>
      </c>
      <c r="E125" s="2859">
        <v>15370</v>
      </c>
      <c r="F125" s="2859">
        <v>2280</v>
      </c>
      <c r="G125" s="2872">
        <v>8450</v>
      </c>
    </row>
    <row r="126" spans="1:7" s="2848" customFormat="1" ht="14.25" customHeight="1" thickBot="1">
      <c r="A126" s="2873" t="s">
        <v>303</v>
      </c>
      <c r="B126" s="2866" t="s">
        <v>3018</v>
      </c>
      <c r="C126" s="2866">
        <v>12960</v>
      </c>
      <c r="D126" s="2866">
        <v>12890</v>
      </c>
      <c r="E126" s="2866">
        <v>15530</v>
      </c>
      <c r="F126" s="2866">
        <v>2910</v>
      </c>
      <c r="G126" s="2874">
        <v>8520</v>
      </c>
    </row>
    <row r="127" spans="1:7" s="2848" customFormat="1" ht="14.25" customHeight="1">
      <c r="A127" s="2864" t="s">
        <v>29</v>
      </c>
      <c r="B127" s="2855" t="s">
        <v>3073</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3074</v>
      </c>
      <c r="C148" s="2859">
        <v>10370</v>
      </c>
      <c r="D148" s="2859">
        <v>10310</v>
      </c>
      <c r="E148" s="2859">
        <v>12970</v>
      </c>
      <c r="F148" s="2859"/>
      <c r="G148" s="2859">
        <v>6630</v>
      </c>
    </row>
    <row r="149" spans="1:7" s="2848" customFormat="1" ht="14.25" customHeight="1">
      <c r="A149" s="2859" t="s">
        <v>29</v>
      </c>
      <c r="B149" s="2859" t="s">
        <v>3075</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2949</v>
      </c>
      <c r="C153" s="2859">
        <v>10880</v>
      </c>
      <c r="D153" s="2859">
        <v>10820</v>
      </c>
      <c r="E153" s="2859">
        <v>13660</v>
      </c>
      <c r="F153" s="2859">
        <v>2260</v>
      </c>
      <c r="G153" s="2859">
        <v>6970</v>
      </c>
    </row>
    <row r="154" spans="1:7" s="2848" customFormat="1" ht="14.25" customHeight="1">
      <c r="A154" s="2859" t="s">
        <v>29</v>
      </c>
      <c r="B154" s="2859" t="s">
        <v>3076</v>
      </c>
      <c r="C154" s="2859">
        <v>11220</v>
      </c>
      <c r="D154" s="2859">
        <v>11160</v>
      </c>
      <c r="E154" s="2859">
        <v>14130</v>
      </c>
      <c r="F154" s="2859">
        <v>2230</v>
      </c>
      <c r="G154" s="2859">
        <v>7180</v>
      </c>
    </row>
    <row r="155" spans="1:7" s="2848" customFormat="1" ht="14.25" customHeight="1">
      <c r="A155" s="2859" t="s">
        <v>29</v>
      </c>
      <c r="B155" s="2859" t="s">
        <v>2962</v>
      </c>
      <c r="C155" s="2859">
        <v>10430</v>
      </c>
      <c r="D155" s="2859">
        <v>10380</v>
      </c>
      <c r="E155" s="2859">
        <v>13140</v>
      </c>
      <c r="F155" s="2859">
        <v>2080</v>
      </c>
      <c r="G155" s="2859">
        <v>6650</v>
      </c>
    </row>
    <row r="156" spans="1:7" s="2848" customFormat="1" ht="14.25" customHeight="1">
      <c r="A156" s="2859" t="s">
        <v>29</v>
      </c>
      <c r="B156" s="2859" t="s">
        <v>3077</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3078</v>
      </c>
      <c r="C160" s="2859">
        <v>11180</v>
      </c>
      <c r="D160" s="2859">
        <v>11140</v>
      </c>
      <c r="E160" s="2859">
        <v>14050</v>
      </c>
      <c r="F160" s="2859">
        <v>2270</v>
      </c>
      <c r="G160" s="2859">
        <v>7170</v>
      </c>
    </row>
    <row r="161" spans="1:7" s="2848" customFormat="1" ht="14.25" customHeight="1">
      <c r="A161" s="2859" t="s">
        <v>29</v>
      </c>
      <c r="B161" s="2859" t="s">
        <v>2994</v>
      </c>
      <c r="C161" s="2859">
        <v>11160</v>
      </c>
      <c r="D161" s="2859">
        <v>11120</v>
      </c>
      <c r="E161" s="2859">
        <v>14020</v>
      </c>
      <c r="F161" s="2859">
        <v>2150</v>
      </c>
      <c r="G161" s="2859">
        <v>7160</v>
      </c>
    </row>
    <row r="162" spans="1:7" s="2848" customFormat="1" ht="14.25" customHeight="1">
      <c r="A162" s="2859" t="s">
        <v>29</v>
      </c>
      <c r="B162" s="2859" t="s">
        <v>2999</v>
      </c>
      <c r="C162" s="2859">
        <v>9620</v>
      </c>
      <c r="D162" s="2859">
        <v>9570</v>
      </c>
      <c r="E162" s="2859">
        <v>12320</v>
      </c>
      <c r="F162" s="2859">
        <v>2010</v>
      </c>
      <c r="G162" s="2859">
        <v>6160</v>
      </c>
    </row>
    <row r="163" spans="1:7" s="2848" customFormat="1" ht="14.25" customHeight="1">
      <c r="A163" s="2859" t="s">
        <v>29</v>
      </c>
      <c r="B163" s="2859" t="s">
        <v>3004</v>
      </c>
      <c r="C163" s="2859">
        <v>9320</v>
      </c>
      <c r="D163" s="2859">
        <v>9270</v>
      </c>
      <c r="E163" s="2859">
        <v>11790</v>
      </c>
      <c r="F163" s="2859">
        <v>1920</v>
      </c>
      <c r="G163" s="2859">
        <v>5960</v>
      </c>
    </row>
    <row r="164" spans="1:7" s="2848" customFormat="1" ht="14.25" customHeight="1">
      <c r="A164" s="2859" t="s">
        <v>29</v>
      </c>
      <c r="B164" s="2859" t="s">
        <v>3009</v>
      </c>
      <c r="C164" s="2859"/>
      <c r="D164" s="2859"/>
      <c r="E164" s="2859"/>
      <c r="F164" s="2859">
        <v>1980</v>
      </c>
      <c r="G164" s="2859"/>
    </row>
    <row r="165" spans="1:7" s="2848" customFormat="1" ht="14.25" customHeight="1">
      <c r="A165" s="2859" t="s">
        <v>29</v>
      </c>
      <c r="B165" s="2859" t="s">
        <v>3079</v>
      </c>
      <c r="C165" s="2859">
        <v>11060</v>
      </c>
      <c r="D165" s="2859">
        <v>11030</v>
      </c>
      <c r="E165" s="2859">
        <v>13850</v>
      </c>
      <c r="F165" s="2859">
        <v>2170</v>
      </c>
      <c r="G165" s="2859">
        <v>7090</v>
      </c>
    </row>
    <row r="166" spans="1:7" s="2848" customFormat="1" ht="14.25" customHeight="1">
      <c r="A166" s="2859" t="s">
        <v>29</v>
      </c>
      <c r="B166" s="2859" t="s">
        <v>3019</v>
      </c>
      <c r="C166" s="2859">
        <v>11050</v>
      </c>
      <c r="D166" s="2859">
        <v>11010</v>
      </c>
      <c r="E166" s="2859">
        <v>13920</v>
      </c>
      <c r="F166" s="2859">
        <v>2140</v>
      </c>
      <c r="G166" s="2859">
        <v>7080</v>
      </c>
    </row>
    <row r="167" spans="1:7" s="2848" customFormat="1" ht="14.25" customHeight="1">
      <c r="A167" s="2859" t="s">
        <v>29</v>
      </c>
      <c r="B167" s="2859" t="s">
        <v>3023</v>
      </c>
      <c r="C167" s="2859">
        <v>10930</v>
      </c>
      <c r="D167" s="2859">
        <v>10890</v>
      </c>
      <c r="E167" s="2859">
        <v>13790</v>
      </c>
      <c r="F167" s="2859">
        <v>2010</v>
      </c>
      <c r="G167" s="2859">
        <v>7000</v>
      </c>
    </row>
    <row r="168" spans="1:7" s="2848" customFormat="1" ht="14.25" customHeight="1">
      <c r="A168" s="2859" t="s">
        <v>29</v>
      </c>
      <c r="B168" s="2859" t="s">
        <v>3028</v>
      </c>
      <c r="C168" s="2859">
        <v>9420</v>
      </c>
      <c r="D168" s="2859">
        <v>9380</v>
      </c>
      <c r="E168" s="2859">
        <v>11970</v>
      </c>
      <c r="F168" s="2859"/>
      <c r="G168" s="2859">
        <v>6040</v>
      </c>
    </row>
    <row r="169" spans="1:7" s="2848" customFormat="1" ht="14.25" customHeight="1">
      <c r="A169" s="2859" t="s">
        <v>29</v>
      </c>
      <c r="B169" s="2859" t="s">
        <v>3080</v>
      </c>
      <c r="C169" s="2859"/>
      <c r="D169" s="2859"/>
      <c r="E169" s="2859"/>
      <c r="F169" s="2859">
        <v>2880</v>
      </c>
      <c r="G169" s="2859"/>
    </row>
    <row r="170" spans="1:7" s="2848" customFormat="1" ht="14.25" customHeight="1">
      <c r="A170" s="2859" t="s">
        <v>29</v>
      </c>
      <c r="B170" s="2859" t="s">
        <v>3036</v>
      </c>
      <c r="C170" s="2859"/>
      <c r="D170" s="2859"/>
      <c r="E170" s="2859"/>
      <c r="F170" s="2859">
        <v>2880</v>
      </c>
      <c r="G170" s="2859"/>
    </row>
    <row r="171" spans="1:7" s="2848" customFormat="1" ht="14.25" customHeight="1">
      <c r="A171" s="2859" t="s">
        <v>29</v>
      </c>
      <c r="B171" s="2859" t="s">
        <v>3039</v>
      </c>
      <c r="C171" s="2859"/>
      <c r="D171" s="2859"/>
      <c r="E171" s="2859"/>
      <c r="F171" s="2859">
        <v>2880</v>
      </c>
      <c r="G171" s="2859"/>
    </row>
    <row r="172" spans="1:7" s="2848" customFormat="1" ht="14.25" customHeight="1">
      <c r="A172" s="2859" t="s">
        <v>29</v>
      </c>
      <c r="B172" s="2859" t="s">
        <v>3041</v>
      </c>
      <c r="C172" s="2859"/>
      <c r="D172" s="2859"/>
      <c r="E172" s="2859"/>
      <c r="F172" s="2859">
        <v>2880</v>
      </c>
      <c r="G172" s="2859"/>
    </row>
    <row r="173" spans="1:7" s="2848" customFormat="1" ht="14.25" customHeight="1">
      <c r="A173" s="2859" t="s">
        <v>29</v>
      </c>
      <c r="B173" s="2859" t="s">
        <v>3043</v>
      </c>
      <c r="C173" s="2859"/>
      <c r="D173" s="2859"/>
      <c r="E173" s="2859"/>
      <c r="F173" s="2859">
        <v>2150</v>
      </c>
      <c r="G173" s="2859"/>
    </row>
    <row r="174" spans="1:7" s="2848" customFormat="1" ht="14.25" customHeight="1">
      <c r="A174" s="2859" t="s">
        <v>29</v>
      </c>
      <c r="B174" s="2859" t="s">
        <v>3045</v>
      </c>
      <c r="C174" s="2859"/>
      <c r="D174" s="2859"/>
      <c r="E174" s="2859"/>
      <c r="F174" s="2859">
        <v>2030</v>
      </c>
      <c r="G174" s="2859"/>
    </row>
    <row r="175" spans="1:7" s="2848" customFormat="1" ht="14.25" customHeight="1">
      <c r="A175" s="2859" t="s">
        <v>29</v>
      </c>
      <c r="B175" s="2859" t="s">
        <v>3047</v>
      </c>
      <c r="C175" s="2859"/>
      <c r="D175" s="2859"/>
      <c r="E175" s="2859"/>
      <c r="F175" s="2859">
        <v>2780</v>
      </c>
      <c r="G175" s="2859"/>
    </row>
    <row r="176" spans="1:7" s="2848" customFormat="1" ht="14.25" customHeight="1">
      <c r="A176" s="2859" t="s">
        <v>29</v>
      </c>
      <c r="B176" s="2859" t="s">
        <v>3049</v>
      </c>
      <c r="C176" s="2859"/>
      <c r="D176" s="2859"/>
      <c r="E176" s="2859"/>
      <c r="F176" s="2859">
        <v>2780</v>
      </c>
      <c r="G176" s="2859"/>
    </row>
    <row r="177" spans="1:7" s="2848" customFormat="1" ht="14.25" customHeight="1">
      <c r="A177" s="2859" t="s">
        <v>29</v>
      </c>
      <c r="B177" s="2859" t="s">
        <v>3081</v>
      </c>
      <c r="C177" s="2859"/>
      <c r="D177" s="2859"/>
      <c r="E177" s="2859"/>
      <c r="F177" s="2859">
        <v>2780</v>
      </c>
      <c r="G177" s="2859"/>
    </row>
    <row r="178" spans="1:7" s="2848" customFormat="1" ht="14.25" customHeight="1">
      <c r="A178" s="2859" t="s">
        <v>29</v>
      </c>
      <c r="B178" s="2859" t="s">
        <v>3082</v>
      </c>
      <c r="C178" s="2859"/>
      <c r="D178" s="2859"/>
      <c r="E178" s="2859"/>
      <c r="F178" s="2859">
        <v>2060</v>
      </c>
      <c r="G178" s="2859"/>
    </row>
    <row r="179" spans="1:7" s="2848" customFormat="1" ht="14.25" customHeight="1">
      <c r="A179" s="2859" t="s">
        <v>29</v>
      </c>
      <c r="B179" s="2859" t="s">
        <v>3083</v>
      </c>
      <c r="C179" s="2859"/>
      <c r="D179" s="2859"/>
      <c r="E179" s="2859"/>
      <c r="F179" s="2859">
        <v>2120</v>
      </c>
      <c r="G179" s="2859"/>
    </row>
    <row r="180" spans="1:7" s="2848" customFormat="1" ht="14.25" customHeight="1">
      <c r="A180" s="2859" t="s">
        <v>29</v>
      </c>
      <c r="B180" s="2859" t="s">
        <v>3055</v>
      </c>
      <c r="C180" s="2859"/>
      <c r="D180" s="2859"/>
      <c r="E180" s="2859"/>
      <c r="F180" s="2859">
        <v>2340</v>
      </c>
      <c r="G180" s="2859"/>
    </row>
    <row r="181" spans="1:7" s="2848" customFormat="1" ht="14.25" customHeight="1">
      <c r="A181" s="2859" t="s">
        <v>29</v>
      </c>
      <c r="B181" s="2859" t="s">
        <v>3056</v>
      </c>
      <c r="C181" s="2859"/>
      <c r="D181" s="2859"/>
      <c r="E181" s="2859"/>
      <c r="F181" s="2859">
        <v>2340</v>
      </c>
      <c r="G181" s="2859"/>
    </row>
    <row r="182" spans="1:7" s="2848" customFormat="1" ht="14.25" customHeight="1">
      <c r="A182" s="2859" t="s">
        <v>29</v>
      </c>
      <c r="B182" s="2859" t="s">
        <v>3057</v>
      </c>
      <c r="C182" s="2859"/>
      <c r="D182" s="2859"/>
      <c r="E182" s="2859"/>
      <c r="F182" s="2859">
        <v>2340</v>
      </c>
      <c r="G182" s="2859"/>
    </row>
    <row r="183" spans="1:7" s="2848" customFormat="1" ht="14.25" customHeight="1">
      <c r="A183" s="2859" t="s">
        <v>29</v>
      </c>
      <c r="B183" s="2859" t="s">
        <v>3058</v>
      </c>
      <c r="C183" s="2859"/>
      <c r="D183" s="2859"/>
      <c r="E183" s="2859"/>
      <c r="F183" s="2859">
        <v>2340</v>
      </c>
      <c r="G183" s="2859"/>
    </row>
    <row r="184" spans="1:7" s="2848" customFormat="1" ht="14.25" customHeight="1">
      <c r="A184" s="2859" t="s">
        <v>29</v>
      </c>
      <c r="B184" s="2859" t="s">
        <v>3059</v>
      </c>
      <c r="C184" s="2859"/>
      <c r="D184" s="2859"/>
      <c r="E184" s="2859"/>
      <c r="F184" s="2859">
        <v>2340</v>
      </c>
      <c r="G184" s="2859"/>
    </row>
    <row r="185" spans="1:7" s="2848" customFormat="1" ht="14.25" customHeight="1">
      <c r="A185" s="2859" t="s">
        <v>29</v>
      </c>
      <c r="B185" s="2859" t="s">
        <v>3060</v>
      </c>
      <c r="C185" s="2859"/>
      <c r="D185" s="2859"/>
      <c r="E185" s="2859"/>
      <c r="F185" s="2859">
        <v>2530</v>
      </c>
      <c r="G185" s="2859"/>
    </row>
    <row r="186" spans="1:7" s="2848" customFormat="1" ht="14.25" customHeight="1">
      <c r="A186" s="2859" t="s">
        <v>29</v>
      </c>
      <c r="B186" s="2859" t="s">
        <v>3061</v>
      </c>
      <c r="C186" s="2859"/>
      <c r="D186" s="2859"/>
      <c r="E186" s="2859"/>
      <c r="F186" s="2859">
        <v>2550</v>
      </c>
      <c r="G186" s="2859"/>
    </row>
    <row r="187" spans="1:7" s="2848" customFormat="1" ht="14.25" customHeight="1">
      <c r="A187" s="2859" t="s">
        <v>29</v>
      </c>
      <c r="B187" s="2859" t="s">
        <v>3062</v>
      </c>
      <c r="C187" s="2859"/>
      <c r="D187" s="2859"/>
      <c r="E187" s="2859"/>
      <c r="F187" s="2859">
        <v>2070</v>
      </c>
      <c r="G187" s="2859"/>
    </row>
    <row r="188" spans="1:7" s="2848" customFormat="1" ht="14.25" customHeight="1">
      <c r="A188" s="2859" t="s">
        <v>29</v>
      </c>
      <c r="B188" s="2859" t="s">
        <v>3063</v>
      </c>
      <c r="C188" s="2859"/>
      <c r="D188" s="2859"/>
      <c r="E188" s="2859"/>
      <c r="F188" s="2859">
        <v>2340</v>
      </c>
      <c r="G188" s="2859"/>
    </row>
    <row r="189" spans="1:7" s="2848" customFormat="1" ht="14.25" customHeight="1" thickBot="1">
      <c r="A189" s="2867" t="s">
        <v>29</v>
      </c>
      <c r="B189" s="2870" t="s">
        <v>3064</v>
      </c>
      <c r="C189" s="2870"/>
      <c r="D189" s="2870"/>
      <c r="E189" s="2870"/>
      <c r="F189" s="2870">
        <v>2050</v>
      </c>
      <c r="G189" s="2870"/>
    </row>
    <row r="190" spans="1:7" s="2848" customFormat="1" ht="14.25" customHeight="1">
      <c r="A190" s="2864" t="s">
        <v>304</v>
      </c>
      <c r="B190" s="2855" t="s">
        <v>3084</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3085</v>
      </c>
      <c r="C199" s="2859">
        <v>8690</v>
      </c>
      <c r="D199" s="2859">
        <v>8630</v>
      </c>
      <c r="E199" s="2859">
        <v>11350</v>
      </c>
      <c r="F199" s="2859">
        <v>1600</v>
      </c>
      <c r="G199" s="2872">
        <v>5450</v>
      </c>
    </row>
    <row r="200" spans="1:7" s="2848" customFormat="1" ht="14.25" customHeight="1">
      <c r="A200" s="2859" t="s">
        <v>304</v>
      </c>
      <c r="B200" s="2859" t="s">
        <v>2896</v>
      </c>
      <c r="C200" s="2859"/>
      <c r="D200" s="2859"/>
      <c r="E200" s="2859"/>
      <c r="F200" s="2859">
        <v>1510</v>
      </c>
      <c r="G200" s="2872"/>
    </row>
    <row r="201" spans="1:7" s="2848" customFormat="1" ht="14.25" customHeight="1">
      <c r="A201" s="2859" t="s">
        <v>304</v>
      </c>
      <c r="B201" s="2859" t="s">
        <v>3086</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3087</v>
      </c>
      <c r="C203" s="2859">
        <v>8130</v>
      </c>
      <c r="D203" s="2859">
        <v>8070</v>
      </c>
      <c r="E203" s="2859">
        <v>10820</v>
      </c>
      <c r="F203" s="2859">
        <v>1690</v>
      </c>
      <c r="G203" s="2872">
        <v>5100</v>
      </c>
    </row>
    <row r="204" spans="1:7" s="2848" customFormat="1" ht="14.25" customHeight="1">
      <c r="A204" s="2859" t="s">
        <v>304</v>
      </c>
      <c r="B204" s="2859" t="s">
        <v>2907</v>
      </c>
      <c r="C204" s="2859">
        <v>8350</v>
      </c>
      <c r="D204" s="2859">
        <v>8290</v>
      </c>
      <c r="E204" s="2859">
        <v>11080</v>
      </c>
      <c r="F204" s="2859">
        <v>1450</v>
      </c>
      <c r="G204" s="2872">
        <v>5240</v>
      </c>
    </row>
    <row r="205" spans="1:7" s="2848" customFormat="1" ht="14.25" customHeight="1">
      <c r="A205" s="2859" t="s">
        <v>304</v>
      </c>
      <c r="B205" s="2859" t="s">
        <v>2909</v>
      </c>
      <c r="C205" s="2859">
        <v>7190</v>
      </c>
      <c r="D205" s="2859">
        <v>7130</v>
      </c>
      <c r="E205" s="2859">
        <v>9490</v>
      </c>
      <c r="F205" s="2859">
        <v>1470</v>
      </c>
      <c r="G205" s="2872">
        <v>4510</v>
      </c>
    </row>
    <row r="206" spans="1:7" s="2848" customFormat="1" ht="14.25" customHeight="1">
      <c r="A206" s="2859" t="s">
        <v>304</v>
      </c>
      <c r="B206" s="2859" t="s">
        <v>2912</v>
      </c>
      <c r="C206" s="2859">
        <v>7000</v>
      </c>
      <c r="D206" s="2859">
        <v>6950</v>
      </c>
      <c r="E206" s="2859">
        <v>9170</v>
      </c>
      <c r="F206" s="2859">
        <v>1400</v>
      </c>
      <c r="G206" s="2872">
        <v>4380</v>
      </c>
    </row>
    <row r="207" spans="1:7" s="2848" customFormat="1" ht="14.25" customHeight="1">
      <c r="A207" s="2859" t="s">
        <v>304</v>
      </c>
      <c r="B207" s="2859" t="s">
        <v>2914</v>
      </c>
      <c r="C207" s="2859">
        <v>6950</v>
      </c>
      <c r="D207" s="2859">
        <v>6900</v>
      </c>
      <c r="E207" s="2859">
        <v>9110</v>
      </c>
      <c r="F207" s="2859">
        <v>1790</v>
      </c>
      <c r="G207" s="2872">
        <v>4360</v>
      </c>
    </row>
    <row r="208" spans="1:7" s="2848" customFormat="1" ht="14.25" customHeight="1">
      <c r="A208" s="2859" t="s">
        <v>304</v>
      </c>
      <c r="B208" s="2859" t="s">
        <v>3088</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2924</v>
      </c>
      <c r="C210" s="2859">
        <v>8710</v>
      </c>
      <c r="D210" s="2859">
        <v>8660</v>
      </c>
      <c r="E210" s="2859">
        <v>11440</v>
      </c>
      <c r="F210" s="2859">
        <v>1740</v>
      </c>
      <c r="G210" s="2872">
        <v>5470</v>
      </c>
    </row>
    <row r="211" spans="1:7" s="2848" customFormat="1" ht="14.25" customHeight="1">
      <c r="A211" s="2859" t="s">
        <v>304</v>
      </c>
      <c r="B211" s="2859" t="s">
        <v>3089</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3090</v>
      </c>
      <c r="C214" s="2859">
        <v>8090</v>
      </c>
      <c r="D214" s="2859">
        <v>8030</v>
      </c>
      <c r="E214" s="2859">
        <v>10780</v>
      </c>
      <c r="F214" s="2859">
        <v>1570</v>
      </c>
      <c r="G214" s="2872">
        <v>5070</v>
      </c>
    </row>
    <row r="215" spans="1:7" s="2848" customFormat="1" ht="14.25" customHeight="1">
      <c r="A215" s="2859" t="s">
        <v>304</v>
      </c>
      <c r="B215" s="2859" t="s">
        <v>3091</v>
      </c>
      <c r="C215" s="2859">
        <v>7950</v>
      </c>
      <c r="D215" s="2859">
        <v>7900</v>
      </c>
      <c r="E215" s="2859">
        <v>10560</v>
      </c>
      <c r="F215" s="2859">
        <v>1630</v>
      </c>
      <c r="G215" s="2872">
        <v>4990</v>
      </c>
    </row>
    <row r="216" spans="1:7" s="2848" customFormat="1" ht="14.25" customHeight="1">
      <c r="A216" s="2859" t="s">
        <v>304</v>
      </c>
      <c r="B216" s="2859" t="s">
        <v>3092</v>
      </c>
      <c r="C216" s="2859">
        <v>8490</v>
      </c>
      <c r="D216" s="2859">
        <v>8440</v>
      </c>
      <c r="E216" s="2859">
        <v>11260</v>
      </c>
      <c r="F216" s="2859">
        <v>1690</v>
      </c>
      <c r="G216" s="2872">
        <v>5330</v>
      </c>
    </row>
    <row r="217" spans="1:7" s="2848" customFormat="1" ht="14.25" customHeight="1">
      <c r="A217" s="2859" t="s">
        <v>304</v>
      </c>
      <c r="B217" s="2859" t="s">
        <v>2957</v>
      </c>
      <c r="C217" s="2859">
        <v>8200</v>
      </c>
      <c r="D217" s="2859">
        <v>8150</v>
      </c>
      <c r="E217" s="2859">
        <v>10910</v>
      </c>
      <c r="F217" s="2859">
        <v>1670</v>
      </c>
      <c r="G217" s="2872">
        <v>5150</v>
      </c>
    </row>
    <row r="218" spans="1:7" s="2848" customFormat="1" ht="14.25" customHeight="1">
      <c r="A218" s="2859" t="s">
        <v>304</v>
      </c>
      <c r="B218" s="2859" t="s">
        <v>3093</v>
      </c>
      <c r="C218" s="2859"/>
      <c r="D218" s="2859"/>
      <c r="E218" s="2859"/>
      <c r="F218" s="2859">
        <v>2040</v>
      </c>
      <c r="G218" s="2872"/>
    </row>
    <row r="219" spans="1:7" s="2848" customFormat="1" ht="14.25" customHeight="1">
      <c r="A219" s="2859" t="s">
        <v>304</v>
      </c>
      <c r="B219" s="2859" t="s">
        <v>3094</v>
      </c>
      <c r="C219" s="2859"/>
      <c r="D219" s="2859"/>
      <c r="E219" s="2859"/>
      <c r="F219" s="2859">
        <v>2040</v>
      </c>
      <c r="G219" s="2872"/>
    </row>
    <row r="220" spans="1:7" s="2848" customFormat="1" ht="14.25" customHeight="1">
      <c r="A220" s="2859" t="s">
        <v>304</v>
      </c>
      <c r="B220" s="2859" t="s">
        <v>3095</v>
      </c>
      <c r="C220" s="2859"/>
      <c r="D220" s="2859"/>
      <c r="E220" s="2859"/>
      <c r="F220" s="2859">
        <v>2040</v>
      </c>
      <c r="G220" s="2872"/>
    </row>
    <row r="221" spans="1:7" s="2848" customFormat="1" ht="14.25" customHeight="1">
      <c r="A221" s="2859" t="s">
        <v>304</v>
      </c>
      <c r="B221" s="2859" t="s">
        <v>3096</v>
      </c>
      <c r="C221" s="2859"/>
      <c r="D221" s="2859"/>
      <c r="E221" s="2859"/>
      <c r="F221" s="2859">
        <v>2040</v>
      </c>
      <c r="G221" s="2872"/>
    </row>
    <row r="222" spans="1:7" s="2848" customFormat="1" ht="14.25" customHeight="1">
      <c r="A222" s="2859" t="s">
        <v>304</v>
      </c>
      <c r="B222" s="2859" t="s">
        <v>3097</v>
      </c>
      <c r="C222" s="2859"/>
      <c r="D222" s="2859"/>
      <c r="E222" s="2859"/>
      <c r="F222" s="2859">
        <v>2040</v>
      </c>
      <c r="G222" s="2872"/>
    </row>
    <row r="223" spans="1:7" s="2848" customFormat="1" ht="14.25" customHeight="1">
      <c r="A223" s="2859" t="s">
        <v>304</v>
      </c>
      <c r="B223" s="2859" t="s">
        <v>3098</v>
      </c>
      <c r="C223" s="2859"/>
      <c r="D223" s="2859"/>
      <c r="E223" s="2859"/>
      <c r="F223" s="2859">
        <v>1930</v>
      </c>
      <c r="G223" s="2872"/>
    </row>
    <row r="224" spans="1:7" s="2848" customFormat="1" ht="14.25" customHeight="1">
      <c r="A224" s="2859" t="s">
        <v>304</v>
      </c>
      <c r="B224" s="2859" t="s">
        <v>3099</v>
      </c>
      <c r="C224" s="2859"/>
      <c r="D224" s="2859"/>
      <c r="E224" s="2859"/>
      <c r="F224" s="2859">
        <v>1930</v>
      </c>
      <c r="G224" s="2872"/>
    </row>
    <row r="225" spans="1:7" s="2848" customFormat="1" ht="14.25" customHeight="1">
      <c r="A225" s="2859" t="s">
        <v>304</v>
      </c>
      <c r="B225" s="2859" t="s">
        <v>3100</v>
      </c>
      <c r="C225" s="2859"/>
      <c r="D225" s="2859"/>
      <c r="E225" s="2859"/>
      <c r="F225" s="2859">
        <v>1930</v>
      </c>
      <c r="G225" s="2872"/>
    </row>
    <row r="226" spans="1:7" s="2848" customFormat="1" ht="14.25" customHeight="1">
      <c r="A226" s="2859" t="s">
        <v>304</v>
      </c>
      <c r="B226" s="2859" t="s">
        <v>3101</v>
      </c>
      <c r="C226" s="2859"/>
      <c r="D226" s="2859"/>
      <c r="E226" s="2859"/>
      <c r="F226" s="2859">
        <v>1700</v>
      </c>
      <c r="G226" s="2872"/>
    </row>
    <row r="227" spans="1:7" s="2848" customFormat="1" ht="14.25" customHeight="1">
      <c r="A227" s="2859" t="s">
        <v>304</v>
      </c>
      <c r="B227" s="2859" t="s">
        <v>3102</v>
      </c>
      <c r="C227" s="2859"/>
      <c r="D227" s="2859"/>
      <c r="E227" s="2859"/>
      <c r="F227" s="2859">
        <v>1520</v>
      </c>
      <c r="G227" s="2872"/>
    </row>
    <row r="228" spans="1:7" s="2848" customFormat="1" ht="14.25" customHeight="1">
      <c r="A228" s="2859" t="s">
        <v>304</v>
      </c>
      <c r="B228" s="2859" t="s">
        <v>3103</v>
      </c>
      <c r="C228" s="2859"/>
      <c r="D228" s="2859"/>
      <c r="E228" s="2859"/>
      <c r="F228" s="2859">
        <v>1520</v>
      </c>
      <c r="G228" s="2872"/>
    </row>
    <row r="229" spans="1:7" s="2848" customFormat="1" ht="14.25" customHeight="1">
      <c r="A229" s="2859" t="s">
        <v>304</v>
      </c>
      <c r="B229" s="2859" t="s">
        <v>3020</v>
      </c>
      <c r="C229" s="2859"/>
      <c r="D229" s="2859"/>
      <c r="E229" s="2859"/>
      <c r="F229" s="2859">
        <v>1520</v>
      </c>
      <c r="G229" s="2872"/>
    </row>
    <row r="230" spans="1:7" s="2848" customFormat="1" ht="14.25" customHeight="1">
      <c r="A230" s="2859" t="s">
        <v>304</v>
      </c>
      <c r="B230" s="2859" t="s">
        <v>3104</v>
      </c>
      <c r="C230" s="2859"/>
      <c r="D230" s="2859"/>
      <c r="E230" s="2859"/>
      <c r="F230" s="2859">
        <v>1820</v>
      </c>
      <c r="G230" s="2872"/>
    </row>
    <row r="231" spans="1:7" s="2848" customFormat="1" ht="14.25" customHeight="1">
      <c r="A231" s="2859" t="s">
        <v>304</v>
      </c>
      <c r="B231" s="2859" t="s">
        <v>3105</v>
      </c>
      <c r="C231" s="2859"/>
      <c r="D231" s="2859"/>
      <c r="E231" s="2859"/>
      <c r="F231" s="2859">
        <v>1760</v>
      </c>
      <c r="G231" s="2872"/>
    </row>
    <row r="232" spans="1:7" s="2848" customFormat="1" ht="14.25" customHeight="1">
      <c r="A232" s="2859" t="s">
        <v>304</v>
      </c>
      <c r="B232" s="2859" t="s">
        <v>3106</v>
      </c>
      <c r="C232" s="2859"/>
      <c r="D232" s="2859"/>
      <c r="E232" s="2859"/>
      <c r="F232" s="2859">
        <v>1840</v>
      </c>
      <c r="G232" s="2872"/>
    </row>
    <row r="233" spans="1:7" s="2848" customFormat="1" ht="14.25" customHeight="1" thickBot="1">
      <c r="A233" s="2873" t="s">
        <v>304</v>
      </c>
      <c r="B233" s="2866" t="s">
        <v>3037</v>
      </c>
      <c r="C233" s="2866"/>
      <c r="D233" s="2866"/>
      <c r="E233" s="2866"/>
      <c r="F233" s="2866">
        <v>1770</v>
      </c>
      <c r="G233" s="2874"/>
    </row>
    <row r="234" spans="1:7" s="2848" customFormat="1" ht="14.25" customHeight="1">
      <c r="A234" s="2864" t="s">
        <v>305</v>
      </c>
      <c r="B234" s="2855" t="s">
        <v>3107</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2878</v>
      </c>
      <c r="C238" s="2859">
        <v>6920</v>
      </c>
      <c r="D238" s="2859">
        <v>6890</v>
      </c>
      <c r="E238" s="2859">
        <v>8640</v>
      </c>
      <c r="F238" s="2859">
        <v>1310</v>
      </c>
      <c r="G238" s="2859">
        <v>4230</v>
      </c>
    </row>
    <row r="239" spans="1:7" s="2848" customFormat="1" ht="14.25" customHeight="1">
      <c r="A239" s="2859" t="s">
        <v>305</v>
      </c>
      <c r="B239" s="2859" t="s">
        <v>3108</v>
      </c>
      <c r="C239" s="2859">
        <v>6780</v>
      </c>
      <c r="D239" s="2859">
        <v>6750</v>
      </c>
      <c r="E239" s="2859">
        <v>8440</v>
      </c>
      <c r="F239" s="2859">
        <v>1160</v>
      </c>
      <c r="G239" s="2859">
        <v>4140</v>
      </c>
    </row>
    <row r="240" spans="1:7" s="2848" customFormat="1" ht="14.25" customHeight="1">
      <c r="A240" s="2859" t="s">
        <v>305</v>
      </c>
      <c r="B240" s="2859" t="s">
        <v>3109</v>
      </c>
      <c r="C240" s="2859">
        <v>5420</v>
      </c>
      <c r="D240" s="2859">
        <v>5380</v>
      </c>
      <c r="E240" s="2859">
        <v>6640</v>
      </c>
      <c r="F240" s="2859">
        <v>1020</v>
      </c>
      <c r="G240" s="2859">
        <v>3300</v>
      </c>
    </row>
    <row r="241" spans="1:7" s="2848" customFormat="1" ht="14.25" customHeight="1">
      <c r="A241" s="2859" t="s">
        <v>305</v>
      </c>
      <c r="B241" s="2859" t="s">
        <v>3110</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3111</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3112</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3113</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3114</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3115</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2940</v>
      </c>
      <c r="C258" s="2859">
        <v>6190</v>
      </c>
      <c r="D258" s="2859">
        <v>6160</v>
      </c>
      <c r="E258" s="2859">
        <v>7680</v>
      </c>
      <c r="F258" s="2859">
        <v>1170</v>
      </c>
      <c r="G258" s="2859">
        <v>3780</v>
      </c>
    </row>
    <row r="259" spans="1:7" s="2848" customFormat="1" ht="14.25" customHeight="1">
      <c r="A259" s="2859" t="s">
        <v>305</v>
      </c>
      <c r="B259" s="2859" t="s">
        <v>3116</v>
      </c>
      <c r="C259" s="2859">
        <v>7610</v>
      </c>
      <c r="D259" s="2859">
        <v>7570</v>
      </c>
      <c r="E259" s="2859">
        <v>9350</v>
      </c>
      <c r="F259" s="2859">
        <v>1350</v>
      </c>
      <c r="G259" s="2859">
        <v>4650</v>
      </c>
    </row>
    <row r="260" spans="1:7" s="2848" customFormat="1" ht="14.25" customHeight="1">
      <c r="A260" s="2859" t="s">
        <v>305</v>
      </c>
      <c r="B260" s="2859" t="s">
        <v>3117</v>
      </c>
      <c r="C260" s="2859">
        <v>6920</v>
      </c>
      <c r="D260" s="2859">
        <v>6880</v>
      </c>
      <c r="E260" s="2859">
        <v>8380</v>
      </c>
      <c r="F260" s="2859">
        <v>1160</v>
      </c>
      <c r="G260" s="2859">
        <v>4220</v>
      </c>
    </row>
    <row r="261" spans="1:7" s="2848" customFormat="1" ht="14.25" customHeight="1">
      <c r="A261" s="2859" t="s">
        <v>305</v>
      </c>
      <c r="B261" s="2859" t="s">
        <v>3118</v>
      </c>
      <c r="C261" s="2859">
        <v>6850</v>
      </c>
      <c r="D261" s="2859">
        <v>6810</v>
      </c>
      <c r="E261" s="2859">
        <v>8290</v>
      </c>
      <c r="F261" s="2859">
        <v>1130</v>
      </c>
      <c r="G261" s="2859">
        <v>4180</v>
      </c>
    </row>
    <row r="262" spans="1:7" s="2848" customFormat="1" ht="14.25" customHeight="1">
      <c r="A262" s="2859" t="s">
        <v>305</v>
      </c>
      <c r="B262" s="2859" t="s">
        <v>3119</v>
      </c>
      <c r="C262" s="2859">
        <v>5860</v>
      </c>
      <c r="D262" s="2859">
        <v>5820</v>
      </c>
      <c r="E262" s="2859">
        <v>7640</v>
      </c>
      <c r="F262" s="2859">
        <v>1070</v>
      </c>
      <c r="G262" s="2859">
        <v>3570</v>
      </c>
    </row>
    <row r="263" spans="1:7" s="2848" customFormat="1" ht="14.25" customHeight="1">
      <c r="A263" s="2859" t="s">
        <v>305</v>
      </c>
      <c r="B263" s="2859" t="s">
        <v>3120</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3121</v>
      </c>
      <c r="C265" s="2859"/>
      <c r="D265" s="2859"/>
      <c r="E265" s="2859"/>
      <c r="F265" s="2859">
        <v>1500</v>
      </c>
      <c r="G265" s="2859"/>
    </row>
    <row r="266" spans="1:7" s="2848" customFormat="1" ht="14.25" customHeight="1">
      <c r="A266" s="2859" t="s">
        <v>305</v>
      </c>
      <c r="B266" s="2859" t="s">
        <v>3122</v>
      </c>
      <c r="C266" s="2859"/>
      <c r="D266" s="2859"/>
      <c r="E266" s="2859"/>
      <c r="F266" s="2859">
        <v>1500</v>
      </c>
      <c r="G266" s="2859"/>
    </row>
    <row r="267" spans="1:7" s="2848" customFormat="1" ht="14.25" customHeight="1">
      <c r="A267" s="2859" t="s">
        <v>305</v>
      </c>
      <c r="B267" s="2859" t="s">
        <v>3123</v>
      </c>
      <c r="C267" s="2859"/>
      <c r="D267" s="2859"/>
      <c r="E267" s="2859"/>
      <c r="F267" s="2859">
        <v>1500</v>
      </c>
      <c r="G267" s="2859"/>
    </row>
    <row r="268" spans="1:7" s="2848" customFormat="1" ht="14.25" customHeight="1">
      <c r="A268" s="2859" t="s">
        <v>305</v>
      </c>
      <c r="B268" s="2859" t="s">
        <v>3124</v>
      </c>
      <c r="C268" s="2859"/>
      <c r="D268" s="2859"/>
      <c r="E268" s="2859"/>
      <c r="F268" s="2859">
        <v>1290</v>
      </c>
      <c r="G268" s="2859"/>
    </row>
    <row r="269" spans="1:7" s="2848" customFormat="1" ht="14.25" customHeight="1">
      <c r="A269" s="2859" t="s">
        <v>305</v>
      </c>
      <c r="B269" s="2859" t="s">
        <v>3125</v>
      </c>
      <c r="C269" s="2859"/>
      <c r="D269" s="2859"/>
      <c r="E269" s="2859"/>
      <c r="F269" s="2859">
        <v>1150</v>
      </c>
      <c r="G269" s="2859"/>
    </row>
    <row r="270" spans="1:7" s="2848" customFormat="1" ht="14.25" customHeight="1">
      <c r="A270" s="2859" t="s">
        <v>305</v>
      </c>
      <c r="B270" s="2859" t="s">
        <v>3126</v>
      </c>
      <c r="C270" s="2859"/>
      <c r="D270" s="2859"/>
      <c r="E270" s="2859"/>
      <c r="F270" s="2859">
        <v>1380</v>
      </c>
      <c r="G270" s="2859"/>
    </row>
    <row r="271" spans="1:7" s="2848" customFormat="1" ht="14.25" customHeight="1">
      <c r="A271" s="2859" t="s">
        <v>305</v>
      </c>
      <c r="B271" s="2859" t="s">
        <v>3127</v>
      </c>
      <c r="C271" s="2859"/>
      <c r="D271" s="2859"/>
      <c r="E271" s="2859"/>
      <c r="F271" s="2859">
        <v>1460</v>
      </c>
      <c r="G271" s="2859"/>
    </row>
    <row r="272" spans="1:7" s="2848" customFormat="1" ht="14.25" customHeight="1">
      <c r="A272" s="2859" t="s">
        <v>305</v>
      </c>
      <c r="B272" s="2859" t="s">
        <v>3128</v>
      </c>
      <c r="C272" s="2859"/>
      <c r="D272" s="2859"/>
      <c r="E272" s="2859"/>
      <c r="F272" s="2859">
        <v>1460</v>
      </c>
      <c r="G272" s="2859"/>
    </row>
    <row r="273" spans="1:7" s="2848" customFormat="1" ht="14.25" customHeight="1">
      <c r="A273" s="2859" t="s">
        <v>305</v>
      </c>
      <c r="B273" s="2859" t="s">
        <v>3021</v>
      </c>
      <c r="C273" s="2859"/>
      <c r="D273" s="2859"/>
      <c r="E273" s="2859"/>
      <c r="F273" s="2859">
        <v>1490</v>
      </c>
      <c r="G273" s="2859"/>
    </row>
    <row r="274" spans="1:7" s="2848" customFormat="1" ht="14.25" customHeight="1">
      <c r="A274" s="2859" t="s">
        <v>305</v>
      </c>
      <c r="B274" s="2859" t="s">
        <v>3129</v>
      </c>
      <c r="C274" s="2859"/>
      <c r="D274" s="2859"/>
      <c r="E274" s="2859"/>
      <c r="F274" s="2859">
        <v>1490</v>
      </c>
      <c r="G274" s="2859"/>
    </row>
    <row r="275" spans="1:7" s="2848" customFormat="1" ht="14.25" customHeight="1">
      <c r="A275" s="2859" t="s">
        <v>305</v>
      </c>
      <c r="B275" s="2859" t="s">
        <v>3130</v>
      </c>
      <c r="C275" s="2859"/>
      <c r="D275" s="2859"/>
      <c r="E275" s="2859"/>
      <c r="F275" s="2859">
        <v>1220</v>
      </c>
      <c r="G275" s="2859"/>
    </row>
    <row r="276" spans="1:7" s="2848" customFormat="1" ht="14.25" customHeight="1" thickBot="1">
      <c r="A276" s="2867" t="s">
        <v>305</v>
      </c>
      <c r="B276" s="2869" t="s">
        <v>3131</v>
      </c>
      <c r="C276" s="2870"/>
      <c r="D276" s="2870"/>
      <c r="E276" s="2870"/>
      <c r="F276" s="2870">
        <v>1380</v>
      </c>
      <c r="G276" s="2870"/>
    </row>
    <row r="277" spans="1:7" s="2848" customFormat="1" ht="14.25" customHeight="1">
      <c r="A277" s="2864" t="s">
        <v>306</v>
      </c>
      <c r="B277" s="2855" t="s">
        <v>3132</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3133</v>
      </c>
      <c r="C279" s="2859">
        <v>4760</v>
      </c>
      <c r="D279" s="2859">
        <v>4720</v>
      </c>
      <c r="E279" s="2859">
        <v>5540</v>
      </c>
      <c r="F279" s="2859">
        <v>810</v>
      </c>
      <c r="G279" s="2872">
        <v>2850</v>
      </c>
    </row>
    <row r="280" spans="1:7" s="2848" customFormat="1" ht="14.25" customHeight="1">
      <c r="A280" s="2859" t="s">
        <v>306</v>
      </c>
      <c r="B280" s="2859" t="s">
        <v>3134</v>
      </c>
      <c r="C280" s="2859">
        <v>4010</v>
      </c>
      <c r="D280" s="2859">
        <v>3950</v>
      </c>
      <c r="E280" s="2859">
        <v>4710</v>
      </c>
      <c r="F280" s="2859">
        <v>800</v>
      </c>
      <c r="G280" s="2872">
        <v>2390</v>
      </c>
    </row>
    <row r="281" spans="1:7" s="2848" customFormat="1" ht="14.25" customHeight="1">
      <c r="A281" s="2859" t="s">
        <v>306</v>
      </c>
      <c r="B281" s="2859" t="s">
        <v>3135</v>
      </c>
      <c r="C281" s="2859">
        <v>4480</v>
      </c>
      <c r="D281" s="2859">
        <v>4420</v>
      </c>
      <c r="E281" s="2859">
        <v>5230</v>
      </c>
      <c r="F281" s="2859">
        <v>870</v>
      </c>
      <c r="G281" s="2872">
        <v>2660</v>
      </c>
    </row>
    <row r="282" spans="1:7" s="2848" customFormat="1" ht="14.25" customHeight="1">
      <c r="A282" s="2859" t="s">
        <v>306</v>
      </c>
      <c r="B282" s="2859" t="s">
        <v>3136</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3137</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3138</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2913</v>
      </c>
      <c r="C293" s="2859">
        <v>5320</v>
      </c>
      <c r="D293" s="2859">
        <v>5270</v>
      </c>
      <c r="E293" s="2859">
        <v>6160</v>
      </c>
      <c r="F293" s="2859">
        <v>990</v>
      </c>
      <c r="G293" s="2872">
        <v>3170</v>
      </c>
    </row>
    <row r="294" spans="1:7" s="2848" customFormat="1" ht="14.25" customHeight="1">
      <c r="A294" s="2859" t="s">
        <v>306</v>
      </c>
      <c r="B294" s="2859" t="s">
        <v>3139</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2932</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3140</v>
      </c>
      <c r="C302" s="2859">
        <v>5520</v>
      </c>
      <c r="D302" s="2859">
        <v>5470</v>
      </c>
      <c r="E302" s="2859">
        <v>6410</v>
      </c>
      <c r="F302" s="2859">
        <v>950</v>
      </c>
      <c r="G302" s="2872">
        <v>3300</v>
      </c>
    </row>
    <row r="303" spans="1:7" s="2848" customFormat="1" ht="14.25" customHeight="1">
      <c r="A303" s="2859" t="s">
        <v>306</v>
      </c>
      <c r="B303" s="2859" t="s">
        <v>2952</v>
      </c>
      <c r="C303" s="2859">
        <v>5630</v>
      </c>
      <c r="D303" s="2859">
        <v>5590</v>
      </c>
      <c r="E303" s="2859">
        <v>6550</v>
      </c>
      <c r="F303" s="2859">
        <v>1010</v>
      </c>
      <c r="G303" s="2872">
        <v>3370</v>
      </c>
    </row>
    <row r="304" spans="1:7" s="2848" customFormat="1" ht="14.25" customHeight="1">
      <c r="A304" s="2859" t="s">
        <v>306</v>
      </c>
      <c r="B304" s="2859" t="s">
        <v>2959</v>
      </c>
      <c r="C304" s="2859">
        <v>5680</v>
      </c>
      <c r="D304" s="2859">
        <v>5620</v>
      </c>
      <c r="E304" s="2859">
        <v>6620</v>
      </c>
      <c r="F304" s="2859">
        <v>1050</v>
      </c>
      <c r="G304" s="2872">
        <v>3390</v>
      </c>
    </row>
    <row r="305" spans="1:7" s="2848" customFormat="1" ht="14.25" customHeight="1">
      <c r="A305" s="2859" t="s">
        <v>306</v>
      </c>
      <c r="B305" s="2859" t="s">
        <v>2965</v>
      </c>
      <c r="C305" s="2859">
        <v>5590</v>
      </c>
      <c r="D305" s="2859">
        <v>5530</v>
      </c>
      <c r="E305" s="2859">
        <v>6460</v>
      </c>
      <c r="F305" s="2859">
        <v>900</v>
      </c>
      <c r="G305" s="2872">
        <v>3340</v>
      </c>
    </row>
    <row r="306" spans="1:7" s="2848" customFormat="1" ht="14.25" customHeight="1">
      <c r="A306" s="2859" t="s">
        <v>306</v>
      </c>
      <c r="B306" s="2859" t="s">
        <v>3141</v>
      </c>
      <c r="C306" s="2859">
        <v>5560</v>
      </c>
      <c r="D306" s="2859">
        <v>5510</v>
      </c>
      <c r="E306" s="2859">
        <v>6440</v>
      </c>
      <c r="F306" s="2859">
        <v>900</v>
      </c>
      <c r="G306" s="2872">
        <v>3320</v>
      </c>
    </row>
    <row r="307" spans="1:7" s="2848" customFormat="1" ht="14.25" customHeight="1">
      <c r="A307" s="2859" t="s">
        <v>306</v>
      </c>
      <c r="B307" s="2859" t="s">
        <v>2977</v>
      </c>
      <c r="C307" s="2859">
        <v>5650</v>
      </c>
      <c r="D307" s="2859">
        <v>5600</v>
      </c>
      <c r="E307" s="2859">
        <v>6590</v>
      </c>
      <c r="F307" s="2859">
        <v>930</v>
      </c>
      <c r="G307" s="2872">
        <v>3380</v>
      </c>
    </row>
    <row r="308" spans="1:7" s="2848" customFormat="1" ht="14.25" customHeight="1">
      <c r="A308" s="2859" t="s">
        <v>306</v>
      </c>
      <c r="B308" s="2859" t="s">
        <v>3142</v>
      </c>
      <c r="C308" s="2859">
        <v>5620</v>
      </c>
      <c r="D308" s="2859">
        <v>5580</v>
      </c>
      <c r="E308" s="2859">
        <v>6540</v>
      </c>
      <c r="F308" s="2859">
        <v>910</v>
      </c>
      <c r="G308" s="2872">
        <v>3370</v>
      </c>
    </row>
    <row r="309" spans="1:7" s="2848" customFormat="1" ht="14.25" customHeight="1">
      <c r="A309" s="2859" t="s">
        <v>306</v>
      </c>
      <c r="B309" s="2859" t="s">
        <v>3143</v>
      </c>
      <c r="C309" s="2859">
        <v>5060</v>
      </c>
      <c r="D309" s="2859">
        <v>5020</v>
      </c>
      <c r="E309" s="2859">
        <v>6370</v>
      </c>
      <c r="F309" s="2859">
        <v>800</v>
      </c>
      <c r="G309" s="2872">
        <v>3020</v>
      </c>
    </row>
    <row r="310" spans="1:7" s="2848" customFormat="1" ht="14.25" customHeight="1">
      <c r="A310" s="2859" t="s">
        <v>306</v>
      </c>
      <c r="B310" s="2859" t="s">
        <v>2992</v>
      </c>
      <c r="C310" s="2859">
        <v>5150</v>
      </c>
      <c r="D310" s="2859">
        <v>5110</v>
      </c>
      <c r="E310" s="2859">
        <v>6500</v>
      </c>
      <c r="F310" s="2859">
        <v>880</v>
      </c>
      <c r="G310" s="2872">
        <v>3080</v>
      </c>
    </row>
    <row r="311" spans="1:7" s="2848" customFormat="1" ht="14.25" customHeight="1">
      <c r="A311" s="2859" t="s">
        <v>306</v>
      </c>
      <c r="B311" s="2859" t="s">
        <v>3144</v>
      </c>
      <c r="C311" s="2859">
        <v>4750</v>
      </c>
      <c r="D311" s="2859">
        <v>4710</v>
      </c>
      <c r="E311" s="2859">
        <v>5510</v>
      </c>
      <c r="F311" s="2859">
        <v>880</v>
      </c>
      <c r="G311" s="2872">
        <v>2840</v>
      </c>
    </row>
    <row r="312" spans="1:7" s="2848" customFormat="1" ht="14.25" customHeight="1">
      <c r="A312" s="2859" t="s">
        <v>306</v>
      </c>
      <c r="B312" s="2859" t="s">
        <v>3002</v>
      </c>
      <c r="C312" s="2859">
        <v>4690</v>
      </c>
      <c r="D312" s="2859">
        <v>4640</v>
      </c>
      <c r="E312" s="2859">
        <v>5420</v>
      </c>
      <c r="F312" s="2859">
        <v>800</v>
      </c>
      <c r="G312" s="2872">
        <v>2800</v>
      </c>
    </row>
    <row r="313" spans="1:7" s="2848" customFormat="1" ht="14.25" customHeight="1">
      <c r="A313" s="2859" t="s">
        <v>306</v>
      </c>
      <c r="B313" s="2859" t="s">
        <v>3007</v>
      </c>
      <c r="C313" s="2859">
        <v>4810</v>
      </c>
      <c r="D313" s="2859">
        <v>4760</v>
      </c>
      <c r="E313" s="2859">
        <v>5550</v>
      </c>
      <c r="F313" s="2859">
        <v>920</v>
      </c>
      <c r="G313" s="2872">
        <v>2870</v>
      </c>
    </row>
    <row r="314" spans="1:7" s="2848" customFormat="1" ht="14.25" customHeight="1">
      <c r="A314" s="2859" t="s">
        <v>306</v>
      </c>
      <c r="B314" s="2859" t="s">
        <v>3145</v>
      </c>
      <c r="C314" s="2859"/>
      <c r="D314" s="2859"/>
      <c r="E314" s="2859"/>
      <c r="F314" s="2859">
        <v>1020</v>
      </c>
      <c r="G314" s="2872"/>
    </row>
    <row r="315" spans="1:7" s="2848" customFormat="1" ht="14.25" customHeight="1">
      <c r="A315" s="2859" t="s">
        <v>306</v>
      </c>
      <c r="B315" s="2859" t="s">
        <v>3146</v>
      </c>
      <c r="C315" s="2859"/>
      <c r="D315" s="2859"/>
      <c r="E315" s="2859"/>
      <c r="F315" s="2859">
        <v>1050</v>
      </c>
      <c r="G315" s="2872"/>
    </row>
    <row r="316" spans="1:7" s="2848" customFormat="1" ht="14.25" customHeight="1">
      <c r="A316" s="2859" t="s">
        <v>306</v>
      </c>
      <c r="B316" s="2859" t="s">
        <v>3022</v>
      </c>
      <c r="C316" s="2859"/>
      <c r="D316" s="2859"/>
      <c r="E316" s="2859"/>
      <c r="F316" s="2859">
        <v>900</v>
      </c>
      <c r="G316" s="2872"/>
    </row>
    <row r="317" spans="1:7" s="2848" customFormat="1" ht="14.25" customHeight="1">
      <c r="A317" s="2859" t="s">
        <v>306</v>
      </c>
      <c r="B317" s="2859" t="s">
        <v>3147</v>
      </c>
      <c r="C317" s="2859"/>
      <c r="D317" s="2859"/>
      <c r="E317" s="2859"/>
      <c r="F317" s="2859">
        <v>920</v>
      </c>
      <c r="G317" s="2872"/>
    </row>
    <row r="318" spans="1:7" s="2848" customFormat="1" ht="14.25" customHeight="1">
      <c r="A318" s="2859" t="s">
        <v>306</v>
      </c>
      <c r="B318" s="2859" t="s">
        <v>3148</v>
      </c>
      <c r="C318" s="2859"/>
      <c r="D318" s="2859"/>
      <c r="E318" s="2859"/>
      <c r="F318" s="2859">
        <v>1080</v>
      </c>
      <c r="G318" s="2872"/>
    </row>
    <row r="319" spans="1:7" s="2848" customFormat="1" ht="14.25" customHeight="1">
      <c r="A319" s="2859" t="s">
        <v>306</v>
      </c>
      <c r="B319" s="2859" t="s">
        <v>3035</v>
      </c>
      <c r="C319" s="2859"/>
      <c r="D319" s="2859"/>
      <c r="E319" s="2859"/>
      <c r="F319" s="2859">
        <v>1020</v>
      </c>
      <c r="G319" s="2872"/>
    </row>
    <row r="320" spans="1:7" s="2848" customFormat="1" ht="14.25" customHeight="1">
      <c r="A320" s="2859" t="s">
        <v>306</v>
      </c>
      <c r="B320" s="2859" t="s">
        <v>3038</v>
      </c>
      <c r="C320" s="2859"/>
      <c r="D320" s="2859"/>
      <c r="E320" s="2859"/>
      <c r="F320" s="2859">
        <v>1050</v>
      </c>
      <c r="G320" s="2872"/>
    </row>
    <row r="321" spans="1:7" s="2848" customFormat="1" ht="14.25" customHeight="1">
      <c r="A321" s="2859" t="s">
        <v>306</v>
      </c>
      <c r="B321" s="2859" t="s">
        <v>3040</v>
      </c>
      <c r="C321" s="2859"/>
      <c r="D321" s="2859"/>
      <c r="E321" s="2859"/>
      <c r="F321" s="2859">
        <v>960</v>
      </c>
      <c r="G321" s="2872"/>
    </row>
    <row r="322" spans="1:7" s="2848" customFormat="1" ht="14.25" customHeight="1">
      <c r="A322" s="2859" t="s">
        <v>306</v>
      </c>
      <c r="B322" s="2859" t="s">
        <v>3042</v>
      </c>
      <c r="C322" s="2859"/>
      <c r="D322" s="2859"/>
      <c r="E322" s="2859"/>
      <c r="F322" s="2859">
        <v>960</v>
      </c>
      <c r="G322" s="2872"/>
    </row>
    <row r="323" spans="1:7" s="2848" customFormat="1" ht="14.25" customHeight="1">
      <c r="A323" s="2859" t="s">
        <v>306</v>
      </c>
      <c r="B323" s="2859" t="s">
        <v>3044</v>
      </c>
      <c r="C323" s="2859"/>
      <c r="D323" s="2859"/>
      <c r="E323" s="2859"/>
      <c r="F323" s="2859">
        <v>880</v>
      </c>
      <c r="G323" s="2872"/>
    </row>
    <row r="324" spans="1:7" s="2848" customFormat="1" ht="14.25" customHeight="1">
      <c r="A324" s="2859" t="s">
        <v>306</v>
      </c>
      <c r="B324" s="2859" t="s">
        <v>3046</v>
      </c>
      <c r="C324" s="2859"/>
      <c r="D324" s="2859"/>
      <c r="E324" s="2859"/>
      <c r="F324" s="2859">
        <v>930</v>
      </c>
      <c r="G324" s="2872"/>
    </row>
    <row r="325" spans="1:7" s="2848" customFormat="1" ht="14.25" customHeight="1">
      <c r="A325" s="2859" t="s">
        <v>306</v>
      </c>
      <c r="B325" s="2860" t="s">
        <v>3048</v>
      </c>
      <c r="C325" s="2859"/>
      <c r="D325" s="2859"/>
      <c r="E325" s="2859"/>
      <c r="F325" s="2859">
        <v>900</v>
      </c>
      <c r="G325" s="2872"/>
    </row>
    <row r="326" spans="1:7" s="2848" customFormat="1" ht="14.25" customHeight="1" thickBot="1">
      <c r="A326" s="2873" t="s">
        <v>306</v>
      </c>
      <c r="B326" s="2866" t="s">
        <v>3050</v>
      </c>
      <c r="C326" s="2866"/>
      <c r="D326" s="2866"/>
      <c r="E326" s="2866"/>
      <c r="F326" s="2866">
        <v>790</v>
      </c>
      <c r="G326" s="2874"/>
    </row>
    <row r="327" spans="1:7" s="2848" customFormat="1" ht="14.25" customHeight="1">
      <c r="A327" s="2864" t="s">
        <v>307</v>
      </c>
      <c r="B327" s="2855" t="s">
        <v>3149</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3150</v>
      </c>
      <c r="C329" s="2859">
        <v>2730</v>
      </c>
      <c r="D329" s="2859">
        <v>2690</v>
      </c>
      <c r="E329" s="2859">
        <v>3100</v>
      </c>
      <c r="F329" s="2859">
        <v>660</v>
      </c>
      <c r="G329" s="2859">
        <v>1610</v>
      </c>
    </row>
    <row r="330" spans="1:7" s="2848" customFormat="1" ht="14.25" customHeight="1">
      <c r="A330" s="2859" t="s">
        <v>307</v>
      </c>
      <c r="B330" s="2859" t="s">
        <v>3151</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2884</v>
      </c>
      <c r="C332" s="2859">
        <v>3520</v>
      </c>
      <c r="D332" s="2859">
        <v>3480</v>
      </c>
      <c r="E332" s="2859">
        <v>3830</v>
      </c>
      <c r="F332" s="2859">
        <v>720</v>
      </c>
      <c r="G332" s="2859">
        <v>2090</v>
      </c>
    </row>
    <row r="333" spans="1:7" s="2848" customFormat="1" ht="14.25" customHeight="1">
      <c r="A333" s="2859" t="s">
        <v>307</v>
      </c>
      <c r="B333" s="2859" t="s">
        <v>3152</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2894</v>
      </c>
      <c r="C336" s="2859">
        <v>3570</v>
      </c>
      <c r="D336" s="2859">
        <v>3530</v>
      </c>
      <c r="E336" s="2859">
        <v>3880</v>
      </c>
      <c r="F336" s="2859">
        <v>770</v>
      </c>
      <c r="G336" s="2859">
        <v>2110</v>
      </c>
    </row>
    <row r="337" spans="1:10" s="2848" customFormat="1" ht="14.25" customHeight="1">
      <c r="A337" s="2859" t="s">
        <v>307</v>
      </c>
      <c r="B337" s="2859" t="s">
        <v>3153</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3154</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3155</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2919</v>
      </c>
      <c r="C345" s="2859">
        <v>3190</v>
      </c>
      <c r="D345" s="2859">
        <v>3140</v>
      </c>
      <c r="E345" s="2859">
        <v>3450</v>
      </c>
      <c r="F345" s="2859">
        <v>720</v>
      </c>
      <c r="G345" s="2859">
        <v>1880</v>
      </c>
      <c r="J345" s="2848"/>
    </row>
    <row r="346" spans="1:10">
      <c r="A346" s="2859" t="s">
        <v>307</v>
      </c>
      <c r="B346" s="2859" t="s">
        <v>3156</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2928</v>
      </c>
      <c r="C348" s="2859">
        <v>4000</v>
      </c>
      <c r="D348" s="2859">
        <v>3950</v>
      </c>
      <c r="E348" s="2859">
        <v>4430</v>
      </c>
      <c r="F348" s="2859">
        <v>760</v>
      </c>
      <c r="G348" s="2859">
        <v>2360</v>
      </c>
      <c r="J348" s="2848"/>
    </row>
    <row r="349" spans="1:10">
      <c r="A349" s="2859" t="s">
        <v>307</v>
      </c>
      <c r="B349" s="2859" t="s">
        <v>2933</v>
      </c>
      <c r="C349" s="2859">
        <v>3820</v>
      </c>
      <c r="D349" s="2859">
        <v>3780</v>
      </c>
      <c r="E349" s="2859">
        <v>4170</v>
      </c>
      <c r="F349" s="2859">
        <v>710</v>
      </c>
      <c r="G349" s="2859">
        <v>2260</v>
      </c>
      <c r="J349" s="2848"/>
    </row>
    <row r="350" spans="1:10">
      <c r="A350" s="2859" t="s">
        <v>307</v>
      </c>
      <c r="B350" s="2859" t="s">
        <v>3157</v>
      </c>
      <c r="C350" s="2859">
        <v>3760</v>
      </c>
      <c r="D350" s="2859">
        <v>3730</v>
      </c>
      <c r="E350" s="2859">
        <v>4100</v>
      </c>
      <c r="F350" s="2859">
        <v>800</v>
      </c>
      <c r="G350" s="2859">
        <v>2230</v>
      </c>
      <c r="J350" s="2848"/>
    </row>
    <row r="351" spans="1:10">
      <c r="A351" s="2859" t="s">
        <v>307</v>
      </c>
      <c r="B351" s="2859" t="s">
        <v>2941</v>
      </c>
      <c r="C351" s="2859">
        <v>3610</v>
      </c>
      <c r="D351" s="2859">
        <v>3580</v>
      </c>
      <c r="E351" s="2859">
        <v>3930</v>
      </c>
      <c r="F351" s="2859">
        <v>700</v>
      </c>
      <c r="G351" s="2859">
        <v>2140</v>
      </c>
      <c r="J351" s="2848"/>
    </row>
    <row r="352" spans="1:10">
      <c r="A352" s="2859" t="s">
        <v>307</v>
      </c>
      <c r="B352" s="2859" t="s">
        <v>2946</v>
      </c>
      <c r="C352" s="2859">
        <v>3670</v>
      </c>
      <c r="D352" s="2859">
        <v>3630</v>
      </c>
      <c r="E352" s="2859">
        <v>4000</v>
      </c>
      <c r="F352" s="2859">
        <v>750</v>
      </c>
      <c r="G352" s="2859">
        <v>2180</v>
      </c>
    </row>
    <row r="353" spans="1:7" s="2852" customFormat="1">
      <c r="A353" s="2859" t="s">
        <v>307</v>
      </c>
      <c r="B353" s="2859" t="s">
        <v>3158</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2966</v>
      </c>
      <c r="C355" s="2859">
        <v>3650</v>
      </c>
      <c r="D355" s="2859">
        <v>3610</v>
      </c>
      <c r="E355" s="2859">
        <v>4200</v>
      </c>
      <c r="F355" s="2859">
        <v>640</v>
      </c>
      <c r="G355" s="2859">
        <v>2160</v>
      </c>
    </row>
    <row r="356" spans="1:7" s="2852" customFormat="1">
      <c r="A356" s="2859" t="s">
        <v>307</v>
      </c>
      <c r="B356" s="2859" t="s">
        <v>2973</v>
      </c>
      <c r="C356" s="2859">
        <v>3260</v>
      </c>
      <c r="D356" s="2859">
        <v>3230</v>
      </c>
      <c r="E356" s="2859">
        <v>3740</v>
      </c>
      <c r="F356" s="2859">
        <v>600</v>
      </c>
      <c r="G356" s="2859">
        <v>1930</v>
      </c>
    </row>
    <row r="357" spans="1:7" s="2852" customFormat="1" ht="12" thickBot="1">
      <c r="A357" s="2867" t="s">
        <v>307</v>
      </c>
      <c r="B357" s="2870" t="s">
        <v>3159</v>
      </c>
      <c r="C357" s="2870">
        <v>3690</v>
      </c>
      <c r="D357" s="2870">
        <v>3650</v>
      </c>
      <c r="E357" s="2870">
        <v>4020</v>
      </c>
      <c r="F357" s="2870">
        <v>700</v>
      </c>
      <c r="G357" s="2870">
        <v>2190</v>
      </c>
    </row>
    <row r="358" spans="1:7" s="2852" customFormat="1">
      <c r="A358" s="2864" t="s">
        <v>3160</v>
      </c>
      <c r="B358" s="2855" t="s">
        <v>3161</v>
      </c>
      <c r="C358" s="2855">
        <v>2080</v>
      </c>
      <c r="D358" s="2855">
        <v>2040</v>
      </c>
      <c r="E358" s="2855">
        <v>2010</v>
      </c>
      <c r="F358" s="2855">
        <v>530</v>
      </c>
      <c r="G358" s="2871">
        <v>1230</v>
      </c>
    </row>
    <row r="359" spans="1:7" s="2852" customFormat="1">
      <c r="A359" s="2859" t="s">
        <v>3160</v>
      </c>
      <c r="B359" s="2859" t="s">
        <v>3162</v>
      </c>
      <c r="C359" s="2859">
        <v>1850</v>
      </c>
      <c r="D359" s="2859">
        <v>1820</v>
      </c>
      <c r="E359" s="2859">
        <v>1780</v>
      </c>
      <c r="F359" s="2859">
        <v>520</v>
      </c>
      <c r="G359" s="2872">
        <v>1100</v>
      </c>
    </row>
    <row r="360" spans="1:7" s="2852" customFormat="1">
      <c r="A360" s="2859" t="s">
        <v>3160</v>
      </c>
      <c r="B360" s="2859" t="s">
        <v>3163</v>
      </c>
      <c r="C360" s="2859">
        <v>2020</v>
      </c>
      <c r="D360" s="2859">
        <v>1990</v>
      </c>
      <c r="E360" s="2859">
        <v>1950</v>
      </c>
      <c r="F360" s="2859">
        <v>500</v>
      </c>
      <c r="G360" s="2872">
        <v>1200</v>
      </c>
    </row>
    <row r="361" spans="1:7" s="2852" customFormat="1">
      <c r="A361" s="2859" t="s">
        <v>3160</v>
      </c>
      <c r="B361" s="2859" t="s">
        <v>153</v>
      </c>
      <c r="C361" s="2859">
        <v>2260</v>
      </c>
      <c r="D361" s="2859">
        <v>2220</v>
      </c>
      <c r="E361" s="2859">
        <v>2180</v>
      </c>
      <c r="F361" s="2859">
        <v>580</v>
      </c>
      <c r="G361" s="2872">
        <v>1340</v>
      </c>
    </row>
    <row r="362" spans="1:7" s="2852" customFormat="1">
      <c r="A362" s="2859" t="s">
        <v>3160</v>
      </c>
      <c r="B362" s="2859" t="s">
        <v>3164</v>
      </c>
      <c r="C362" s="2859">
        <v>2650</v>
      </c>
      <c r="D362" s="2859">
        <v>2610</v>
      </c>
      <c r="E362" s="2859">
        <v>2570</v>
      </c>
      <c r="F362" s="2859">
        <v>630</v>
      </c>
      <c r="G362" s="2872">
        <v>1570</v>
      </c>
    </row>
    <row r="363" spans="1:7" s="2852" customFormat="1">
      <c r="A363" s="2859" t="s">
        <v>3160</v>
      </c>
      <c r="B363" s="2859" t="s">
        <v>2885</v>
      </c>
      <c r="C363" s="2859">
        <v>2390</v>
      </c>
      <c r="D363" s="2859">
        <v>2360</v>
      </c>
      <c r="E363" s="2859">
        <v>2320</v>
      </c>
      <c r="F363" s="2859">
        <v>600</v>
      </c>
      <c r="G363" s="2872">
        <v>1420</v>
      </c>
    </row>
    <row r="364" spans="1:7" s="2852" customFormat="1">
      <c r="A364" s="2859" t="s">
        <v>3160</v>
      </c>
      <c r="B364" s="2859" t="s">
        <v>3165</v>
      </c>
      <c r="C364" s="2859">
        <v>2050</v>
      </c>
      <c r="D364" s="2859">
        <v>2030</v>
      </c>
      <c r="E364" s="2859">
        <v>1990</v>
      </c>
      <c r="F364" s="2859">
        <v>550</v>
      </c>
      <c r="G364" s="2872">
        <v>1220</v>
      </c>
    </row>
    <row r="365" spans="1:7" s="2852" customFormat="1">
      <c r="A365" s="2859" t="s">
        <v>3160</v>
      </c>
      <c r="B365" s="2859" t="s">
        <v>200</v>
      </c>
      <c r="C365" s="2859">
        <v>2140</v>
      </c>
      <c r="D365" s="2859">
        <v>2100</v>
      </c>
      <c r="E365" s="2859">
        <v>2060</v>
      </c>
      <c r="F365" s="2859">
        <v>540</v>
      </c>
      <c r="G365" s="2872">
        <v>1270</v>
      </c>
    </row>
    <row r="366" spans="1:7" s="2852" customFormat="1">
      <c r="A366" s="2859" t="s">
        <v>3160</v>
      </c>
      <c r="B366" s="2859" t="s">
        <v>2892</v>
      </c>
      <c r="C366" s="2859">
        <v>2410</v>
      </c>
      <c r="D366" s="2859">
        <v>2370</v>
      </c>
      <c r="E366" s="2859">
        <v>2330</v>
      </c>
      <c r="F366" s="2859">
        <v>570</v>
      </c>
      <c r="G366" s="2872">
        <v>1440</v>
      </c>
    </row>
    <row r="367" spans="1:7" s="2852" customFormat="1">
      <c r="A367" s="2859" t="s">
        <v>3160</v>
      </c>
      <c r="B367" s="2859" t="s">
        <v>3166</v>
      </c>
      <c r="C367" s="2859">
        <v>2300</v>
      </c>
      <c r="D367" s="2859">
        <v>2260</v>
      </c>
      <c r="E367" s="2859">
        <v>2220</v>
      </c>
      <c r="F367" s="2859">
        <v>560</v>
      </c>
      <c r="G367" s="2872">
        <v>1370</v>
      </c>
    </row>
    <row r="368" spans="1:7" s="2852" customFormat="1">
      <c r="A368" s="2859" t="s">
        <v>3160</v>
      </c>
      <c r="B368" s="2859" t="s">
        <v>3167</v>
      </c>
      <c r="C368" s="2859">
        <v>2430</v>
      </c>
      <c r="D368" s="2859">
        <v>2390</v>
      </c>
      <c r="E368" s="2859">
        <v>2350</v>
      </c>
      <c r="F368" s="2859">
        <v>570</v>
      </c>
      <c r="G368" s="2872">
        <v>1450</v>
      </c>
    </row>
    <row r="369" spans="1:7" s="2852" customFormat="1">
      <c r="A369" s="2859" t="s">
        <v>3160</v>
      </c>
      <c r="B369" s="2859" t="s">
        <v>214</v>
      </c>
      <c r="C369" s="2859">
        <v>2320</v>
      </c>
      <c r="D369" s="2859">
        <v>2290</v>
      </c>
      <c r="E369" s="2859">
        <v>2250</v>
      </c>
      <c r="F369" s="2859">
        <v>550</v>
      </c>
      <c r="G369" s="2872">
        <v>1380</v>
      </c>
    </row>
    <row r="370" spans="1:7" s="2852" customFormat="1">
      <c r="A370" s="2859" t="s">
        <v>3160</v>
      </c>
      <c r="B370" s="2859" t="s">
        <v>221</v>
      </c>
      <c r="C370" s="2859">
        <v>2190</v>
      </c>
      <c r="D370" s="2859">
        <v>2170</v>
      </c>
      <c r="E370" s="2859">
        <v>2130</v>
      </c>
      <c r="F370" s="2859">
        <v>530</v>
      </c>
      <c r="G370" s="2872">
        <v>1310</v>
      </c>
    </row>
    <row r="371" spans="1:7" s="2852" customFormat="1">
      <c r="A371" s="2859" t="s">
        <v>3160</v>
      </c>
      <c r="B371" s="2859" t="s">
        <v>229</v>
      </c>
      <c r="C371" s="2859">
        <v>2460</v>
      </c>
      <c r="D371" s="2859">
        <v>2420</v>
      </c>
      <c r="E371" s="2859">
        <v>2370</v>
      </c>
      <c r="F371" s="2859">
        <v>560</v>
      </c>
      <c r="G371" s="2872">
        <v>1470</v>
      </c>
    </row>
    <row r="372" spans="1:7" s="2852" customFormat="1">
      <c r="A372" s="2859" t="s">
        <v>3160</v>
      </c>
      <c r="B372" s="2859" t="s">
        <v>3168</v>
      </c>
      <c r="C372" s="2859">
        <v>2250</v>
      </c>
      <c r="D372" s="2859">
        <v>2210</v>
      </c>
      <c r="E372" s="2859">
        <v>2180</v>
      </c>
      <c r="F372" s="2859">
        <v>550</v>
      </c>
      <c r="G372" s="2872">
        <v>1340</v>
      </c>
    </row>
    <row r="373" spans="1:7" s="2852" customFormat="1">
      <c r="A373" s="2859" t="s">
        <v>3160</v>
      </c>
      <c r="B373" s="2859" t="s">
        <v>258</v>
      </c>
      <c r="C373" s="2859">
        <v>2210</v>
      </c>
      <c r="D373" s="2859">
        <v>2190</v>
      </c>
      <c r="E373" s="2859">
        <v>2150</v>
      </c>
      <c r="F373" s="2859">
        <v>530</v>
      </c>
      <c r="G373" s="2872">
        <v>1320</v>
      </c>
    </row>
    <row r="374" spans="1:7" s="2852" customFormat="1">
      <c r="A374" s="2859" t="s">
        <v>3160</v>
      </c>
      <c r="B374" s="2859" t="s">
        <v>266</v>
      </c>
      <c r="C374" s="2859">
        <v>2320</v>
      </c>
      <c r="D374" s="2859">
        <v>2280</v>
      </c>
      <c r="E374" s="2859">
        <v>2230</v>
      </c>
      <c r="F374" s="2859">
        <v>580</v>
      </c>
      <c r="G374" s="2872">
        <v>1380</v>
      </c>
    </row>
    <row r="375" spans="1:7" s="2852" customFormat="1">
      <c r="A375" s="2859" t="s">
        <v>3160</v>
      </c>
      <c r="B375" s="2859" t="s">
        <v>3169</v>
      </c>
      <c r="C375" s="2859">
        <v>2090</v>
      </c>
      <c r="D375" s="2859">
        <v>2050</v>
      </c>
      <c r="E375" s="2859">
        <v>2020</v>
      </c>
      <c r="F375" s="2859">
        <v>520</v>
      </c>
      <c r="G375" s="2872">
        <v>1240</v>
      </c>
    </row>
    <row r="376" spans="1:7" s="2852" customFormat="1">
      <c r="A376" s="2859" t="s">
        <v>3160</v>
      </c>
      <c r="B376" s="2859" t="s">
        <v>277</v>
      </c>
      <c r="C376" s="2859">
        <v>2010</v>
      </c>
      <c r="D376" s="2859">
        <v>1980</v>
      </c>
      <c r="E376" s="2859">
        <v>1940</v>
      </c>
      <c r="F376" s="2859">
        <v>540</v>
      </c>
      <c r="G376" s="2872">
        <v>1190</v>
      </c>
    </row>
    <row r="377" spans="1:7" s="2852" customFormat="1" ht="12" thickBot="1">
      <c r="A377" s="2867" t="s">
        <v>3160</v>
      </c>
      <c r="B377" s="2870" t="s">
        <v>2922</v>
      </c>
      <c r="C377" s="2870">
        <v>1930</v>
      </c>
      <c r="D377" s="2870">
        <v>1890</v>
      </c>
      <c r="E377" s="2870">
        <v>1860</v>
      </c>
      <c r="F377" s="2870">
        <v>530</v>
      </c>
      <c r="G377" s="2875">
        <v>1150</v>
      </c>
    </row>
    <row r="378" spans="1:7" s="2852" customFormat="1">
      <c r="A378" s="2876" t="s">
        <v>3170</v>
      </c>
      <c r="B378" s="2855" t="s">
        <v>3171</v>
      </c>
      <c r="C378" s="2855">
        <v>1520</v>
      </c>
      <c r="D378" s="2855">
        <v>1490</v>
      </c>
      <c r="E378" s="2855">
        <v>1460</v>
      </c>
      <c r="F378" s="2855">
        <v>460</v>
      </c>
      <c r="G378" s="2871">
        <v>940</v>
      </c>
    </row>
    <row r="379" spans="1:7" s="2852" customFormat="1">
      <c r="A379" s="2877" t="s">
        <v>3170</v>
      </c>
      <c r="B379" s="2859" t="s">
        <v>3172</v>
      </c>
      <c r="C379" s="2859">
        <v>1500</v>
      </c>
      <c r="D379" s="2859">
        <v>1470</v>
      </c>
      <c r="E379" s="2859">
        <v>1430</v>
      </c>
      <c r="F379" s="2859">
        <v>460</v>
      </c>
      <c r="G379" s="2872">
        <v>920</v>
      </c>
    </row>
    <row r="380" spans="1:7" s="2852" customFormat="1">
      <c r="A380" s="2877" t="s">
        <v>3170</v>
      </c>
      <c r="B380" s="2859" t="s">
        <v>3173</v>
      </c>
      <c r="C380" s="2859">
        <v>1620</v>
      </c>
      <c r="D380" s="2859">
        <v>1590</v>
      </c>
      <c r="E380" s="2859">
        <v>1560</v>
      </c>
      <c r="F380" s="2859">
        <v>480</v>
      </c>
      <c r="G380" s="2872">
        <v>1000</v>
      </c>
    </row>
    <row r="381" spans="1:7" s="2852" customFormat="1">
      <c r="A381" s="2877" t="s">
        <v>3170</v>
      </c>
      <c r="B381" s="2859" t="s">
        <v>3174</v>
      </c>
      <c r="C381" s="2859">
        <v>1460</v>
      </c>
      <c r="D381" s="2859">
        <v>1430</v>
      </c>
      <c r="E381" s="2859">
        <v>1390</v>
      </c>
      <c r="F381" s="2859">
        <v>450</v>
      </c>
      <c r="G381" s="2872">
        <v>900</v>
      </c>
    </row>
    <row r="382" spans="1:7" s="2852" customFormat="1">
      <c r="A382" s="2877" t="s">
        <v>3170</v>
      </c>
      <c r="B382" s="2859" t="s">
        <v>3175</v>
      </c>
      <c r="C382" s="2859">
        <v>1310</v>
      </c>
      <c r="D382" s="2859">
        <v>1280</v>
      </c>
      <c r="E382" s="2859">
        <v>1250</v>
      </c>
      <c r="F382" s="2859">
        <v>440</v>
      </c>
      <c r="G382" s="2872">
        <v>800</v>
      </c>
    </row>
    <row r="383" spans="1:7" s="2852" customFormat="1">
      <c r="A383" s="2877" t="s">
        <v>3170</v>
      </c>
      <c r="B383" s="2859" t="s">
        <v>3176</v>
      </c>
      <c r="C383" s="2859">
        <v>1260</v>
      </c>
      <c r="D383" s="2859">
        <v>1230</v>
      </c>
      <c r="E383" s="2859">
        <v>1200</v>
      </c>
      <c r="F383" s="2859">
        <v>420</v>
      </c>
      <c r="G383" s="2872">
        <v>770</v>
      </c>
    </row>
    <row r="384" spans="1:7" s="2852" customFormat="1" ht="12" thickBot="1">
      <c r="A384" s="2878" t="s">
        <v>3170</v>
      </c>
      <c r="B384" s="2866" t="s">
        <v>3177</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78" t="s">
        <v>3178</v>
      </c>
      <c r="B1" s="4278"/>
    </row>
    <row r="2" spans="1:7" ht="14.25" thickBot="1">
      <c r="A2" s="2881"/>
      <c r="B2" s="2881"/>
    </row>
    <row r="3" spans="1:7" ht="14.25" thickBot="1">
      <c r="A3" s="2881"/>
      <c r="B3" s="2881"/>
      <c r="C3" s="2882" t="s">
        <v>2804</v>
      </c>
      <c r="D3" s="2882" t="s">
        <v>2864</v>
      </c>
      <c r="E3" s="2882" t="s">
        <v>2806</v>
      </c>
      <c r="F3" s="2882" t="s">
        <v>2865</v>
      </c>
      <c r="G3" s="2882" t="s">
        <v>2624</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6"/>
  </cols>
  <sheetData>
    <row r="1" spans="1:6">
      <c r="A1" s="4279" t="s">
        <v>3229</v>
      </c>
      <c r="B1" s="4279"/>
      <c r="C1" s="4279"/>
      <c r="D1" s="4279"/>
      <c r="E1" s="4279"/>
      <c r="F1" s="4280"/>
    </row>
    <row r="2" spans="1:6">
      <c r="A2" s="2917" t="s">
        <v>3230</v>
      </c>
      <c r="B2" s="2918"/>
      <c r="C2" s="2918"/>
      <c r="D2" s="2918"/>
      <c r="E2" s="2918"/>
      <c r="F2" s="2918"/>
    </row>
    <row r="3" spans="1:6">
      <c r="A3" s="2917" t="s">
        <v>3231</v>
      </c>
      <c r="B3" s="2918"/>
      <c r="C3" s="2918"/>
      <c r="D3" s="2918"/>
      <c r="E3" s="2918"/>
      <c r="F3" s="2919" t="s">
        <v>3232</v>
      </c>
    </row>
    <row r="4" spans="1:6">
      <c r="A4" s="2920" t="s">
        <v>672</v>
      </c>
      <c r="B4" s="2920" t="s">
        <v>673</v>
      </c>
      <c r="C4" s="2920" t="s">
        <v>21</v>
      </c>
      <c r="D4" s="2920" t="s">
        <v>674</v>
      </c>
      <c r="E4" s="2920" t="s">
        <v>3</v>
      </c>
      <c r="F4" s="2920" t="s">
        <v>3233</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45142</v>
      </c>
      <c r="B1" s="2836" t="s">
        <v>2835</v>
      </c>
      <c r="C1" s="2837"/>
      <c r="D1" s="2837"/>
      <c r="E1" s="2837"/>
      <c r="F1" s="2837"/>
      <c r="G1" s="2837"/>
      <c r="H1" s="2837"/>
      <c r="I1" s="2837"/>
      <c r="J1" s="2791"/>
      <c r="K1" s="2837" t="s">
        <v>454</v>
      </c>
      <c r="L1" s="2837"/>
      <c r="M1" s="2837"/>
      <c r="N1" s="2837"/>
      <c r="O1" s="2837"/>
      <c r="P1" s="2837"/>
      <c r="Q1" s="2791"/>
      <c r="R1" s="4281" t="s">
        <v>456</v>
      </c>
      <c r="S1" s="4282"/>
      <c r="T1" s="4282"/>
      <c r="U1" s="4282"/>
      <c r="V1" s="4282"/>
      <c r="W1" s="4282"/>
      <c r="X1" s="2791"/>
      <c r="Y1" s="4281" t="s">
        <v>457</v>
      </c>
      <c r="Z1" s="4282"/>
      <c r="AA1" s="4282"/>
      <c r="AB1" s="4282"/>
      <c r="AC1" s="4282"/>
      <c r="AD1" s="4282"/>
    </row>
    <row r="2" spans="1:30" s="2769" customFormat="1" ht="14.25" thickBot="1">
      <c r="B2" s="2770"/>
      <c r="C2" s="2771"/>
      <c r="D2" s="2772" t="s">
        <v>2803</v>
      </c>
      <c r="E2" s="2773" t="s">
        <v>2804</v>
      </c>
      <c r="F2" s="2773" t="s">
        <v>2805</v>
      </c>
      <c r="G2" s="2773" t="s">
        <v>2806</v>
      </c>
      <c r="H2" s="2773" t="s">
        <v>2807</v>
      </c>
      <c r="I2" s="2773" t="s">
        <v>2624</v>
      </c>
      <c r="J2" s="2774"/>
      <c r="K2" s="2772" t="s">
        <v>2803</v>
      </c>
      <c r="L2" s="2773" t="s">
        <v>2804</v>
      </c>
      <c r="M2" s="2773" t="s">
        <v>2805</v>
      </c>
      <c r="N2" s="2773" t="s">
        <v>2806</v>
      </c>
      <c r="O2" s="2773" t="s">
        <v>2808</v>
      </c>
      <c r="P2" s="2773" t="s">
        <v>2624</v>
      </c>
      <c r="Q2" s="2774"/>
      <c r="R2" s="2772" t="s">
        <v>2803</v>
      </c>
      <c r="S2" s="2773" t="s">
        <v>2804</v>
      </c>
      <c r="T2" s="2773" t="s">
        <v>2805</v>
      </c>
      <c r="U2" s="2773" t="s">
        <v>2809</v>
      </c>
      <c r="V2" s="2773" t="s">
        <v>2810</v>
      </c>
      <c r="W2" s="2773" t="s">
        <v>2624</v>
      </c>
      <c r="X2" s="2774"/>
      <c r="Y2" s="2772" t="s">
        <v>2803</v>
      </c>
      <c r="Z2" s="2773" t="s">
        <v>2804</v>
      </c>
      <c r="AA2" s="2773" t="s">
        <v>2805</v>
      </c>
      <c r="AB2" s="2773" t="s">
        <v>2811</v>
      </c>
      <c r="AC2" s="2773" t="s">
        <v>2810</v>
      </c>
      <c r="AD2" s="2773" t="s">
        <v>2624</v>
      </c>
    </row>
    <row r="3" spans="1:30" s="2787" customFormat="1" ht="12.75">
      <c r="A3" s="2775" t="s">
        <v>2812</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3367</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3368</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3366</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2813</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2814</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3361</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3352</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2815</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2816</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2817</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2818</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2819</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3364</v>
      </c>
    </row>
    <row r="19" spans="1:30" s="2642" customFormat="1">
      <c r="I19" s="2834" t="s">
        <v>2820</v>
      </c>
    </row>
    <row r="20" spans="1:30" s="2642" customFormat="1"/>
    <row r="21" spans="1:30" s="2835" customFormat="1" ht="12.75">
      <c r="B21" s="2836" t="s">
        <v>2821</v>
      </c>
      <c r="C21" s="2837"/>
      <c r="D21" s="2837"/>
      <c r="E21" s="2837"/>
      <c r="F21" s="2837"/>
      <c r="G21" s="2837"/>
      <c r="H21" s="2837"/>
      <c r="I21" s="2837"/>
      <c r="J21" s="2791"/>
      <c r="K21" s="2837" t="s">
        <v>2822</v>
      </c>
      <c r="L21" s="2837"/>
      <c r="M21" s="2837"/>
      <c r="N21" s="2837"/>
      <c r="O21" s="2837"/>
      <c r="P21" s="2837"/>
      <c r="Q21" s="2791"/>
      <c r="R21" s="4281" t="s">
        <v>2823</v>
      </c>
      <c r="S21" s="4282"/>
      <c r="T21" s="4282"/>
      <c r="U21" s="4282"/>
      <c r="V21" s="4282"/>
      <c r="W21" s="4282"/>
      <c r="X21" s="2791"/>
      <c r="Y21" s="4281" t="s">
        <v>2824</v>
      </c>
      <c r="Z21" s="4282"/>
      <c r="AA21" s="4282"/>
      <c r="AB21" s="4282"/>
      <c r="AC21" s="4282"/>
      <c r="AD21" s="4282"/>
    </row>
    <row r="22" spans="1:30" s="2769" customFormat="1" ht="14.25" thickBot="1">
      <c r="B22" s="2770"/>
      <c r="C22" s="2771"/>
      <c r="D22" s="2772" t="s">
        <v>2825</v>
      </c>
      <c r="E22" s="2773" t="s">
        <v>2826</v>
      </c>
      <c r="F22" s="2773" t="s">
        <v>2827</v>
      </c>
      <c r="G22" s="2773" t="s">
        <v>2828</v>
      </c>
      <c r="H22" s="2773"/>
      <c r="I22" s="2773" t="s">
        <v>2829</v>
      </c>
      <c r="J22" s="2774"/>
      <c r="K22" s="2772" t="s">
        <v>2825</v>
      </c>
      <c r="L22" s="2773" t="s">
        <v>2826</v>
      </c>
      <c r="M22" s="2773" t="s">
        <v>2827</v>
      </c>
      <c r="N22" s="2773" t="s">
        <v>2828</v>
      </c>
      <c r="O22" s="2773"/>
      <c r="P22" s="2773" t="s">
        <v>2829</v>
      </c>
      <c r="Q22" s="2774"/>
      <c r="R22" s="2772" t="s">
        <v>2825</v>
      </c>
      <c r="S22" s="2773" t="s">
        <v>2826</v>
      </c>
      <c r="T22" s="2773" t="s">
        <v>2827</v>
      </c>
      <c r="U22" s="2773" t="s">
        <v>2828</v>
      </c>
      <c r="V22" s="2773"/>
      <c r="W22" s="2773" t="s">
        <v>2829</v>
      </c>
      <c r="X22" s="2774"/>
      <c r="Y22" s="2772" t="s">
        <v>2825</v>
      </c>
      <c r="Z22" s="2773" t="s">
        <v>2826</v>
      </c>
      <c r="AA22" s="2773" t="s">
        <v>2827</v>
      </c>
      <c r="AB22" s="2773" t="s">
        <v>2828</v>
      </c>
      <c r="AC22" s="2773"/>
      <c r="AD22" s="2773" t="s">
        <v>2829</v>
      </c>
    </row>
    <row r="23" spans="1:30" s="2787" customFormat="1" ht="12.75">
      <c r="A23" s="2775" t="s">
        <v>2830</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3367</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3368</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3366</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2813</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3362</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3363</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3352</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2831</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2832</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2833</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2834</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2819</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88" t="s">
        <v>452</v>
      </c>
      <c r="C1" s="4288"/>
      <c r="D1" s="4288"/>
      <c r="E1" s="4288"/>
      <c r="F1" s="4288"/>
      <c r="G1" s="4284" t="s">
        <v>453</v>
      </c>
      <c r="H1" s="4284"/>
      <c r="I1" s="4284"/>
      <c r="J1" s="4284"/>
      <c r="K1" s="4284"/>
      <c r="L1" s="4284"/>
      <c r="N1" s="4284" t="s">
        <v>454</v>
      </c>
      <c r="O1" s="4284"/>
      <c r="P1" s="4284"/>
      <c r="Q1" s="4284"/>
      <c r="S1" s="4284" t="s">
        <v>455</v>
      </c>
      <c r="T1" s="4284"/>
      <c r="U1" s="4284"/>
      <c r="V1" s="4284"/>
      <c r="X1" s="4283" t="s">
        <v>456</v>
      </c>
      <c r="Y1" s="4284"/>
      <c r="Z1" s="4284"/>
      <c r="AA1" s="4284"/>
      <c r="AB1" s="4284"/>
      <c r="AD1" s="4283" t="s">
        <v>457</v>
      </c>
      <c r="AE1" s="4284"/>
      <c r="AF1" s="4284"/>
      <c r="AG1" s="4284"/>
      <c r="AH1" s="4284"/>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3360</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3357</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3358</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3359</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2429</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2306</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2305</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2304</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86">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86"/>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86"/>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93"/>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89">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86"/>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86"/>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93"/>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89">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86"/>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86"/>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87"/>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85">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86"/>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86"/>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87"/>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85">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86"/>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86"/>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87"/>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90">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91"/>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91"/>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92"/>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85">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86"/>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86"/>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87"/>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85">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86">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86">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87">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85">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86">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86">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87">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85">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86">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86">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87">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85">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86">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86">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87">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85">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86">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86">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87">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85">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86">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86">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87">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85">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86">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86">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87">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85">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86">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86">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87">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85">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86">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86">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87">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85">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86">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86">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87">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45142</v>
      </c>
      <c r="D1" s="1201" t="s">
        <v>603</v>
      </c>
      <c r="E1" s="1196">
        <f>'数据-取费表'!B22</f>
        <v>2</v>
      </c>
      <c r="F1" s="1201" t="s">
        <v>604</v>
      </c>
      <c r="G1" s="1197">
        <f ca="1">INDIRECT("d"&amp;$K$1)/100</f>
        <v>3.6499999999999998E-2</v>
      </c>
      <c r="H1" s="1201" t="s">
        <v>634</v>
      </c>
      <c r="I1" s="1197">
        <f ca="1">F4/100</f>
        <v>1.4999999999999999E-2</v>
      </c>
      <c r="J1" s="1202">
        <f>IF(C1&gt;C13,0,MATCH(C1,C$13:C$109,-1))+IF(SUMIF(C13:C109,C1,D13:D109)=0,13,12)</f>
        <v>13</v>
      </c>
      <c r="K1" s="1202">
        <f>MATCH(E1,C3:C7,1)+IF(SUMIF(C3:C7,E1,D3:D7)=0,2,1)</f>
        <v>5</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57" t="str">
        <f>IF(项目基本情况!B9="房地产市场价值","估价结果一览表","结果表-2")</f>
        <v>结果表-2</v>
      </c>
      <c r="B1" s="3857"/>
      <c r="C1" s="3857"/>
      <c r="D1" s="3857"/>
      <c r="E1" s="3857"/>
      <c r="F1" s="3857"/>
      <c r="G1" s="3857"/>
      <c r="H1" s="3857"/>
      <c r="I1" s="3857"/>
    </row>
    <row r="2" spans="1:9" ht="30" customHeight="1" thickTop="1">
      <c r="A2" s="3858" t="s">
        <v>928</v>
      </c>
      <c r="B2" s="3858" t="s">
        <v>929</v>
      </c>
      <c r="C2" s="3858" t="s">
        <v>930</v>
      </c>
      <c r="D2" s="3858" t="str">
        <f>结果表!D116</f>
        <v>出让国有建设用地使用权价值</v>
      </c>
      <c r="E2" s="3858"/>
      <c r="F2" s="3858" t="str">
        <f>结果表!F116</f>
        <v>在建建筑物价值</v>
      </c>
      <c r="G2" s="3858"/>
      <c r="H2" s="3858" t="str">
        <f>IF(项目基本情况!B9="房地产市场价值","房地产市场价值","房地产价值")</f>
        <v>房地产价值</v>
      </c>
      <c r="I2" s="3858"/>
    </row>
    <row r="3" spans="1:9" ht="15">
      <c r="A3" s="3859"/>
      <c r="B3" s="3859"/>
      <c r="C3" s="3859"/>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343.31</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59" t="s">
        <v>927</v>
      </c>
      <c r="B5" s="3859"/>
      <c r="C5" s="3859"/>
      <c r="D5" s="3859" t="e">
        <f ca="1">结果表!D119</f>
        <v>#REF!</v>
      </c>
      <c r="E5" s="3859"/>
      <c r="F5" s="3859" t="e">
        <f ca="1">结果表!F119</f>
        <v>#REF!</v>
      </c>
      <c r="G5" s="3859"/>
      <c r="H5" s="3859" t="e">
        <f ca="1">结果表!H119</f>
        <v>#REF!</v>
      </c>
      <c r="I5" s="3859"/>
    </row>
    <row r="6" spans="1:9" ht="15.75">
      <c r="A6" s="3860" t="str">
        <f>结果表!A120</f>
        <v>估价师知悉的法定优先受偿款</v>
      </c>
      <c r="B6" s="3860"/>
      <c r="C6" s="3860"/>
      <c r="D6" s="3860">
        <f>结果表!D120</f>
        <v>0</v>
      </c>
      <c r="E6" s="3860"/>
      <c r="F6" s="3860"/>
      <c r="G6" s="3860"/>
      <c r="H6" s="3860"/>
      <c r="I6" s="3860"/>
    </row>
    <row r="7" spans="1:9" ht="15">
      <c r="A7" s="3859" t="s">
        <v>927</v>
      </c>
      <c r="B7" s="3859"/>
      <c r="C7" s="3859"/>
      <c r="D7" s="3861" t="str">
        <f>结果表!D121</f>
        <v>零元整</v>
      </c>
      <c r="E7" s="3862"/>
      <c r="F7" s="3862"/>
      <c r="G7" s="3862"/>
      <c r="H7" s="3862"/>
      <c r="I7" s="3863"/>
    </row>
    <row r="8" spans="1:9" ht="15.75">
      <c r="A8" s="3860" t="str">
        <f>结果表!A122</f>
        <v>房地产抵押价值</v>
      </c>
      <c r="B8" s="3860"/>
      <c r="C8" s="3860"/>
      <c r="D8" s="3860" t="e">
        <f ca="1">结果表!D122</f>
        <v>#REF!</v>
      </c>
      <c r="E8" s="3860"/>
      <c r="F8" s="3860"/>
      <c r="G8" s="3860"/>
      <c r="H8" s="3860"/>
      <c r="I8" s="3860"/>
    </row>
    <row r="9" spans="1:9" ht="15">
      <c r="A9" s="3859" t="s">
        <v>927</v>
      </c>
      <c r="B9" s="3859"/>
      <c r="C9" s="3859"/>
      <c r="D9" s="3859" t="e">
        <f ca="1">结果表!D123</f>
        <v>#REF!</v>
      </c>
      <c r="E9" s="3859"/>
      <c r="F9" s="3859"/>
      <c r="G9" s="3859"/>
      <c r="H9" s="3859"/>
      <c r="I9" s="3859"/>
    </row>
    <row r="10" spans="1:9" ht="15.75">
      <c r="A10" s="3860" t="str">
        <f>结果表!A124</f>
        <v/>
      </c>
      <c r="B10" s="3860"/>
      <c r="C10" s="3860"/>
      <c r="D10" s="3860" t="str">
        <f>结果表!D124</f>
        <v>——</v>
      </c>
      <c r="E10" s="3860"/>
      <c r="F10" s="3860"/>
      <c r="G10" s="3860"/>
      <c r="H10" s="3860"/>
      <c r="I10" s="3860"/>
    </row>
    <row r="11" spans="1:9" ht="15">
      <c r="A11" s="3859" t="s">
        <v>927</v>
      </c>
      <c r="B11" s="3859"/>
      <c r="C11" s="3859"/>
      <c r="D11" s="3859" t="e">
        <f>结果表!D125</f>
        <v>#VALUE!</v>
      </c>
      <c r="E11" s="3859"/>
      <c r="F11" s="3859"/>
      <c r="G11" s="3859"/>
      <c r="H11" s="3859"/>
      <c r="I11" s="3859"/>
    </row>
    <row r="12" spans="1:9" ht="15.75">
      <c r="A12" s="3860" t="str">
        <f>结果表!A126</f>
        <v/>
      </c>
      <c r="B12" s="3860"/>
      <c r="C12" s="3860"/>
      <c r="D12" s="3860" t="str">
        <f>结果表!D126</f>
        <v>——</v>
      </c>
      <c r="E12" s="3860"/>
      <c r="F12" s="3860"/>
      <c r="G12" s="3860"/>
      <c r="H12" s="3860"/>
      <c r="I12" s="3860"/>
    </row>
    <row r="13" spans="1:9" ht="15.75" thickBot="1">
      <c r="A13" s="3864" t="s">
        <v>927</v>
      </c>
      <c r="B13" s="3864"/>
      <c r="C13" s="3864"/>
      <c r="D13" s="3864" t="e">
        <f>结果表!D127</f>
        <v>#VALUE!</v>
      </c>
      <c r="E13" s="3864"/>
      <c r="F13" s="3864"/>
      <c r="G13" s="3864"/>
      <c r="H13" s="3864"/>
      <c r="I13" s="3864"/>
    </row>
    <row r="14" spans="1:9" ht="15" thickTop="1">
      <c r="A14" s="3865" t="s">
        <v>932</v>
      </c>
      <c r="B14" s="3865"/>
      <c r="C14" s="3865"/>
      <c r="D14" s="3865"/>
      <c r="E14" s="3865"/>
      <c r="F14" s="3865"/>
      <c r="G14" s="3865"/>
      <c r="H14" s="3865"/>
      <c r="I14" s="3865"/>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66" t="s">
        <v>949</v>
      </c>
      <c r="B1" s="3866"/>
      <c r="C1" s="3866"/>
      <c r="D1" s="3866"/>
    </row>
    <row r="2" spans="1:4" ht="18">
      <c r="A2" s="3867" t="s">
        <v>933</v>
      </c>
      <c r="B2" s="3867"/>
      <c r="C2" s="3867"/>
      <c r="D2" s="3867"/>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67" t="s">
        <v>939</v>
      </c>
      <c r="B6" s="3867"/>
      <c r="C6" s="3867"/>
      <c r="D6" s="3867"/>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68" t="s">
        <v>942</v>
      </c>
      <c r="B11" s="3869"/>
      <c r="C11" s="3869"/>
      <c r="D11" s="3869"/>
    </row>
    <row r="12" spans="1:4" ht="15.75">
      <c r="A12" s="38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0"/>
      <c r="C12" s="3870"/>
      <c r="D12" s="3870"/>
    </row>
    <row r="13" spans="1:4" ht="30" customHeight="1">
      <c r="A13" s="3869" t="str">
        <f>IF(项目基本情况!B8="抵押","3.抵押双方在办理抵押登记手续时，应使用本公司出具的正式《房地产评估报告》，特提醒报告使用者注意。","——")</f>
        <v>——</v>
      </c>
      <c r="B13" s="3870"/>
      <c r="C13" s="3870"/>
      <c r="D13" s="3870"/>
    </row>
    <row r="14" spans="1:4" ht="15.75" customHeight="1">
      <c r="A14" s="3869" t="str">
        <f>IF(项目基本情况!B8="抵押","4.本次评估估价师所知悉的法定优先受偿款情况说明如下：","——")</f>
        <v>——</v>
      </c>
      <c r="B14" s="3870"/>
      <c r="C14" s="3870"/>
      <c r="D14" s="3870"/>
    </row>
    <row r="15" spans="1:4" ht="42" customHeight="1">
      <c r="A15" s="3869" t="str">
        <f>IF(项目基本情况!B8="抵押","（1）"&amp;CONCATENATE(项目基本情况!L20,项目基本情况!L21,项目基本情况!L22),"——")</f>
        <v>——</v>
      </c>
      <c r="B15" s="3869"/>
      <c r="C15" s="3869"/>
      <c r="D15" s="3869"/>
    </row>
    <row r="16" spans="1:4" ht="30" customHeight="1">
      <c r="A16" s="3872" t="s">
        <v>943</v>
      </c>
      <c r="B16" s="3872"/>
      <c r="C16" s="3872"/>
      <c r="D16" s="3872"/>
    </row>
    <row r="17" spans="1:4" ht="144" customHeight="1">
      <c r="A17" s="3872" t="s">
        <v>944</v>
      </c>
      <c r="B17" s="3872"/>
      <c r="C17" s="3872"/>
      <c r="D17" s="3872"/>
    </row>
    <row r="18" spans="1:4" ht="15.75" customHeight="1">
      <c r="A18" s="3869" t="str">
        <f>IF(项目基本情况!B8="抵押",结果表!K120,"——")</f>
        <v>——</v>
      </c>
      <c r="B18" s="3869"/>
      <c r="C18" s="3869"/>
      <c r="D18" s="3869"/>
    </row>
    <row r="19" spans="1:4" ht="46.5" customHeight="1">
      <c r="A19" s="38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69"/>
      <c r="C19" s="3869"/>
      <c r="D19" s="3869"/>
    </row>
    <row r="20" spans="1:4" ht="57.75" customHeight="1">
      <c r="A20" s="38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69"/>
      <c r="C20" s="3869"/>
      <c r="D20" s="3869"/>
    </row>
    <row r="21" spans="1:4" ht="57.75" customHeight="1">
      <c r="A21" s="38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73"/>
      <c r="C21" s="3873"/>
      <c r="D21" s="3873"/>
    </row>
    <row r="22" spans="1:4" ht="18.75" customHeight="1">
      <c r="A22" s="3874" t="s">
        <v>945</v>
      </c>
      <c r="B22" s="3874"/>
      <c r="C22" s="3874"/>
      <c r="D22" s="3874"/>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71">
        <v>42551</v>
      </c>
      <c r="D31" s="38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80" t="s">
        <v>956</v>
      </c>
      <c r="B15" s="3875" t="s">
        <v>109</v>
      </c>
      <c r="C15" s="3876"/>
    </row>
    <row r="16" spans="1:7" ht="13.5">
      <c r="A16" s="3881"/>
      <c r="B16" s="3875" t="s">
        <v>42</v>
      </c>
      <c r="C16" s="3876"/>
    </row>
    <row r="17" spans="1:3" ht="13.5">
      <c r="A17" s="3881"/>
      <c r="B17" s="3878" t="s">
        <v>957</v>
      </c>
      <c r="C17" s="1427" t="s">
        <v>956</v>
      </c>
    </row>
    <row r="18" spans="1:3" ht="13.5">
      <c r="A18" s="3881"/>
      <c r="B18" s="3878"/>
      <c r="C18" s="1427" t="s">
        <v>958</v>
      </c>
    </row>
    <row r="19" spans="1:3" ht="13.5">
      <c r="A19" s="3881"/>
      <c r="B19" s="3878"/>
      <c r="C19" s="1427" t="s">
        <v>959</v>
      </c>
    </row>
    <row r="20" spans="1:3" ht="13.5">
      <c r="A20" s="3882"/>
      <c r="B20" s="3877" t="s">
        <v>960</v>
      </c>
      <c r="C20" s="3876"/>
    </row>
    <row r="21" spans="1:3" ht="13.5">
      <c r="A21" s="1428" t="s">
        <v>961</v>
      </c>
      <c r="B21" s="1429"/>
      <c r="C21" s="1430"/>
    </row>
    <row r="22" spans="1:3" ht="13.5">
      <c r="A22" s="3879" t="s">
        <v>962</v>
      </c>
      <c r="B22" s="3877" t="s">
        <v>963</v>
      </c>
      <c r="C22" s="3876"/>
    </row>
    <row r="23" spans="1:3" ht="13.5">
      <c r="A23" s="3879"/>
      <c r="B23" s="3877" t="s">
        <v>964</v>
      </c>
      <c r="C23" s="3876"/>
    </row>
    <row r="24" spans="1:3" ht="13.5">
      <c r="A24" s="3879"/>
      <c r="B24" s="3877" t="s">
        <v>965</v>
      </c>
      <c r="C24" s="3876"/>
    </row>
    <row r="25" spans="1:3" ht="13.5">
      <c r="A25" s="3879"/>
      <c r="B25" s="3878" t="s">
        <v>966</v>
      </c>
      <c r="C25" s="1427" t="s">
        <v>967</v>
      </c>
    </row>
    <row r="26" spans="1:3" ht="13.5">
      <c r="A26" s="3879"/>
      <c r="B26" s="3878"/>
      <c r="C26" s="1427" t="s">
        <v>968</v>
      </c>
    </row>
    <row r="27" spans="1:3" ht="13.5">
      <c r="A27" s="3879"/>
      <c r="B27" s="3878"/>
      <c r="C27" s="1427" t="s">
        <v>969</v>
      </c>
    </row>
    <row r="28" spans="1:3" ht="13.5">
      <c r="A28" s="3879"/>
      <c r="B28" s="3878"/>
      <c r="C28" s="1427" t="s">
        <v>970</v>
      </c>
    </row>
    <row r="29" spans="1:3" ht="13.5">
      <c r="A29" s="3879"/>
      <c r="B29" s="3878"/>
      <c r="C29" s="1427" t="s">
        <v>971</v>
      </c>
    </row>
    <row r="30" spans="1:3" ht="13.5">
      <c r="A30" s="3879"/>
      <c r="B30" s="3878"/>
      <c r="C30" s="1427" t="s">
        <v>972</v>
      </c>
    </row>
    <row r="31" spans="1:3" ht="13.5">
      <c r="A31" s="3879"/>
      <c r="B31" s="3878"/>
      <c r="C31" s="1427" t="s">
        <v>973</v>
      </c>
    </row>
    <row r="32" spans="1:3" ht="13.5">
      <c r="A32" s="3879"/>
      <c r="B32" s="3878"/>
      <c r="C32" s="1427" t="s">
        <v>974</v>
      </c>
    </row>
    <row r="33" spans="1:3" ht="13.5">
      <c r="A33" s="3879"/>
      <c r="B33" s="387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45145</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2430</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83" t="s">
        <v>2160</v>
      </c>
      <c r="B17" s="3883"/>
      <c r="C17" s="3883"/>
      <c r="D17" s="3883"/>
      <c r="E17" s="3883"/>
      <c r="F17" s="3883"/>
      <c r="G17" s="3883"/>
      <c r="H17" s="3883"/>
    </row>
    <row r="18" spans="1:8" ht="24" customHeight="1">
      <c r="A18" s="3884" t="s">
        <v>2161</v>
      </c>
      <c r="B18" s="3884"/>
      <c r="C18" s="3884"/>
      <c r="D18" s="2144"/>
      <c r="E18" s="3885" t="s">
        <v>2162</v>
      </c>
      <c r="F18" s="3884"/>
      <c r="G18" s="3884"/>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2431</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比较法-商业售价</vt:lpstr>
      <vt:lpstr>收益法倒推</vt:lpstr>
      <vt:lpstr>案例</vt:lpstr>
      <vt:lpstr>比较法-办公</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2023-08-07T09:46:48Z</dcterms:modified>
</cp:coreProperties>
</file>