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18\2018-1-0365 北京市海淀区西三旗建材城中路2号\2018-1-0365-F13SGCB6 专家意见+铁路\"/>
    </mc:Choice>
  </mc:AlternateContent>
  <bookViews>
    <workbookView xWindow="-120" yWindow="-120" windowWidth="21840" windowHeight="13140" tabRatio="875" firstSheet="21"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剩余法-待开发" sheetId="12" state="hidden" r:id="rId17"/>
    <sheet name="剩余法-现房" sheetId="43" state="hidden" r:id="rId18"/>
    <sheet name="比较法-住宅、综合" sheetId="39" state="hidden" r:id="rId19"/>
    <sheet name="结果一览表" sheetId="78" r:id="rId20"/>
    <sheet name="结果一览表 (基)" sheetId="81" state="hidden" r:id="rId21"/>
    <sheet name="结果表" sheetId="9"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state="hidden" r:id="rId39"/>
    <sheet name="比较法-工业" sheetId="40" r:id="rId40"/>
    <sheet name="顺义案例" sheetId="85" state="hidden" r:id="rId41"/>
    <sheet name="收储案例" sheetId="94" r:id="rId42"/>
    <sheet name="地价" sheetId="59" r:id="rId43"/>
    <sheet name="成本逼近法" sheetId="11"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成本逼近法 (划拨)" sheetId="87" r:id="rId52"/>
    <sheet name="成本案例" sheetId="84" r:id="rId53"/>
    <sheet name="成本2021" sheetId="91" r:id="rId54"/>
    <sheet name="Sheet1" sheetId="92" r:id="rId55"/>
    <sheet name="附属物-树木" sheetId="73" r:id="rId56"/>
    <sheet name="存贷款利率" sheetId="65" state="hidden" r:id="rId57"/>
    <sheet name="附属物-墙地泉" sheetId="82" r:id="rId58"/>
    <sheet name="附属物列表" sheetId="83" r:id="rId59"/>
    <sheet name="搬迁费" sheetId="77" r:id="rId60"/>
    <sheet name="建筑物价格" sheetId="74" r:id="rId61"/>
    <sheet name="停产停业损失补偿" sheetId="75" r:id="rId62"/>
    <sheet name="案例" sheetId="93" r:id="rId63"/>
    <sheet name="租金案例" sheetId="76" state="hidden" r:id="rId64"/>
    <sheet name="土地案例（昌平未来城）" sheetId="79"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9"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55" hidden="1">'附属物-树木'!$A$1:$G$43</definedName>
    <definedName name="_xlnm._FilterDatabase" localSheetId="10" hidden="1">'数据-基础表'!$A$12:$AT$572</definedName>
    <definedName name="_xlnm._FilterDatabase" localSheetId="9" hidden="1">项目基本情况!$A$48:$N$48</definedName>
    <definedName name="a" localSheetId="62">'[1]不动产比较法-办公'!$B$115:$M$115</definedName>
    <definedName name="a" localSheetId="52">'[2]不动产比较法-办公'!$B$115:$M$115</definedName>
    <definedName name="a">'[3]不动产比较法-办公'!$B$115:$M$115</definedName>
    <definedName name="CX">[4]分值!$AM$3:$AP$94</definedName>
    <definedName name="FSW">[4]附属物!$B:$F</definedName>
    <definedName name="GD">[4]分值!$AD$3:$AH$13</definedName>
    <definedName name="_xlnm.Print_Area" localSheetId="52">成本案例!$M$1:$AA$9</definedName>
    <definedName name="SSHF">#REF!</definedName>
    <definedName name="ZG">[4]分值!$AJ$3:$AK$28</definedName>
    <definedName name="八级">区片价!$P$1:$P$40</definedName>
    <definedName name="办公层高" localSheetId="62">'[5]不动产比较法-办公'!$B$119:$M$119</definedName>
    <definedName name="办公层高" localSheetId="52">'[6]不动产比较法-办公'!$B$119:$M$119</definedName>
    <definedName name="办公层高">'不动产比较法-办公'!$B$119:$M$119</definedName>
    <definedName name="办公朝向" localSheetId="62">'[5]不动产比较法-办公'!$B$91:$M$91</definedName>
    <definedName name="办公朝向" localSheetId="52">'[6]不动产比较法-办公'!$B$91:$M$91</definedName>
    <definedName name="办公朝向">'不动产比较法-办公'!$B$91:$M$91</definedName>
    <definedName name="办公道路级别" localSheetId="62">'[5]不动产比较法-办公'!$B$87:$M$87</definedName>
    <definedName name="办公道路级别" localSheetId="52">'[6]不动产比较法-办公'!$B$87:$M$87</definedName>
    <definedName name="办公道路级别">'不动产比较法-办公'!$B$87:$M$87</definedName>
    <definedName name="办公公共部分装修" localSheetId="62">'[5]不动产比较法-办公'!$B$108:$M$108</definedName>
    <definedName name="办公公共部分装修" localSheetId="52">'[6]不动产比较法-办公'!$B$108:$M$108</definedName>
    <definedName name="办公公共部分装修">'不动产比较法-办公'!$B$108:$M$108</definedName>
    <definedName name="办公基础设施水平" localSheetId="62">'[5]不动产比较法-办公'!$B$117:$M$117</definedName>
    <definedName name="办公基础设施水平" localSheetId="52">'[6]不动产比较法-办公'!$B$117:$M$117</definedName>
    <definedName name="办公基础设施水平">'不动产比较法-办公'!$B$117:$M$117</definedName>
    <definedName name="办公集聚程度" localSheetId="62">[5]定义!$M$1:$M$6</definedName>
    <definedName name="办公集聚程度" localSheetId="52">[6]定义!$M$1:$M$6</definedName>
    <definedName name="办公集聚程度">定义!$M$1:$M$6</definedName>
    <definedName name="办公建筑结构" localSheetId="62">'[5]不动产比较法-办公'!$B$106:$M$106</definedName>
    <definedName name="办公建筑结构" localSheetId="52">'[6]不动产比较法-办公'!$B$106:$M$106</definedName>
    <definedName name="办公建筑结构">'不动产比较法-办公'!$B$106:$M$106</definedName>
    <definedName name="办公建筑类型" localSheetId="62">'[5]不动产比较法-办公'!$B$101:$M$101</definedName>
    <definedName name="办公建筑类型" localSheetId="52">'[6]不动产比较法-办公'!$B$101:$M$101</definedName>
    <definedName name="办公建筑类型">'不动产比较法-办公'!$B$101:$M$101</definedName>
    <definedName name="办公交易情况" localSheetId="62">'[5]不动产比较法-办公'!$A$62:$M$62</definedName>
    <definedName name="办公交易情况" localSheetId="52">'[6]不动产比较法-办公'!$A$62:$M$62</definedName>
    <definedName name="办公交易情况">'不动产比较法-办公'!$A$62:$M$62</definedName>
    <definedName name="办公楼层" localSheetId="62">'[5]不动产比较法-办公'!$B$89:$M$89</definedName>
    <definedName name="办公楼层" localSheetId="52">'[6]不动产比较法-办公'!$B$89:$M$89</definedName>
    <definedName name="办公楼层">'不动产比较法-办公'!$B$89:$M$89</definedName>
    <definedName name="办公内部装修" localSheetId="62">'[5]不动产比较法-办公'!$B$123:$M$123</definedName>
    <definedName name="办公内部装修" localSheetId="52">'[6]不动产比较法-办公'!$B$123:$M$123</definedName>
    <definedName name="办公内部装修">'不动产比较法-办公'!$B$123:$M$123</definedName>
    <definedName name="办公物业管理" localSheetId="62">'[5]不动产比较法-办公'!$B$115:$M$115</definedName>
    <definedName name="办公物业管理" localSheetId="52">'[6]不动产比较法-办公'!$B$115:$M$115</definedName>
    <definedName name="办公物业管理">'不动产比较法-办公'!$B$115:$M$115</definedName>
    <definedName name="办公用途" localSheetId="62">'[5]不动产比较法-办公'!$B$64:$M$64</definedName>
    <definedName name="办公用途" localSheetId="52">'[6]不动产比较法-办公'!$B$64:$M$64</definedName>
    <definedName name="办公用途">'不动产比较法-办公'!$B$64:$M$64</definedName>
    <definedName name="仓储公共部分装修" localSheetId="62">'[5]不动产比较法-仓储'!$B$77:$M$77</definedName>
    <definedName name="仓储公共部分装修" localSheetId="52">'[6]不动产比较法-仓储'!$B$77:$M$77</definedName>
    <definedName name="仓储公共部分装修">'不动产比较法-仓储'!$B$77:$M$77</definedName>
    <definedName name="仓储交易情况" localSheetId="62">'[5]不动产比较法-仓储'!$A$49:$M$49</definedName>
    <definedName name="仓储交易情况" localSheetId="52">'[6]不动产比较法-仓储'!$A$49:$M$49</definedName>
    <definedName name="仓储交易情况">'不动产比较法-仓储'!$A$49:$M$49</definedName>
    <definedName name="仓储楼层" localSheetId="62">'[5]不动产比较法-仓储'!$B$69:$M$69</definedName>
    <definedName name="仓储楼层" localSheetId="52">'[6]不动产比较法-仓储'!$B$69:$M$69</definedName>
    <definedName name="仓储楼层">'不动产比较法-仓储'!$B$69:$M$69</definedName>
    <definedName name="仓储物业等级" localSheetId="62">'[5]不动产比较法-仓储'!$B$82:$M$82</definedName>
    <definedName name="仓储物业等级" localSheetId="52">'[6]不动产比较法-仓储'!$B$82:$M$82</definedName>
    <definedName name="仓储物业等级">'不动产比较法-仓储'!$B$82:$M$82</definedName>
    <definedName name="仓储用途" localSheetId="62">'[5]不动产比较法-仓储'!$B$51:$M$51</definedName>
    <definedName name="仓储用途" localSheetId="52">'[6]不动产比较法-仓储'!$B$51:$M$51</definedName>
    <definedName name="仓储用途">'不动产比较法-仓储'!$B$51:$M$51</definedName>
    <definedName name="产业集聚程度" localSheetId="62">[5]定义!$N$1:$N$6</definedName>
    <definedName name="产业集聚程度" localSheetId="52">[6]定义!$N$1:$N$6</definedName>
    <definedName name="产业集聚程度">定义!$N$1:$N$6</definedName>
    <definedName name="车位公共部分装修" localSheetId="62">'[5]不动产比较法-车位'!$B$83:$M$83</definedName>
    <definedName name="车位公共部分装修" localSheetId="52">'[6]不动产比较法-车位'!$B$83:$M$83</definedName>
    <definedName name="车位公共部分装修">'不动产比较法-车位'!$B$83:$M$83</definedName>
    <definedName name="车位交易情况" localSheetId="62">'[5]不动产比较法-车位'!$A$51:$M$51</definedName>
    <definedName name="车位交易情况" localSheetId="52">'[6]不动产比较法-车位'!$A$51:$M$51</definedName>
    <definedName name="车位交易情况">'不动产比较法-车位'!$A$51:$M$51</definedName>
    <definedName name="车位类型" localSheetId="62">'[5]不动产比较法-车位'!$B$93:$M$93</definedName>
    <definedName name="车位类型" localSheetId="52">'[6]不动产比较法-车位'!$B$93:$M$93</definedName>
    <definedName name="车位类型">'不动产比较法-车位'!$B$93:$M$93</definedName>
    <definedName name="车位楼层" localSheetId="62">'[5]不动产比较法-车位'!$B$71:$M$71</definedName>
    <definedName name="车位楼层" localSheetId="52">'[6]不动产比较法-车位'!$B$71:$M$71</definedName>
    <definedName name="车位楼层">'不动产比较法-车位'!$B$71:$M$71</definedName>
    <definedName name="车位配套类型" localSheetId="62">'[5]不动产比较法-车位'!$B$79:$M$79</definedName>
    <definedName name="车位配套类型" localSheetId="52">'[6]不动产比较法-车位'!$B$79:$M$79</definedName>
    <definedName name="车位配套类型">'不动产比较法-车位'!$B$79:$M$79</definedName>
    <definedName name="车位物业等级" localSheetId="62">'[5]不动产比较法-车位'!$B$88:$M$88</definedName>
    <definedName name="车位物业等级" localSheetId="52">'[6]不动产比较法-车位'!$B$88:$M$88</definedName>
    <definedName name="车位物业等级">'不动产比较法-车位'!$B$88:$M$88</definedName>
    <definedName name="车位用途" localSheetId="62">'[5]不动产比较法-车位'!$B$53:$M$53</definedName>
    <definedName name="车位用途" localSheetId="52">'[6]不动产比较法-车位'!$B$53:$M$53</definedName>
    <definedName name="车位用途">'不动产比较法-车位'!$B$53:$M$53</definedName>
    <definedName name="城镇土地纳税等级分级范围" localSheetId="62">'[5]数据-取费表'!$A$53:$A$63</definedName>
    <definedName name="城镇土地纳税等级分级范围" localSheetId="52">'[6]数据-取费表'!$A$53:$A$63</definedName>
    <definedName name="城镇土地纳税等级分级范围">'数据-取费表'!$A$53:$A$63</definedName>
    <definedName name="单价内涵" localSheetId="62">[5]定义!$V$1:$V$3</definedName>
    <definedName name="单价内涵" localSheetId="52">[6]定义!$V$1:$V$3</definedName>
    <definedName name="单价内涵">定义!$V$1:$V$3</definedName>
    <definedName name="地类判定" localSheetId="62">[5]定义!$H$1:$H$9</definedName>
    <definedName name="地类判定" localSheetId="52">[6]定义!$H$1:$H$9</definedName>
    <definedName name="地类判定">定义!$H$1:$H$9</definedName>
    <definedName name="二级">区片价!$J$1:$J$20</definedName>
    <definedName name="二级分类" localSheetId="62">[5]修正!$C$17:$C$39</definedName>
    <definedName name="二级分类" localSheetId="52">[6]修正!$C$17:$C$39</definedName>
    <definedName name="二级分类">修正!$C$17:$C$39</definedName>
    <definedName name="法定最高年限" localSheetId="62">[5]定义!$G$2:$G$4</definedName>
    <definedName name="法定最高年限" localSheetId="52">[6]定义!$G$2:$G$4</definedName>
    <definedName name="法定最高年限">定义!$G$2:$G$4</definedName>
    <definedName name="工业公共部分装修" localSheetId="62">'[5]不动产比较法-工业'!$B$95:$M$95</definedName>
    <definedName name="工业公共部分装修" localSheetId="52">'[6]不动产比较法-工业'!$B$95:$M$95</definedName>
    <definedName name="工业公共部分装修">'不动产比较法-工业'!$B$95:$M$95</definedName>
    <definedName name="工业基础设施水平" localSheetId="62">'[5]不动产比较法-工业'!$B$102:$M$102</definedName>
    <definedName name="工业基础设施水平" localSheetId="52">'[6]不动产比较法-工业'!$B$102:$M$102</definedName>
    <definedName name="工业基础设施水平">'不动产比较法-工业'!$B$102:$M$102</definedName>
    <definedName name="工业建筑结构" localSheetId="62">'[5]不动产比较法-工业'!$B$93:$M$93</definedName>
    <definedName name="工业建筑结构" localSheetId="52">'[6]不动产比较法-工业'!$B$93:$M$93</definedName>
    <definedName name="工业建筑结构">'不动产比较法-工业'!$B$93:$M$93</definedName>
    <definedName name="工业建筑类型" localSheetId="62">'[5]不动产比较法-工业'!$B$88:$M$88</definedName>
    <definedName name="工业建筑类型" localSheetId="52">'[6]不动产比较法-工业'!$B$88:$M$88</definedName>
    <definedName name="工业建筑类型">'不动产比较法-工业'!$B$88:$M$88</definedName>
    <definedName name="工业交易情况" localSheetId="62">'[5]不动产比较法-工业'!$A$55:$M$55</definedName>
    <definedName name="工业交易情况" localSheetId="52">'[6]不动产比较法-工业'!$A$55:$M$55</definedName>
    <definedName name="工业交易情况">'不动产比较法-工业'!$A$55:$M$55</definedName>
    <definedName name="工业内部装修" localSheetId="62">'[5]不动产比较法-工业'!$B$104:$M$104</definedName>
    <definedName name="工业内部装修" localSheetId="52">'[6]不动产比较法-工业'!$B$104:$M$104</definedName>
    <definedName name="工业内部装修">'不动产比较法-工业'!$B$104:$M$104</definedName>
    <definedName name="工业物业管理" localSheetId="62">'[5]不动产比较法-工业'!$B$100:$M$100</definedName>
    <definedName name="工业物业管理" localSheetId="52">'[6]不动产比较法-工业'!$B$100:$M$100</definedName>
    <definedName name="工业物业管理">'不动产比较法-工业'!$B$100:$M$100</definedName>
    <definedName name="工业用途" localSheetId="62">'[5]不动产比较法-工业'!$B$57:$M$57</definedName>
    <definedName name="工业用途" localSheetId="52">'[6]不动产比较法-工业'!$B$57:$M$57</definedName>
    <definedName name="工业用途">'不动产比较法-工业'!$B$57:$M$57</definedName>
    <definedName name="公共配套设施" localSheetId="62">[5]定义!$Q$1:$Q$6</definedName>
    <definedName name="公共配套设施" localSheetId="52">[6]定义!$Q$1:$Q$6</definedName>
    <definedName name="公共配套设施">定义!$Q$1:$Q$6</definedName>
    <definedName name="公用设施及基础设施水平" localSheetId="62">[1]定义!$Q$1:$Q$6</definedName>
    <definedName name="公用设施及基础设施水平" localSheetId="52">[2]定义!$Q$1:$Q$6</definedName>
    <definedName name="公用设施及基础设施水平">[3]定义!$Q$1:$Q$6</definedName>
    <definedName name="估价方法" localSheetId="62">[5]定义!$B$1:$B$50</definedName>
    <definedName name="估价方法" localSheetId="52">[6]定义!$B$1:$B$50</definedName>
    <definedName name="估价方法">定义!$B$1:$B$50</definedName>
    <definedName name="环境" localSheetId="62">[5]定义!$S$1:$S$6</definedName>
    <definedName name="环境" localSheetId="52">[6]定义!$S$1:$S$6</definedName>
    <definedName name="环境">定义!$S$1:$S$6</definedName>
    <definedName name="基础设施水平" localSheetId="62">[5]定义!$R$1:$R$6</definedName>
    <definedName name="基础设施水平" localSheetId="52">[6]定义!$R$1:$R$6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62">[5]定义!$B$54:$B$56</definedName>
    <definedName name="价值类型2" localSheetId="52">[6]定义!$B$54:$B$56</definedName>
    <definedName name="价值类型2">定义!$B$54:$B$56</definedName>
    <definedName name="交通便捷度" localSheetId="62">[5]定义!$O$1:$O$6</definedName>
    <definedName name="交通便捷度" localSheetId="52">[6]定义!$O$1:$O$6</definedName>
    <definedName name="交通便捷度">定义!$O$1:$O$6</definedName>
    <definedName name="九级">区片价!$Q$1:$Q$46</definedName>
    <definedName name="居住社区成熟度" localSheetId="62">[5]定义!$K$1:$K$6</definedName>
    <definedName name="居住社区成熟度" localSheetId="52">[6]定义!$K$1:$K$6</definedName>
    <definedName name="居住社区成熟度">定义!$K$1:$K$6</definedName>
    <definedName name="类别" localSheetId="62">[5]定义!$J$1:$J$3</definedName>
    <definedName name="类别" localSheetId="52">[6]定义!$J$1:$J$3</definedName>
    <definedName name="类别">定义!$J$1:$J$3</definedName>
    <definedName name="临街状况" localSheetId="62">[5]定义!$T$1:$T$5</definedName>
    <definedName name="临街状况" localSheetId="52">[6]定义!$T$1:$T$5</definedName>
    <definedName name="临街状况">定义!$T$1:$T$5</definedName>
    <definedName name="六级">区片价!$N$1:$N$49</definedName>
    <definedName name="内部装修维护情况" localSheetId="62">[5]定义!$U$1:$U$6</definedName>
    <definedName name="内部装修维护情况" localSheetId="52">[6]定义!$U$1:$U$6</definedName>
    <definedName name="内部装修维护情况">定义!$U$1:$U$6</definedName>
    <definedName name="判定" localSheetId="62">[5]定义!$D$1:$D$4</definedName>
    <definedName name="判定" localSheetId="52">[6]定义!$D$1:$D$4</definedName>
    <definedName name="判定">定义!$D$1:$D$4</definedName>
    <definedName name="七级">区片价!$O$1:$O$49</definedName>
    <definedName name="七通一平" localSheetId="62">[5]修正!$A$6:$A$14</definedName>
    <definedName name="七通一平" localSheetId="52">[6]修正!$A$6:$A$14</definedName>
    <definedName name="七通一平">修正!$A$6:$A$14</definedName>
    <definedName name="区域土地利用方向" localSheetId="62">[5]定义!$P$1:$P$6</definedName>
    <definedName name="区域土地利用方向" localSheetId="52">[6]定义!$P$1:$P$6</definedName>
    <definedName name="区域土地利用方向">定义!$P$1:$P$6</definedName>
    <definedName name="三级">区片价!$K$1:$K$21</definedName>
    <definedName name="商业层高" localSheetId="62">'[5]不动产比较法-商业'!$B$116:$M$116</definedName>
    <definedName name="商业层高" localSheetId="52">'[6]不动产比较法-商业'!$B$116:$M$116</definedName>
    <definedName name="商业层高">'不动产比较法-商业'!$B$116:$M$116</definedName>
    <definedName name="商业成新度">'不动产比较法-商业'!$B$109:$M$109</definedName>
    <definedName name="商业繁华度" localSheetId="62">[5]定义!$L$1:$L$6</definedName>
    <definedName name="商业繁华度" localSheetId="52">[6]定义!$L$1:$L$6</definedName>
    <definedName name="商业繁华度">定义!$L$1:$L$6</definedName>
    <definedName name="商业公共部分装修" localSheetId="62">'[5]不动产比较法-商业'!$B$107:$M$107</definedName>
    <definedName name="商业公共部分装修" localSheetId="52">'[6]不动产比较法-商业'!$B$107:$M$107</definedName>
    <definedName name="商业公共部分装修">'不动产比较法-商业'!$B$107:$M$107</definedName>
    <definedName name="商业基础设施水平" localSheetId="62">'[5]不动产比较法-商业'!$B$112:$M$112</definedName>
    <definedName name="商业基础设施水平" localSheetId="52">'[6]不动产比较法-商业'!$B$112:$M$112</definedName>
    <definedName name="商业基础设施水平">'不动产比较法-商业'!$B$112:$M$112</definedName>
    <definedName name="商业建筑结构" localSheetId="62">'[5]不动产比较法-商业'!$B$105:$M$105</definedName>
    <definedName name="商业建筑结构" localSheetId="52">'[6]不动产比较法-商业'!$B$105:$M$105</definedName>
    <definedName name="商业建筑结构">'不动产比较法-商业'!$B$105:$M$105</definedName>
    <definedName name="商业交易情况" localSheetId="62">'[5]不动产比较法-商业'!$A$61:$M$61</definedName>
    <definedName name="商业交易情况" localSheetId="52">'[6]不动产比较法-商业'!$A$61:$M$61</definedName>
    <definedName name="商业交易情况">'不动产比较法-商业'!$A$61:$M$61</definedName>
    <definedName name="商业街名称" localSheetId="62">[5]修正!$C$59:$C$119</definedName>
    <definedName name="商业街名称" localSheetId="52">[6]修正!$C$59:$C$119</definedName>
    <definedName name="商业街名称">修正!$C$59:$C$119</definedName>
    <definedName name="商业进深比" localSheetId="62">'[5]不动产比较法-商业'!$B$120:$M$120</definedName>
    <definedName name="商业进深比" localSheetId="52">'[6]不动产比较法-商业'!$B$120:$M$120</definedName>
    <definedName name="商业进深比">'不动产比较法-商业'!$B$120:$M$120</definedName>
    <definedName name="商业类型" localSheetId="62">'[5]不动产比较法-商业'!$B$100:$M$100</definedName>
    <definedName name="商业类型" localSheetId="52">'[6]不动产比较法-商业'!$B$100:$M$100</definedName>
    <definedName name="商业类型">'不动产比较法-商业'!$B$100:$M$100</definedName>
    <definedName name="商业临街状况" localSheetId="62">'[5]不动产比较法-商业'!$B$86:$M$86</definedName>
    <definedName name="商业临街状况" localSheetId="52">'[6]不动产比较法-商业'!$B$86:$M$86</definedName>
    <definedName name="商业临街状况">'不动产比较法-商业'!$B$86:$M$86</definedName>
    <definedName name="商业楼层" localSheetId="62">'[5]不动产比较法-商业'!$B$92:$M$92</definedName>
    <definedName name="商业楼层" localSheetId="52">'[6]不动产比较法-商业'!$B$92:$M$92</definedName>
    <definedName name="商业楼层">'不动产比较法-商业'!$B$92:$M$92</definedName>
    <definedName name="商业内部装修" localSheetId="62">'[5]不动产比较法-商业'!$B$122:$M$122</definedName>
    <definedName name="商业内部装修" localSheetId="52">'[6]不动产比较法-商业'!$B$122:$M$122</definedName>
    <definedName name="商业内部装修">'不动产比较法-商业'!$B$122:$M$122</definedName>
    <definedName name="商业人流量" localSheetId="62">'[5]不动产比较法-商业'!$B$90:$M$90</definedName>
    <definedName name="商业人流量" localSheetId="52">'[6]不动产比较法-商业'!$B$90:$M$90</definedName>
    <definedName name="商业人流量">'不动产比较法-商业'!$B$90:$M$90</definedName>
    <definedName name="商业业态" localSheetId="62">'[5]不动产比较法-商业'!$B$114:$M$114</definedName>
    <definedName name="商业业态" localSheetId="52">'[6]不动产比较法-商业'!$B$114:$M$114</definedName>
    <definedName name="商业业态">'不动产比较法-商业'!$B$114:$M$114</definedName>
    <definedName name="商业用途" localSheetId="62">'[5]不动产比较法-商业'!$B$63:$M$63</definedName>
    <definedName name="商业用途" localSheetId="52">'[6]不动产比较法-商业'!$B$63:$M$63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62">'[5]不动产比较法-仓储'!$B$89:$M$89</definedName>
    <definedName name="是否封闭" localSheetId="52">'[6]不动产比较法-仓储'!$B$89:$M$89</definedName>
    <definedName name="是否封闭">'不动产比较法-仓储'!$B$89:$M$89</definedName>
    <definedName name="是否直接入户" localSheetId="62">'[5]不动产比较法-车位'!$B$95:$M$95</definedName>
    <definedName name="是否直接入户" localSheetId="52">'[6]不动产比较法-车位'!$B$95:$M$95</definedName>
    <definedName name="是否直接入户">'不动产比较法-车位'!$B$95:$M$95</definedName>
    <definedName name="四级">区片价!$L$1:$L$28</definedName>
    <definedName name="套工工程地质条件" localSheetId="62">'[5]比较法-工业'!$B$116:$M$116</definedName>
    <definedName name="套工工程地质条件">'比较法-工业'!$B$116:$M$116</definedName>
    <definedName name="套工交易情况" localSheetId="62">'[5]比较法-住宅、综合'!$A$75:$M$75</definedName>
    <definedName name="套工交易情况" localSheetId="52">'[6]比较法-住宅、综合'!$A$75:$M$75</definedName>
    <definedName name="套工交易情况">'比较法-住宅、综合'!$A$75:$M$75</definedName>
    <definedName name="套工开发程度" localSheetId="62">'[5]比较法-工业'!$B$114:$M$114</definedName>
    <definedName name="套工开发程度">'比较法-工业'!$B$114:$M$114</definedName>
    <definedName name="套工临街等级" localSheetId="62">'[5]比较法-工业'!$B$99:$M$99</definedName>
    <definedName name="套工临街等级">'比较法-工业'!$B$99:$M$99</definedName>
    <definedName name="套工土地级别" localSheetId="62">'[5]比较法-工业'!$B$101:$M$101</definedName>
    <definedName name="套工土地级别" localSheetId="52">'[6]比较法-工业'!$B$101:$M$101</definedName>
    <definedName name="套工土地级别">'比较法-工业'!$B$101:$M$101</definedName>
    <definedName name="套工用途" localSheetId="62">'[5]比较法-工业'!$B$72:$M$72</definedName>
    <definedName name="套工用途" localSheetId="52">'[6]比较法-工业'!$B$72:$M$72</definedName>
    <definedName name="套工用途">'比较法-工业'!$B$72:$M$72</definedName>
    <definedName name="套工宗地形状" localSheetId="62">'[5]比较法-工业'!$B$112:$M$112</definedName>
    <definedName name="套工宗地形状">'比较法-工业'!$B$112:$M$112</definedName>
    <definedName name="套综道路等级" localSheetId="62">'[5]比较法-住宅、综合'!$B$108:$M$108</definedName>
    <definedName name="套综道路等级" localSheetId="52">'[6]比较法-住宅、综合'!$B$108:$M$108</definedName>
    <definedName name="套综道路等级">'比较法-住宅、综合'!$B$108:$M$108</definedName>
    <definedName name="套综工程地质条件" localSheetId="62">'[5]比较法-住宅、综合'!$B$127:$M$127</definedName>
    <definedName name="套综工程地质条件" localSheetId="52">'[6]比较法-住宅、综合'!$B$127:$M$127</definedName>
    <definedName name="套综工程地质条件">'比较法-住宅、综合'!$B$127:$M$127</definedName>
    <definedName name="套综交易情况" localSheetId="62">'[5]比较法-住宅、综合'!$A$75:$M$75</definedName>
    <definedName name="套综交易情况" localSheetId="52">'[6]比较法-住宅、综合'!$A$75:$M$75</definedName>
    <definedName name="套综交易情况">'比较法-住宅、综合'!$A$75:$M$75</definedName>
    <definedName name="套综临街宽度及深度" localSheetId="62">'[5]比较法-住宅、综合'!$B$123:$M$123</definedName>
    <definedName name="套综临街宽度及深度" localSheetId="52">'[6]比较法-住宅、综合'!$B$123:$M$123</definedName>
    <definedName name="套综临街宽度及深度">'比较法-住宅、综合'!$B$123:$M$123</definedName>
    <definedName name="套综土地级别" localSheetId="62">'[5]比较法-住宅、综合'!$B$110:$M$110</definedName>
    <definedName name="套综土地级别" localSheetId="52">'[6]比较法-住宅、综合'!$B$110:$M$110</definedName>
    <definedName name="套综土地级别">'比较法-住宅、综合'!$B$110:$M$110</definedName>
    <definedName name="套综用途" localSheetId="62">'[5]比较法-住宅、综合'!$B$77:$M$77</definedName>
    <definedName name="套综用途" localSheetId="52">'[6]比较法-住宅、综合'!$B$77:$M$77</definedName>
    <definedName name="套综用途">'比较法-住宅、综合'!$B$77:$M$77</definedName>
    <definedName name="套综宗地内开发程度" localSheetId="62">'[5]比较法-住宅、综合'!$B$125:$M$125</definedName>
    <definedName name="套综宗地内开发程度" localSheetId="52">'[6]比较法-住宅、综合'!$B$125:$M$125</definedName>
    <definedName name="套综宗地内开发程度">'比较法-住宅、综合'!$B$125:$M$125</definedName>
    <definedName name="套综宗地形状" localSheetId="62">'[5]比较法-住宅、综合'!$B$121:$M$121</definedName>
    <definedName name="套综宗地形状" localSheetId="52">'[6]比较法-住宅、综合'!$B$121:$M$121</definedName>
    <definedName name="套综宗地形状">'比较法-住宅、综合'!$B$121:$M$121</definedName>
    <definedName name="土地估价师" localSheetId="62">[5]估价师及机构信息!$D$3:$D$24</definedName>
    <definedName name="土地估价师" localSheetId="52">[6]估价师及机构信息!$D$3:$D$24</definedName>
    <definedName name="土地估价师">估价师及机构信息!$D$3:$D$24</definedName>
    <definedName name="土地级别" localSheetId="62">[5]定义!$C$1:$C$14</definedName>
    <definedName name="土地级别" localSheetId="52">[6]定义!$C$1:$C$14</definedName>
    <definedName name="土地级别">定义!$C$1:$C$14</definedName>
    <definedName name="土地利用方向">定义!$P$1:$P$6</definedName>
    <definedName name="土地年限区间" localSheetId="62">[5]定义!$I$1:$I$8</definedName>
    <definedName name="土地年限区间" localSheetId="52">[6]定义!$I$1:$I$8</definedName>
    <definedName name="土地年限区间">定义!$I$1:$I$8</definedName>
    <definedName name="位置" localSheetId="62">[5]定义!$E$2:$E$4</definedName>
    <definedName name="位置" localSheetId="52">[6]定义!$E$2:$E$4</definedName>
    <definedName name="位置">定义!$E$2:$E$4</definedName>
    <definedName name="五等判定" localSheetId="62">[5]定义!$W$1:$W$6</definedName>
    <definedName name="五等判定" localSheetId="52">[6]定义!$W$1:$W$6</definedName>
    <definedName name="五等判定">定义!$W$1:$W$6</definedName>
    <definedName name="五级">区片价!$M$1:$M$35</definedName>
    <definedName name="项目类型" localSheetId="62">'[5]数据-汇总表'!$C$17:$C$26</definedName>
    <definedName name="项目类型" localSheetId="52">'[6]数据-汇总表'!$C$17:$C$26</definedName>
    <definedName name="项目类型">'数据-汇总表'!$C$17:$C$26</definedName>
    <definedName name="写字楼等级" localSheetId="62">'[5]不动产比较法-办公'!$B$113:$M$113</definedName>
    <definedName name="写字楼等级" localSheetId="52">'[6]不动产比较法-办公'!$B$113:$M$113</definedName>
    <definedName name="写字楼等级">'不动产比较法-办公'!$B$113:$M$113</definedName>
    <definedName name="一级">区片价!$I$1:$I$6</definedName>
    <definedName name="一修多修正项2" localSheetId="62">[5]典型户型修正!$5:$5</definedName>
    <definedName name="一修多修正项2" localSheetId="52">[6]典型户型修正!$5:$5</definedName>
    <definedName name="一修多修正项2">典型户型修正!$5:$5</definedName>
    <definedName name="一修多修正项3" localSheetId="62">[5]典型户型修正!$7:$7</definedName>
    <definedName name="一修多修正项3" localSheetId="52">[6]典型户型修正!$7:$7</definedName>
    <definedName name="一修多修正项3">典型户型修正!$7:$7</definedName>
    <definedName name="一修多修正项4" localSheetId="62">[5]典型户型修正!$9:$9</definedName>
    <definedName name="一修多修正项4" localSheetId="52">[6]典型户型修正!$9:$9</definedName>
    <definedName name="一修多修正项4">典型户型修正!$9:$9</definedName>
    <definedName name="一修多修正项5" localSheetId="62">[5]典型户型修正!$11:$11</definedName>
    <definedName name="一修多修正项5" localSheetId="52">[6]典型户型修正!$11:$11</definedName>
    <definedName name="一修多修正项5">典型户型修正!$11:$11</definedName>
    <definedName name="一修多修正项6" localSheetId="62">[5]典型户型修正!$13:$13</definedName>
    <definedName name="一修多修正项6" localSheetId="52">[6]典型户型修正!$13:$13</definedName>
    <definedName name="一修多修正项6">典型户型修正!$13:$13</definedName>
    <definedName name="一修多修正项7" localSheetId="62">[5]典型户型修正!$15:$15</definedName>
    <definedName name="一修多修正项7" localSheetId="52">[6]典型户型修正!$15:$15</definedName>
    <definedName name="一修多修正项7">典型户型修正!$15:$15</definedName>
    <definedName name="一修多修正项8" localSheetId="62">[5]典型户型修正!$17:$17</definedName>
    <definedName name="一修多修正项8" localSheetId="52">[6]典型户型修正!$17:$17</definedName>
    <definedName name="一修多修正项8">典型户型修正!$17:$17</definedName>
    <definedName name="用途类型" localSheetId="62">[5]定义!$A$1:$A$50</definedName>
    <definedName name="用途类型" localSheetId="52">[6]定义!$A$1:$A$50</definedName>
    <definedName name="用途类型">定义!$A$1:$A$50</definedName>
    <definedName name="有无电梯" localSheetId="62">'[5]不动产比较法-仓储'!$B$84:$M$84</definedName>
    <definedName name="有无电梯" localSheetId="52">'[6]不动产比较法-仓储'!$B$84:$M$84</definedName>
    <definedName name="有无电梯">'不动产比较法-仓储'!$B$84:$M$84</definedName>
    <definedName name="主用途" localSheetId="62">[5]定义!$F$1:$F$10</definedName>
    <definedName name="主用途" localSheetId="52">[6]定义!$F$1:$F$10</definedName>
    <definedName name="主用途">定义!$F$1:$F$10</definedName>
    <definedName name="住宅朝向" localSheetId="62">'[5]不动产比较法-住宅'!$B$88:$M$88</definedName>
    <definedName name="住宅朝向" localSheetId="52">'[6]不动产比较法-住宅'!$B$88:$M$88</definedName>
    <definedName name="住宅朝向">'不动产比较法-住宅'!$B$88:$M$88</definedName>
    <definedName name="住宅房型" localSheetId="62">'[5]不动产比较法-住宅'!$B$118:$M$118</definedName>
    <definedName name="住宅房型" localSheetId="52">'[6]不动产比较法-住宅'!$B$118:$M$118</definedName>
    <definedName name="住宅房型">'不动产比较法-住宅'!$B$118:$M$118</definedName>
    <definedName name="住宅公共部分装修" localSheetId="62">'[5]不动产比较法-住宅'!$B$109:$M$109</definedName>
    <definedName name="住宅公共部分装修" localSheetId="52">'[6]不动产比较法-住宅'!$B$109:$M$109</definedName>
    <definedName name="住宅公共部分装修">'不动产比较法-住宅'!$B$109:$M$109</definedName>
    <definedName name="住宅基础设施水平" localSheetId="62">'[5]不动产比较法-住宅'!$B$116:$M$116</definedName>
    <definedName name="住宅基础设施水平" localSheetId="52">'[6]不动产比较法-住宅'!$B$116:$M$116</definedName>
    <definedName name="住宅基础设施水平">'不动产比较法-住宅'!$B$116:$M$116</definedName>
    <definedName name="住宅建筑结构" localSheetId="62">'[5]不动产比较法-住宅'!$B$105:$M$105</definedName>
    <definedName name="住宅建筑结构" localSheetId="52">'[6]不动产比较法-住宅'!$B$105:$M$105</definedName>
    <definedName name="住宅建筑结构">'不动产比较法-住宅'!$B$105:$M$105</definedName>
    <definedName name="住宅建筑类型" localSheetId="62">'[5]不动产比较法-住宅'!$B$100:$M$100</definedName>
    <definedName name="住宅建筑类型" localSheetId="52">'[6]不动产比较法-住宅'!$B$100:$M$100</definedName>
    <definedName name="住宅建筑类型">'不动产比较法-住宅'!$B$100:$M$100</definedName>
    <definedName name="住宅建筑品质" localSheetId="62">'[5]不动产比较法-住宅'!$B$107:$M$107</definedName>
    <definedName name="住宅建筑品质" localSheetId="52">'[6]不动产比较法-住宅'!$B$107:$M$107</definedName>
    <definedName name="住宅建筑品质">'不动产比较法-住宅'!$B$107:$M$107</definedName>
    <definedName name="住宅交易情况" localSheetId="62">'[5]不动产比较法-住宅'!$A$61:$M$61</definedName>
    <definedName name="住宅交易情况" localSheetId="52">'[6]不动产比较法-住宅'!$A$61:$M$61</definedName>
    <definedName name="住宅交易情况">'不动产比较法-住宅'!$A$61:$M$61</definedName>
    <definedName name="住宅楼层" localSheetId="62">'[5]不动产比较法-住宅'!$B$86:$M$86</definedName>
    <definedName name="住宅楼层" localSheetId="52">'[6]不动产比较法-住宅'!$B$86:$M$86</definedName>
    <definedName name="住宅楼层">'不动产比较法-住宅'!$B$86:$M$86</definedName>
    <definedName name="住宅内部装修" localSheetId="62">'[5]不动产比较法-住宅'!$B$122:$M$122</definedName>
    <definedName name="住宅内部装修" localSheetId="52">'[6]不动产比较法-住宅'!$B$122:$M$122</definedName>
    <definedName name="住宅内部装修">'不动产比较法-住宅'!$B$122:$M$122</definedName>
    <definedName name="住宅物业管理" localSheetId="62">'[5]不动产比较法-住宅'!$B$114:$M$114</definedName>
    <definedName name="住宅物业管理" localSheetId="52">'[6]不动产比较法-住宅'!$B$114:$M$114</definedName>
    <definedName name="住宅物业管理">'不动产比较法-住宅'!$B$114:$M$114</definedName>
    <definedName name="住宅用途" localSheetId="62">'[5]不动产比较法-住宅'!$B$63:$M$63</definedName>
    <definedName name="住宅用途" localSheetId="52">'[6]不动产比较法-住宅'!$B$63:$M$63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8" i="94" l="1"/>
  <c r="P48" i="46"/>
  <c r="B32" i="82" l="1"/>
  <c r="I43" i="40" l="1"/>
  <c r="G43" i="40"/>
  <c r="Q3" i="94"/>
  <c r="Q4" i="94"/>
  <c r="P3" i="94"/>
  <c r="P2" i="94"/>
  <c r="P4" i="94"/>
  <c r="G12" i="82"/>
  <c r="G10" i="82"/>
  <c r="G9" i="82"/>
  <c r="F27" i="82"/>
  <c r="C28" i="82"/>
  <c r="N3" i="94" l="1"/>
  <c r="N4" i="94"/>
  <c r="N5" i="94"/>
  <c r="N6" i="94"/>
  <c r="N7" i="94"/>
  <c r="N8" i="94"/>
  <c r="N9" i="94"/>
  <c r="N2" i="94"/>
  <c r="O2" i="94" s="1"/>
  <c r="Q2" i="94" s="1"/>
  <c r="E43" i="40" s="1"/>
  <c r="J9" i="94"/>
  <c r="O8" i="94"/>
  <c r="J8" i="94"/>
  <c r="E36" i="40"/>
  <c r="E9" i="40"/>
  <c r="E8" i="40"/>
  <c r="C27" i="82"/>
  <c r="C24" i="82"/>
  <c r="C25" i="82"/>
  <c r="C26" i="82"/>
  <c r="C23" i="82"/>
  <c r="O9" i="94" l="1"/>
  <c r="I46" i="40"/>
  <c r="C19" i="46" l="1"/>
  <c r="P47" i="46"/>
  <c r="P45" i="46"/>
  <c r="P46" i="46"/>
  <c r="I36" i="40"/>
  <c r="G36" i="40"/>
  <c r="I9" i="40"/>
  <c r="G9" i="40"/>
  <c r="I8" i="40"/>
  <c r="G8" i="40"/>
  <c r="J4" i="94"/>
  <c r="O3" i="94"/>
  <c r="J3" i="94"/>
  <c r="O4" i="94" l="1"/>
  <c r="G8" i="92"/>
  <c r="AB37" i="91" l="1"/>
  <c r="AE32" i="91"/>
  <c r="AE31" i="91"/>
  <c r="AE28" i="91"/>
  <c r="AE25" i="91"/>
  <c r="AE24" i="91"/>
  <c r="AE19" i="91"/>
  <c r="Y16" i="91"/>
  <c r="AH16" i="91" s="1"/>
  <c r="AJ16" i="91" s="1"/>
  <c r="AE16" i="91"/>
  <c r="AH5" i="91"/>
  <c r="AJ5" i="91" s="1"/>
  <c r="AH6" i="91"/>
  <c r="AJ6" i="91" s="1"/>
  <c r="AH7" i="91"/>
  <c r="AJ7" i="91" s="1"/>
  <c r="AH8" i="91"/>
  <c r="AJ8" i="91" s="1"/>
  <c r="AH9" i="91"/>
  <c r="AJ9" i="91" s="1"/>
  <c r="AH10" i="91"/>
  <c r="AJ10" i="91" s="1"/>
  <c r="AH11" i="91"/>
  <c r="AJ11" i="91" s="1"/>
  <c r="AH12" i="91"/>
  <c r="AJ12" i="91" s="1"/>
  <c r="AH13" i="91"/>
  <c r="AJ13" i="91" s="1"/>
  <c r="AH14" i="91"/>
  <c r="AJ14" i="91" s="1"/>
  <c r="AH15" i="91"/>
  <c r="AJ15" i="91" s="1"/>
  <c r="AH17" i="91"/>
  <c r="AJ17" i="91" s="1"/>
  <c r="AH18" i="91"/>
  <c r="AJ18" i="91" s="1"/>
  <c r="AH19" i="91"/>
  <c r="AJ19" i="91" s="1"/>
  <c r="AH20" i="91"/>
  <c r="AJ20" i="91" s="1"/>
  <c r="AH21" i="91"/>
  <c r="AJ21" i="91" s="1"/>
  <c r="AH22" i="91"/>
  <c r="AJ22" i="91" s="1"/>
  <c r="AH23" i="91"/>
  <c r="AJ23" i="91" s="1"/>
  <c r="AH24" i="91"/>
  <c r="AJ24" i="91" s="1"/>
  <c r="AH25" i="91"/>
  <c r="AJ25" i="91" s="1"/>
  <c r="AH26" i="91"/>
  <c r="AJ26" i="91" s="1"/>
  <c r="AH27" i="91"/>
  <c r="AJ27" i="91" s="1"/>
  <c r="AH28" i="91"/>
  <c r="AJ28" i="91" s="1"/>
  <c r="AH29" i="91"/>
  <c r="AJ29" i="91" s="1"/>
  <c r="AH30" i="91"/>
  <c r="AJ30" i="91" s="1"/>
  <c r="AH31" i="91"/>
  <c r="AJ31" i="91" s="1"/>
  <c r="AH32" i="91"/>
  <c r="AJ32" i="91" s="1"/>
  <c r="AH33" i="91"/>
  <c r="AJ33" i="91" s="1"/>
  <c r="AH34" i="91"/>
  <c r="AJ34" i="91" s="1"/>
  <c r="AH35" i="91"/>
  <c r="AJ35" i="91" s="1"/>
  <c r="AH36" i="91"/>
  <c r="AJ36" i="91" s="1"/>
  <c r="AH37" i="91"/>
  <c r="AJ37" i="91" s="1"/>
  <c r="AH38" i="91"/>
  <c r="AJ38" i="91" s="1"/>
  <c r="AH4" i="91"/>
  <c r="AJ4" i="91" s="1"/>
  <c r="AG4" i="91"/>
  <c r="AG5" i="91"/>
  <c r="AG6" i="91"/>
  <c r="AG7" i="91"/>
  <c r="AG8" i="91"/>
  <c r="AG9" i="91"/>
  <c r="AG10" i="91"/>
  <c r="AG11" i="91"/>
  <c r="AG12" i="91"/>
  <c r="AG13" i="91"/>
  <c r="AG14" i="91"/>
  <c r="AG15" i="91"/>
  <c r="AG16" i="91"/>
  <c r="AG17" i="91"/>
  <c r="AG18" i="91"/>
  <c r="AG19" i="91"/>
  <c r="AG20" i="91"/>
  <c r="AG21" i="91"/>
  <c r="AG22" i="91"/>
  <c r="AG23" i="91"/>
  <c r="AG24" i="91"/>
  <c r="AG25" i="91"/>
  <c r="AG26" i="91"/>
  <c r="AG27" i="91"/>
  <c r="AG28" i="91"/>
  <c r="AG29" i="91"/>
  <c r="AG30" i="91"/>
  <c r="AG31" i="91"/>
  <c r="AG32" i="91"/>
  <c r="AG33" i="91"/>
  <c r="AG34" i="91"/>
  <c r="AG35" i="91"/>
  <c r="AG36" i="91"/>
  <c r="AG37" i="91"/>
  <c r="AG38" i="91"/>
  <c r="AE9" i="91"/>
  <c r="AE4" i="91" l="1"/>
  <c r="C8" i="11" l="1"/>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F76" i="90" l="1"/>
  <c r="M4" i="90"/>
  <c r="M6" i="90"/>
  <c r="M8" i="90"/>
  <c r="M10" i="90"/>
  <c r="M12" i="90"/>
  <c r="M45" i="90"/>
  <c r="D39" i="90"/>
  <c r="Q5" i="90" s="1"/>
  <c r="R5" i="90" s="1"/>
  <c r="M3" i="90"/>
  <c r="M5" i="90"/>
  <c r="M7" i="90"/>
  <c r="M9" i="90"/>
  <c r="M11" i="90"/>
  <c r="M13" i="90"/>
  <c r="M15" i="90"/>
  <c r="M17" i="90"/>
  <c r="M19" i="90"/>
  <c r="M21" i="90"/>
  <c r="M23" i="90"/>
  <c r="M25" i="90"/>
  <c r="M27" i="90"/>
  <c r="M29" i="90"/>
  <c r="M31" i="90"/>
  <c r="M33" i="90"/>
  <c r="M35" i="90"/>
  <c r="M37" i="90"/>
  <c r="F46" i="90"/>
  <c r="M42" i="90"/>
  <c r="M44" i="90"/>
  <c r="M40" i="90"/>
  <c r="F39" i="90"/>
  <c r="E7" i="89" s="1"/>
  <c r="G6" i="89" l="1"/>
  <c r="Q12" i="1"/>
  <c r="Q11" i="1"/>
  <c r="Q10" i="1"/>
  <c r="Q9" i="1"/>
  <c r="Q8" i="1"/>
  <c r="Q7" i="1"/>
  <c r="C8" i="87" l="1"/>
  <c r="D5" i="9"/>
  <c r="E20" i="89" l="1"/>
  <c r="E44" i="73" l="1"/>
  <c r="D2" i="82" s="1"/>
  <c r="E11" i="75" l="1"/>
  <c r="F29" i="81" l="1"/>
  <c r="F28" i="81"/>
  <c r="F27" i="81"/>
  <c r="F26" i="81"/>
  <c r="H29" i="81"/>
  <c r="H27" i="81"/>
  <c r="F23" i="81"/>
  <c r="F22" i="81"/>
  <c r="F21" i="81"/>
  <c r="F20" i="81"/>
  <c r="H21" i="81"/>
  <c r="H23" i="81"/>
  <c r="C7" i="87"/>
  <c r="G17" i="87"/>
  <c r="E13" i="87"/>
  <c r="E12" i="87"/>
  <c r="C11" i="87"/>
  <c r="C10" i="87"/>
  <c r="D29" i="86" l="1"/>
  <c r="D30" i="86" s="1"/>
  <c r="F7" i="81"/>
  <c r="G3" i="82" l="1"/>
  <c r="K6" i="85"/>
  <c r="K5" i="85"/>
  <c r="K4" i="85"/>
  <c r="K3" i="85"/>
  <c r="K2" i="85"/>
  <c r="AB13" i="84" l="1"/>
  <c r="AB12" i="84"/>
  <c r="AD11" i="84"/>
  <c r="AD12" i="84" s="1"/>
  <c r="AB11" i="84"/>
  <c r="AB18" i="84" s="1"/>
  <c r="D29" i="46" l="1"/>
  <c r="H62" i="74" l="1"/>
  <c r="H66" i="74"/>
  <c r="H60" i="74"/>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M86" i="86"/>
  <c r="N86" i="86" s="1"/>
  <c r="K86" i="86"/>
  <c r="J86" i="86" s="1"/>
  <c r="M85" i="86"/>
  <c r="N85" i="86" s="1"/>
  <c r="K85" i="86"/>
  <c r="J85" i="86" s="1"/>
  <c r="D85" i="86" s="1"/>
  <c r="M84" i="86"/>
  <c r="N84" i="86" s="1"/>
  <c r="K84" i="86"/>
  <c r="J84" i="86" s="1"/>
  <c r="D84" i="86"/>
  <c r="M83" i="86"/>
  <c r="N83" i="86" s="1"/>
  <c r="D83" i="86" s="1"/>
  <c r="K83" i="86"/>
  <c r="J83" i="86" s="1"/>
  <c r="B83" i="86"/>
  <c r="M82" i="86"/>
  <c r="N82" i="86" s="1"/>
  <c r="K82" i="86"/>
  <c r="J82" i="86" s="1"/>
  <c r="D82" i="86"/>
  <c r="B82" i="86"/>
  <c r="M81" i="86"/>
  <c r="N81" i="86" s="1"/>
  <c r="K81" i="86"/>
  <c r="J81" i="86" s="1"/>
  <c r="D81" i="86"/>
  <c r="M80" i="86"/>
  <c r="N80" i="86" s="1"/>
  <c r="K80" i="86"/>
  <c r="J80" i="86" s="1"/>
  <c r="D80" i="86"/>
  <c r="M77" i="86"/>
  <c r="N77" i="86" s="1"/>
  <c r="K77" i="86"/>
  <c r="J77" i="86" s="1"/>
  <c r="D77" i="86"/>
  <c r="M76" i="86"/>
  <c r="N76" i="86" s="1"/>
  <c r="K76" i="86"/>
  <c r="J76" i="86" s="1"/>
  <c r="D76" i="86"/>
  <c r="M75" i="86"/>
  <c r="N75" i="86" s="1"/>
  <c r="K75" i="86"/>
  <c r="J75" i="86" s="1"/>
  <c r="D75" i="86"/>
  <c r="M74" i="86"/>
  <c r="N74" i="86" s="1"/>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M65" i="86"/>
  <c r="N65" i="86" s="1"/>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M52" i="86"/>
  <c r="N52" i="86" s="1"/>
  <c r="K52" i="86"/>
  <c r="J52" i="86" s="1"/>
  <c r="D52" i="86"/>
  <c r="M51" i="86"/>
  <c r="N51" i="86" s="1"/>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C12" i="86" l="1"/>
  <c r="AB12" i="86"/>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H13" i="86" s="1"/>
  <c r="AF11" i="86"/>
  <c r="AF13" i="86" s="1"/>
  <c r="AD11" i="86"/>
  <c r="AB11" i="86"/>
  <c r="AB13" i="86" s="1"/>
  <c r="Z11" i="86"/>
  <c r="Z13" i="86" s="1"/>
  <c r="N3" i="86"/>
  <c r="M4" i="86"/>
  <c r="N5" i="86"/>
  <c r="C6" i="86"/>
  <c r="N6" i="86"/>
  <c r="F80" i="86" s="1"/>
  <c r="M7" i="86"/>
  <c r="Z7" i="86"/>
  <c r="M8" i="86"/>
  <c r="N9" i="86"/>
  <c r="M10" i="86"/>
  <c r="AC10" i="86"/>
  <c r="AG10" i="86"/>
  <c r="AD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C36" i="40"/>
  <c r="C115" i="86" l="1"/>
  <c r="D113" i="86"/>
  <c r="S6" i="86"/>
  <c r="S5" i="86"/>
  <c r="S3" i="86"/>
  <c r="S7" i="86"/>
  <c r="S2" i="86"/>
  <c r="S4" i="86"/>
  <c r="I13" i="40"/>
  <c r="C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H30" i="75" l="1"/>
  <c r="H32" i="75" s="1"/>
  <c r="H33" i="75" s="1"/>
  <c r="D10" i="81" l="1"/>
  <c r="F62" i="74"/>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H61" i="74" l="1"/>
  <c r="I61" i="74" s="1"/>
  <c r="J61" i="74" s="1"/>
  <c r="H64" i="74"/>
  <c r="I64" i="74" s="1"/>
  <c r="J64" i="74" s="1"/>
  <c r="K64" i="74" s="1"/>
  <c r="H68" i="74"/>
  <c r="I68" i="74" s="1"/>
  <c r="J68" i="74" s="1"/>
  <c r="H70" i="74"/>
  <c r="I70" i="74" s="1"/>
  <c r="H85" i="74"/>
  <c r="I85" i="74" s="1"/>
  <c r="J85" i="74" s="1"/>
  <c r="H78" i="74"/>
  <c r="I78" i="74" s="1"/>
  <c r="J78" i="74" s="1"/>
  <c r="H81" i="74"/>
  <c r="I81" i="74" s="1"/>
  <c r="J81" i="74" s="1"/>
  <c r="H86" i="74"/>
  <c r="I86" i="74" s="1"/>
  <c r="G73" i="74"/>
  <c r="G77" i="74"/>
  <c r="H77" i="74" s="1"/>
  <c r="G83" i="74"/>
  <c r="G71" i="74"/>
  <c r="G75" i="74"/>
  <c r="G87" i="74"/>
  <c r="H87" i="74" s="1"/>
  <c r="I67" i="74"/>
  <c r="I69" i="74"/>
  <c r="I77" i="74"/>
  <c r="I79" i="74"/>
  <c r="I87" i="74"/>
  <c r="I63" i="74"/>
  <c r="I65" i="74"/>
  <c r="G72" i="74"/>
  <c r="G74" i="74"/>
  <c r="G76" i="74"/>
  <c r="G80" i="74"/>
  <c r="G82" i="74"/>
  <c r="G84" i="74"/>
  <c r="G88" i="74"/>
  <c r="K62" i="74"/>
  <c r="L62" i="74" s="1"/>
  <c r="S66" i="74"/>
  <c r="M66" i="74" s="1"/>
  <c r="L66" i="74"/>
  <c r="K60" i="74"/>
  <c r="S60" i="74" s="1"/>
  <c r="M60" i="74" s="1"/>
  <c r="F60" i="74"/>
  <c r="F89" i="74" s="1"/>
  <c r="J86" i="74" l="1"/>
  <c r="K86" i="74" s="1"/>
  <c r="J70" i="74"/>
  <c r="K70" i="74" s="1"/>
  <c r="H88" i="74"/>
  <c r="I88" i="74" s="1"/>
  <c r="J88" i="74" s="1"/>
  <c r="H84" i="74"/>
  <c r="I84" i="74" s="1"/>
  <c r="J84" i="74" s="1"/>
  <c r="H80" i="74"/>
  <c r="I80" i="74" s="1"/>
  <c r="J80" i="74" s="1"/>
  <c r="H75" i="74"/>
  <c r="I75" i="74" s="1"/>
  <c r="J75" i="74" s="1"/>
  <c r="H83" i="74"/>
  <c r="I83" i="74" s="1"/>
  <c r="J83" i="74" s="1"/>
  <c r="H73" i="74"/>
  <c r="I73" i="74" s="1"/>
  <c r="J73" i="74" s="1"/>
  <c r="L70" i="74"/>
  <c r="K78" i="74"/>
  <c r="S78" i="74" s="1"/>
  <c r="M78" i="74" s="1"/>
  <c r="S86" i="74"/>
  <c r="M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L60" i="74"/>
  <c r="N60" i="74" s="1"/>
  <c r="P60" i="74" s="1"/>
  <c r="Q60" i="74" s="1"/>
  <c r="G5" i="79"/>
  <c r="S70" i="74" l="1"/>
  <c r="M70" i="74" s="1"/>
  <c r="N70" i="74" s="1"/>
  <c r="P70" i="74" s="1"/>
  <c r="Q70" i="74" s="1"/>
  <c r="L86" i="74"/>
  <c r="N86" i="74" s="1"/>
  <c r="P86" i="74" s="1"/>
  <c r="Q86" i="74" s="1"/>
  <c r="J71" i="74"/>
  <c r="K71"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S79" i="74" l="1"/>
  <c r="M79" i="74" s="1"/>
  <c r="N79" i="74" s="1"/>
  <c r="P79" i="74" s="1"/>
  <c r="Q79" i="74" s="1"/>
  <c r="L71" i="74"/>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N71" i="74" l="1"/>
  <c r="P71" i="74" s="1"/>
  <c r="Q71" i="74" s="1"/>
  <c r="Q89" i="74" s="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l="1"/>
  <c r="P48" i="74" s="1"/>
  <c r="Q48" i="74" s="1"/>
  <c r="N52" i="74"/>
  <c r="P52" i="74" s="1"/>
  <c r="Q52" i="74" s="1"/>
  <c r="Q53" i="74" s="1"/>
  <c r="D7" i="81" s="1"/>
  <c r="D24" i="75" l="1"/>
  <c r="D19" i="75"/>
  <c r="E10" i="75"/>
  <c r="C12" i="75" s="1"/>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F55" i="74" l="1"/>
  <c r="F93" i="74"/>
  <c r="D42" i="73"/>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s="1"/>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s="1"/>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s="1"/>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s="1"/>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s="1"/>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s="1"/>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s="1"/>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G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s="1"/>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G554" i="3" s="1"/>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P10" i="59"/>
  <c r="E10" i="59" s="1"/>
  <c r="P11" i="59"/>
  <c r="P12" i="59"/>
  <c r="P13" i="59"/>
  <c r="P14" i="59"/>
  <c r="P15" i="59"/>
  <c r="P16" i="59"/>
  <c r="P17" i="59"/>
  <c r="P18" i="59"/>
  <c r="P19" i="59"/>
  <c r="E20" i="59" s="1"/>
  <c r="E21" i="59" s="1"/>
  <c r="P20" i="59"/>
  <c r="P21" i="59"/>
  <c r="O6" i="59"/>
  <c r="O7" i="59"/>
  <c r="O8" i="59"/>
  <c r="O9" i="59"/>
  <c r="O10" i="59"/>
  <c r="O11" i="59"/>
  <c r="C12" i="59" s="1"/>
  <c r="D12" i="59" s="1"/>
  <c r="O12" i="59"/>
  <c r="O13" i="59"/>
  <c r="O14" i="59"/>
  <c r="O15" i="59"/>
  <c r="C16" i="59" s="1"/>
  <c r="D16" i="59" s="1"/>
  <c r="O16" i="59"/>
  <c r="O17" i="59"/>
  <c r="O18" i="59"/>
  <c r="O19" i="59"/>
  <c r="O20" i="59"/>
  <c r="O21" i="59"/>
  <c r="Y20" i="59" s="1"/>
  <c r="Z20" i="59" s="1"/>
  <c r="N6" i="59"/>
  <c r="N7" i="59"/>
  <c r="N8" i="59"/>
  <c r="N9" i="59"/>
  <c r="N10" i="59"/>
  <c r="N11" i="59"/>
  <c r="B12" i="59" s="1"/>
  <c r="B13"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H29" i="40" s="1"/>
  <c r="AB29" i="40" s="1"/>
  <c r="D94" i="40"/>
  <c r="E94" i="40" s="1"/>
  <c r="D92" i="40"/>
  <c r="F23" i="40" s="1"/>
  <c r="S23" i="40" s="1"/>
  <c r="D90" i="40"/>
  <c r="E90" i="40" s="1"/>
  <c r="F90" i="40" s="1"/>
  <c r="G90" i="40" s="1"/>
  <c r="D88" i="40"/>
  <c r="E88" i="40" s="1"/>
  <c r="J19" i="40" s="1"/>
  <c r="W19" i="40" s="1"/>
  <c r="D86" i="40"/>
  <c r="E86" i="40" s="1"/>
  <c r="B83" i="40"/>
  <c r="B81" i="40"/>
  <c r="J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1" i="40"/>
  <c r="U11"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AB10" i="37"/>
  <c r="J11" i="37"/>
  <c r="U40" i="39"/>
  <c r="S27" i="31"/>
  <c r="BT5" i="3"/>
  <c r="J57" i="39"/>
  <c r="H12" i="48"/>
  <c r="I4" i="4"/>
  <c r="K141" i="21"/>
  <c r="K143" i="21"/>
  <c r="K144" i="21"/>
  <c r="I59" i="40"/>
  <c r="C59" i="40" s="1"/>
  <c r="I60" i="40"/>
  <c r="C60" i="40" s="1"/>
  <c r="W9" i="33"/>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s="1"/>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E92" i="40"/>
  <c r="F92" i="40" s="1"/>
  <c r="G92" i="40" s="1"/>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11" i="40"/>
  <c r="H37" i="40"/>
  <c r="AB37" i="40" s="1"/>
  <c r="F39" i="40"/>
  <c r="S39" i="40" s="1"/>
  <c r="H39" i="40"/>
  <c r="U39" i="40" s="1"/>
  <c r="J39" i="40"/>
  <c r="W39" i="40" s="1"/>
  <c r="W38" i="40"/>
  <c r="H19" i="40"/>
  <c r="U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E5" i="6"/>
  <c r="D12" i="87" s="1"/>
  <c r="C12" i="87" s="1"/>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s="1"/>
  <c r="L20" i="6"/>
  <c r="L19" i="6"/>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E58" i="46" l="1"/>
  <c r="B56" i="46" s="1"/>
  <c r="E47" i="46"/>
  <c r="B45" i="46" s="1"/>
  <c r="W15" i="40"/>
  <c r="AC15" i="40"/>
  <c r="J23" i="40"/>
  <c r="AC23" i="40" s="1"/>
  <c r="H34" i="40"/>
  <c r="H23" i="40"/>
  <c r="F15" i="40"/>
  <c r="H15" i="40"/>
  <c r="W33" i="40"/>
  <c r="J42" i="40"/>
  <c r="J37" i="40"/>
  <c r="AC37" i="40" s="1"/>
  <c r="F37" i="40"/>
  <c r="AA37" i="40" s="1"/>
  <c r="S10" i="40"/>
  <c r="W10" i="40"/>
  <c r="J29" i="40"/>
  <c r="AC29" i="40" s="1"/>
  <c r="E69" i="46"/>
  <c r="B67" i="46" s="1"/>
  <c r="F5" i="59"/>
  <c r="W36" i="40"/>
  <c r="U36" i="40"/>
  <c r="S36" i="40"/>
  <c r="AB15" i="37"/>
  <c r="J21" i="40"/>
  <c r="AC21" i="40" s="1"/>
  <c r="U12" i="37"/>
  <c r="Y11" i="59"/>
  <c r="Z11" i="59" s="1"/>
  <c r="G562" i="3"/>
  <c r="G558" i="3"/>
  <c r="G556" i="3"/>
  <c r="G555" i="3"/>
  <c r="G466" i="3"/>
  <c r="G434" i="3"/>
  <c r="G402" i="3"/>
  <c r="G370" i="3"/>
  <c r="G366" i="3"/>
  <c r="G364" i="3"/>
  <c r="G338" i="3"/>
  <c r="G334" i="3"/>
  <c r="G332" i="3"/>
  <c r="G331" i="3"/>
  <c r="G306" i="3"/>
  <c r="G302" i="3"/>
  <c r="W31" i="39"/>
  <c r="L27" i="6"/>
  <c r="G29" i="6"/>
  <c r="K100" i="46"/>
  <c r="B14" i="59"/>
  <c r="S14" i="59" s="1"/>
  <c r="X9" i="59"/>
  <c r="X6" i="59"/>
  <c r="Y8" i="59"/>
  <c r="Z8" i="59" s="1"/>
  <c r="E22" i="59"/>
  <c r="U22" i="59" s="1"/>
  <c r="AA16" i="59"/>
  <c r="AA12" i="59"/>
  <c r="AA10" i="59"/>
  <c r="AA3" i="59"/>
  <c r="G546" i="3"/>
  <c r="G542" i="3"/>
  <c r="G514" i="3"/>
  <c r="G510" i="3"/>
  <c r="G482" i="3"/>
  <c r="G478" i="3"/>
  <c r="G386" i="3"/>
  <c r="G292" i="3"/>
  <c r="G288" i="3"/>
  <c r="G286" i="3"/>
  <c r="G285" i="3"/>
  <c r="G260" i="3"/>
  <c r="G256" i="3"/>
  <c r="G254" i="3"/>
  <c r="G253" i="3"/>
  <c r="G220" i="3"/>
  <c r="G216" i="3"/>
  <c r="G214" i="3"/>
  <c r="G213" i="3"/>
  <c r="G188" i="3"/>
  <c r="G184" i="3"/>
  <c r="G182" i="3"/>
  <c r="G181" i="3"/>
  <c r="G156" i="3"/>
  <c r="G152" i="3"/>
  <c r="G150" i="3"/>
  <c r="G149" i="3"/>
  <c r="G124" i="3"/>
  <c r="G120" i="3"/>
  <c r="G118" i="3"/>
  <c r="G117" i="3"/>
  <c r="G90" i="3"/>
  <c r="G86" i="3"/>
  <c r="G84" i="3"/>
  <c r="G83" i="3"/>
  <c r="G56" i="3"/>
  <c r="G52" i="3"/>
  <c r="G50" i="3"/>
  <c r="G49" i="3"/>
  <c r="G26" i="3"/>
  <c r="G22" i="3"/>
  <c r="G20" i="3"/>
  <c r="G19" i="3"/>
  <c r="BA563" i="3"/>
  <c r="BA547" i="3"/>
  <c r="BA531" i="3"/>
  <c r="BA515" i="3"/>
  <c r="BA499" i="3"/>
  <c r="BA483" i="3"/>
  <c r="BA467" i="3"/>
  <c r="BA451" i="3"/>
  <c r="BA435" i="3"/>
  <c r="BA419" i="3"/>
  <c r="BA415" i="3"/>
  <c r="BA411" i="3"/>
  <c r="BA394" i="3"/>
  <c r="BA374" i="3"/>
  <c r="BA370" i="3"/>
  <c r="BA338" i="3"/>
  <c r="BA322" i="3"/>
  <c r="BA318" i="3"/>
  <c r="BA306" i="3"/>
  <c r="BA290" i="3"/>
  <c r="BA274" i="3"/>
  <c r="BA258" i="3"/>
  <c r="BA240" i="3"/>
  <c r="BA224" i="3"/>
  <c r="BA208" i="3"/>
  <c r="BA192" i="3"/>
  <c r="BA176" i="3"/>
  <c r="BA158" i="3"/>
  <c r="BA142" i="3"/>
  <c r="BA126" i="3"/>
  <c r="BA110" i="3"/>
  <c r="BA94" i="3"/>
  <c r="BA78" i="3"/>
  <c r="BA62" i="3"/>
  <c r="BL45" i="3"/>
  <c r="BL29" i="3"/>
  <c r="BL13" i="3"/>
  <c r="D22" i="70"/>
  <c r="BA571" i="3"/>
  <c r="BA555" i="3"/>
  <c r="BA539" i="3"/>
  <c r="BA523" i="3"/>
  <c r="BA507" i="3"/>
  <c r="BA491" i="3"/>
  <c r="BA475" i="3"/>
  <c r="BA459" i="3"/>
  <c r="BA443" i="3"/>
  <c r="BA427" i="3"/>
  <c r="BA346" i="3"/>
  <c r="BA330" i="3"/>
  <c r="BA298" i="3"/>
  <c r="BA282" i="3"/>
  <c r="BA266" i="3"/>
  <c r="BA248" i="3"/>
  <c r="BA232" i="3"/>
  <c r="BA216" i="3"/>
  <c r="BA200" i="3"/>
  <c r="BA184" i="3"/>
  <c r="BA168" i="3"/>
  <c r="BA150" i="3"/>
  <c r="BA134" i="3"/>
  <c r="BA118" i="3"/>
  <c r="BA102" i="3"/>
  <c r="BA86" i="3"/>
  <c r="BA70" i="3"/>
  <c r="BA54" i="3"/>
  <c r="BL37" i="3"/>
  <c r="BL21" i="3"/>
  <c r="D7" i="78"/>
  <c r="E8" i="89"/>
  <c r="E10" i="11"/>
  <c r="C15" i="11" s="1"/>
  <c r="C10" i="11" s="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S38" i="40"/>
  <c r="U37" i="40"/>
  <c r="AB32" i="40"/>
  <c r="W30" i="40"/>
  <c r="U30" i="40"/>
  <c r="S30" i="40"/>
  <c r="G98" i="40"/>
  <c r="H98" i="40" s="1"/>
  <c r="I98" i="40" s="1"/>
  <c r="J98" i="40" s="1"/>
  <c r="K98" i="40" s="1"/>
  <c r="L98" i="40" s="1"/>
  <c r="M98" i="40" s="1"/>
  <c r="F29" i="40"/>
  <c r="S29" i="40" s="1"/>
  <c r="U27" i="40"/>
  <c r="AB27" i="40"/>
  <c r="W27" i="40"/>
  <c r="S25" i="40"/>
  <c r="AA23" i="40"/>
  <c r="F21" i="40"/>
  <c r="AA21" i="40" s="1"/>
  <c r="H21" i="40"/>
  <c r="F88" i="40"/>
  <c r="G88" i="40" s="1"/>
  <c r="F19" i="40"/>
  <c r="AA19" i="40" s="1"/>
  <c r="AC19" i="40"/>
  <c r="F86" i="40"/>
  <c r="G86" i="40" s="1"/>
  <c r="H17" i="40"/>
  <c r="AB17" i="40" s="1"/>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F10" i="1"/>
  <c r="I20" i="86" s="1"/>
  <c r="D100" i="46"/>
  <c r="U10" i="59"/>
  <c r="E9" i="59"/>
  <c r="E8" i="59" s="1"/>
  <c r="AA12" i="46"/>
  <c r="AE12" i="46"/>
  <c r="AI12" i="46"/>
  <c r="H1" i="65"/>
  <c r="C21" i="59"/>
  <c r="C17" i="59"/>
  <c r="C13" i="59"/>
  <c r="C15" i="43"/>
  <c r="C28" i="70"/>
  <c r="C28" i="68"/>
  <c r="K76" i="9"/>
  <c r="K77" i="9" s="1"/>
  <c r="K79" i="9" s="1"/>
  <c r="K81" i="9" s="1"/>
  <c r="AB6" i="59"/>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s="1"/>
  <c r="M40" i="74" s="1"/>
  <c r="K40" i="74"/>
  <c r="J15" i="74"/>
  <c r="K15" i="74" s="1"/>
  <c r="J11" i="74"/>
  <c r="K11" i="74" s="1"/>
  <c r="J34" i="74"/>
  <c r="K34" i="74" s="1"/>
  <c r="S34" i="74" s="1"/>
  <c r="M34" i="74" s="1"/>
  <c r="J30" i="74"/>
  <c r="K30" i="74" s="1"/>
  <c r="J21" i="74"/>
  <c r="K21" i="74" s="1"/>
  <c r="J17" i="74"/>
  <c r="K17" i="74" s="1"/>
  <c r="J29" i="74"/>
  <c r="J33" i="74"/>
  <c r="J37" i="74"/>
  <c r="K37" i="74" s="1"/>
  <c r="S14" i="74"/>
  <c r="M14" i="74" s="1"/>
  <c r="N14" i="74" s="1"/>
  <c r="P14" i="74" s="1"/>
  <c r="Q14" i="74" s="1"/>
  <c r="S27" i="74"/>
  <c r="M27" i="74" s="1"/>
  <c r="N27" i="74" s="1"/>
  <c r="P27" i="74" s="1"/>
  <c r="Q27" i="74" s="1"/>
  <c r="S13" i="74"/>
  <c r="M13" i="74" s="1"/>
  <c r="N13" i="74" s="1"/>
  <c r="P13" i="74" s="1"/>
  <c r="Q13" i="74" s="1"/>
  <c r="S6" i="74"/>
  <c r="M6" i="74" s="1"/>
  <c r="N6" i="74" s="1"/>
  <c r="P6" i="74" s="1"/>
  <c r="Q6" i="74" s="1"/>
  <c r="S8" i="74"/>
  <c r="M8" i="74" s="1"/>
  <c r="P62" i="68"/>
  <c r="D22" i="69"/>
  <c r="P62" i="70"/>
  <c r="D22" i="71"/>
  <c r="F28" i="72"/>
  <c r="C28" i="72" s="1"/>
  <c r="N8" i="74"/>
  <c r="P8" i="74" s="1"/>
  <c r="Q8"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40" i="74"/>
  <c r="K3" i="74"/>
  <c r="S3" i="74" s="1"/>
  <c r="M3" i="74" s="1"/>
  <c r="C14" i="12"/>
  <c r="W23" i="40" l="1"/>
  <c r="U34" i="40"/>
  <c r="AB34" i="40"/>
  <c r="AB15" i="40"/>
  <c r="U15" i="40"/>
  <c r="AC42" i="40"/>
  <c r="W42" i="40"/>
  <c r="S37" i="40"/>
  <c r="W37" i="40"/>
  <c r="W29" i="40"/>
  <c r="U17" i="40"/>
  <c r="S21" i="40"/>
  <c r="G3" i="81"/>
  <c r="D5" i="75"/>
  <c r="D3" i="77" s="1"/>
  <c r="L37" i="74"/>
  <c r="S37" i="74"/>
  <c r="M37" i="74" s="1"/>
  <c r="S17" i="74"/>
  <c r="M17" i="74" s="1"/>
  <c r="S21" i="74"/>
  <c r="M21" i="74" s="1"/>
  <c r="L11" i="74"/>
  <c r="C25" i="12"/>
  <c r="C15" i="12"/>
  <c r="C28" i="15"/>
  <c r="H81" i="46"/>
  <c r="H86" i="46"/>
  <c r="H85" i="46"/>
  <c r="H80" i="46"/>
  <c r="H82" i="46"/>
  <c r="H87" i="46"/>
  <c r="H83" i="46"/>
  <c r="H84" i="46"/>
  <c r="AA9" i="33"/>
  <c r="S9" i="33"/>
  <c r="E63" i="39"/>
  <c r="E58" i="40"/>
  <c r="N37" i="74"/>
  <c r="P37" i="74" s="1"/>
  <c r="Q37" i="74" s="1"/>
  <c r="K25" i="74"/>
  <c r="S25" i="74" s="1"/>
  <c r="M25" i="74" s="1"/>
  <c r="J7" i="34"/>
  <c r="F17" i="40"/>
  <c r="J17" i="40"/>
  <c r="W17" i="40" s="1"/>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C17" i="40" l="1"/>
  <c r="AP16" i="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T14" i="59"/>
  <c r="K19" i="6"/>
  <c r="K22" i="6"/>
  <c r="K21" i="6"/>
  <c r="E31" i="6"/>
  <c r="D1" i="86" s="1"/>
  <c r="K26" i="6"/>
  <c r="M26" i="6" s="1"/>
  <c r="I26" i="6" s="1"/>
  <c r="S26" i="6" s="1"/>
  <c r="K20" i="6"/>
  <c r="K23" i="6"/>
  <c r="K24" i="6"/>
  <c r="N30" i="74"/>
  <c r="P30" i="74" s="1"/>
  <c r="Q30" i="74" s="1"/>
  <c r="S36" i="74"/>
  <c r="M36" i="74" s="1"/>
  <c r="N36" i="74" s="1"/>
  <c r="P36" i="74" s="1"/>
  <c r="Q36" i="74"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D10" i="87" s="1"/>
  <c r="Q43" i="74" l="1"/>
  <c r="D6" i="81" s="1"/>
  <c r="M20" i="86"/>
  <c r="E6" i="3"/>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13" i="87" s="1"/>
  <c r="C13" i="87" s="1"/>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J15" i="72"/>
  <c r="M29" i="72"/>
  <c r="E11" i="67"/>
  <c r="F36" i="70"/>
  <c r="F7" i="68"/>
  <c r="J36" i="72"/>
  <c r="M26" i="71"/>
  <c r="F16" i="71"/>
  <c r="J4" i="65"/>
  <c r="M8" i="69"/>
  <c r="F7" i="69"/>
  <c r="F8" i="71"/>
  <c r="F13" i="72"/>
  <c r="F46" i="44"/>
  <c r="F9" i="15"/>
  <c r="M22" i="68"/>
  <c r="N3" i="65"/>
  <c r="F42" i="71"/>
  <c r="M22" i="15"/>
  <c r="J15" i="69"/>
  <c r="J3" i="65"/>
  <c r="F40" i="72"/>
  <c r="F9" i="44"/>
  <c r="F42" i="69"/>
  <c r="F7" i="70"/>
  <c r="F37" i="69"/>
  <c r="M26" i="15"/>
  <c r="M11" i="44"/>
  <c r="M23" i="72"/>
  <c r="F26" i="68"/>
  <c r="M9" i="69"/>
  <c r="F11" i="44"/>
  <c r="F43" i="70"/>
  <c r="F38" i="69"/>
  <c r="E9" i="67"/>
  <c r="F45" i="44"/>
  <c r="M28" i="68"/>
  <c r="F9" i="69"/>
  <c r="F28" i="44"/>
  <c r="M26" i="70"/>
  <c r="F43" i="72"/>
  <c r="M27" i="70"/>
  <c r="L47" i="15"/>
  <c r="M28" i="72"/>
  <c r="M29" i="70"/>
  <c r="M24" i="71"/>
  <c r="L48" i="44"/>
  <c r="M26" i="68"/>
  <c r="M23" i="68"/>
  <c r="C19" i="44"/>
  <c r="M22" i="70"/>
  <c r="F13" i="70"/>
  <c r="I7" i="65"/>
  <c r="F26" i="72"/>
  <c r="L48" i="69"/>
  <c r="M23" i="71"/>
  <c r="I5" i="65"/>
  <c r="F42" i="72"/>
  <c r="F16" i="72"/>
  <c r="M27" i="68"/>
  <c r="M24" i="72"/>
  <c r="F36" i="68"/>
  <c r="F37" i="68"/>
  <c r="M23" i="69"/>
  <c r="B8" i="67"/>
  <c r="C14" i="68"/>
  <c r="N5" i="65"/>
  <c r="M29" i="15"/>
  <c r="M6" i="70"/>
  <c r="M9" i="71"/>
  <c r="C14" i="70"/>
  <c r="F38" i="68"/>
  <c r="E12" i="67"/>
  <c r="J7" i="65"/>
  <c r="J36" i="71"/>
  <c r="M28" i="15"/>
  <c r="M8" i="72"/>
  <c r="F13" i="15"/>
  <c r="F43" i="69"/>
  <c r="L47" i="71"/>
  <c r="M28" i="69"/>
  <c r="N4" i="65"/>
  <c r="F11" i="67"/>
  <c r="M24" i="69"/>
  <c r="M22" i="71"/>
  <c r="I3" i="65"/>
  <c r="I6" i="65"/>
  <c r="F35" i="71"/>
  <c r="F10" i="67"/>
  <c r="F37" i="72"/>
  <c r="L48" i="68"/>
  <c r="J17" i="44"/>
  <c r="M29" i="69"/>
  <c r="F9" i="70"/>
  <c r="E13" i="67"/>
  <c r="F16" i="70"/>
  <c r="M23" i="44"/>
  <c r="F12" i="67"/>
  <c r="L48" i="15"/>
  <c r="F8" i="72"/>
  <c r="M27" i="15"/>
  <c r="F38" i="72"/>
  <c r="M24" i="70"/>
  <c r="F26" i="15"/>
  <c r="F40" i="44"/>
  <c r="J6" i="65"/>
  <c r="F42" i="68"/>
  <c r="F35" i="68"/>
  <c r="F40" i="69"/>
  <c r="C14" i="15"/>
  <c r="J15" i="70"/>
  <c r="B14" i="67"/>
  <c r="F15" i="44"/>
  <c r="F16" i="69"/>
  <c r="M28" i="44"/>
  <c r="J36" i="15"/>
  <c r="F40" i="68"/>
  <c r="F10" i="44"/>
  <c r="M27" i="69"/>
  <c r="M29" i="68"/>
  <c r="B10" i="67"/>
  <c r="F40" i="15"/>
  <c r="F16" i="15"/>
  <c r="F13" i="67"/>
  <c r="L47" i="68"/>
  <c r="L47" i="70"/>
  <c r="M26" i="44"/>
  <c r="M6" i="71"/>
  <c r="F39" i="44"/>
  <c r="M28" i="71"/>
  <c r="M30" i="44"/>
  <c r="L48" i="71"/>
  <c r="F16" i="68"/>
  <c r="F6" i="72"/>
  <c r="F38" i="15"/>
  <c r="F8" i="44"/>
  <c r="J15" i="71"/>
  <c r="F37" i="70"/>
  <c r="M6" i="69"/>
  <c r="F8" i="15"/>
  <c r="M23" i="15"/>
  <c r="F42" i="70"/>
  <c r="M22" i="69"/>
  <c r="F43" i="15"/>
  <c r="F9" i="72"/>
  <c r="F6" i="71"/>
  <c r="F43" i="68"/>
  <c r="F42" i="15"/>
  <c r="J36" i="70"/>
  <c r="M21" i="71"/>
  <c r="M6" i="72"/>
  <c r="M22" i="72"/>
  <c r="M21" i="68"/>
  <c r="L48" i="72"/>
  <c r="F7" i="72"/>
  <c r="F26" i="69"/>
  <c r="J36" i="69"/>
  <c r="F40" i="71"/>
  <c r="B9" i="67"/>
  <c r="E10" i="67"/>
  <c r="M9" i="15"/>
  <c r="M24" i="15"/>
  <c r="B11" i="67"/>
  <c r="F9" i="67"/>
  <c r="M25" i="44"/>
  <c r="F13" i="69"/>
  <c r="C14" i="71"/>
  <c r="L47" i="69"/>
  <c r="F9" i="71"/>
  <c r="F37" i="44"/>
  <c r="B13" i="67"/>
  <c r="F26" i="71"/>
  <c r="M9" i="68"/>
  <c r="M27" i="72"/>
  <c r="M29" i="44"/>
  <c r="F38" i="70"/>
  <c r="M26" i="72"/>
  <c r="C14" i="69"/>
  <c r="F8" i="70"/>
  <c r="F36" i="69"/>
  <c r="F7" i="71"/>
  <c r="E8" i="67"/>
  <c r="F7" i="15"/>
  <c r="B12" i="67"/>
  <c r="C14" i="72"/>
  <c r="N6" i="65"/>
  <c r="F36" i="72"/>
  <c r="F37" i="15"/>
  <c r="M8" i="15"/>
  <c r="J5" i="65"/>
  <c r="M8" i="44"/>
  <c r="F43" i="71"/>
  <c r="M8" i="68"/>
  <c r="F14" i="67"/>
  <c r="F43" i="44"/>
  <c r="M9" i="70"/>
  <c r="J15" i="68"/>
  <c r="M6" i="68"/>
  <c r="M24" i="44"/>
  <c r="F36" i="15"/>
  <c r="J36" i="68"/>
  <c r="E14" i="67"/>
  <c r="M24" i="68"/>
  <c r="F6" i="70"/>
  <c r="L49" i="44"/>
  <c r="F26" i="70"/>
  <c r="F9" i="68"/>
  <c r="F8" i="68"/>
  <c r="L47" i="72"/>
  <c r="F37" i="71"/>
  <c r="F40" i="70"/>
  <c r="M23" i="70"/>
  <c r="F6" i="15"/>
  <c r="F13" i="68"/>
  <c r="M8" i="71"/>
  <c r="F6" i="68"/>
  <c r="F8" i="69"/>
  <c r="M26" i="69"/>
  <c r="M31" i="44"/>
  <c r="M27" i="71"/>
  <c r="M10" i="44"/>
  <c r="J15" i="15"/>
  <c r="F38" i="44"/>
  <c r="M29" i="71"/>
  <c r="N7" i="65"/>
  <c r="F36" i="71"/>
  <c r="M9" i="72"/>
  <c r="F13" i="71"/>
  <c r="F38" i="71"/>
  <c r="M6" i="15"/>
  <c r="M28" i="70"/>
  <c r="M8" i="70"/>
  <c r="F18" i="44"/>
  <c r="F6" i="69"/>
  <c r="I4" i="65"/>
  <c r="F8" i="67"/>
  <c r="L48" i="70"/>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57" i="15"/>
  <c r="J53" i="15"/>
  <c r="Q53" i="15" s="1"/>
  <c r="I54" i="15"/>
  <c r="L60" i="15"/>
  <c r="Q58" i="15" s="1"/>
  <c r="J57" i="15"/>
  <c r="J55" i="15" s="1"/>
  <c r="J58" i="15" s="1"/>
  <c r="Q51" i="15" s="1"/>
  <c r="J59" i="15"/>
  <c r="F65" i="15"/>
  <c r="F50" i="72"/>
  <c r="L60" i="44"/>
  <c r="Q63" i="44" s="1"/>
  <c r="L59" i="44"/>
  <c r="Q62" i="44" s="1"/>
  <c r="C4" i="65"/>
  <c r="B39" i="1" s="1"/>
  <c r="F11" i="15" s="1"/>
  <c r="C10"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7" i="72"/>
  <c r="F58" i="72"/>
  <c r="C16" i="69"/>
  <c r="C17" i="70"/>
  <c r="M17" i="72"/>
  <c r="F58" i="69"/>
  <c r="C17" i="69"/>
  <c r="F35" i="70"/>
  <c r="F31" i="69"/>
  <c r="E2" i="65"/>
  <c r="F33" i="44"/>
  <c r="F31" i="71"/>
  <c r="M19" i="44"/>
  <c r="F58" i="15"/>
  <c r="F31" i="15"/>
  <c r="C18" i="44"/>
  <c r="M21" i="70"/>
  <c r="F58" i="68"/>
  <c r="E3" i="65"/>
  <c r="C17" i="71"/>
  <c r="C16" i="68"/>
  <c r="C16" i="15"/>
  <c r="AE10" i="1"/>
  <c r="C16" i="44"/>
  <c r="C17" i="15"/>
  <c r="M17" i="15"/>
  <c r="M21" i="69"/>
  <c r="M17" i="68"/>
  <c r="C17" i="68"/>
  <c r="F58" i="71"/>
  <c r="C16" i="70"/>
  <c r="F31" i="68"/>
  <c r="F58" i="70"/>
  <c r="M17" i="70"/>
  <c r="M17" i="69"/>
  <c r="M21" i="72"/>
  <c r="M17" i="71"/>
  <c r="F35" i="69"/>
  <c r="C16" i="72"/>
  <c r="F35" i="72"/>
  <c r="C16" i="71"/>
  <c r="F31" i="70"/>
  <c r="F31" i="72"/>
  <c r="Q58" i="68" l="1"/>
  <c r="Q75" i="68"/>
  <c r="C5" i="15"/>
  <c r="C33" i="15" s="1"/>
  <c r="L46" i="15"/>
  <c r="Q67" i="72"/>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M11" i="71"/>
  <c r="J10" i="71" s="1"/>
  <c r="J5" i="71" s="1"/>
  <c r="J26" i="71" s="1"/>
  <c r="Q74" i="69"/>
  <c r="C48" i="72"/>
  <c r="M11" i="70"/>
  <c r="J10" i="70" s="1"/>
  <c r="J5" i="70" s="1"/>
  <c r="J24" i="70" s="1"/>
  <c r="F11" i="68"/>
  <c r="C10" i="68" s="1"/>
  <c r="C5" i="68" s="1"/>
  <c r="C32"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C5" i="70" s="1"/>
  <c r="C33" i="70" s="1"/>
  <c r="F13" i="44"/>
  <c r="C12" i="44" s="1"/>
  <c r="C7" i="44" s="1"/>
  <c r="C40" i="44" s="1"/>
  <c r="O17" i="86"/>
  <c r="P17" i="86"/>
  <c r="G20" i="86" s="1"/>
  <c r="Q62" i="71"/>
  <c r="N17" i="86"/>
  <c r="C48" i="70"/>
  <c r="C48" i="69"/>
  <c r="O17" i="46"/>
  <c r="Q75" i="70"/>
  <c r="Q75" i="69"/>
  <c r="L46" i="70"/>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7" i="11"/>
  <c r="C18" i="11" s="1"/>
  <c r="K3" i="79"/>
  <c r="C38"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AE9" i="1"/>
  <c r="M21" i="15"/>
  <c r="F35" i="15"/>
  <c r="AE8" i="1"/>
  <c r="AE11" i="1"/>
  <c r="F41" i="71"/>
  <c r="L52" i="44"/>
  <c r="AE7" i="1"/>
  <c r="AE6" i="1"/>
  <c r="C32" i="15" l="1"/>
  <c r="C47" i="15"/>
  <c r="C59" i="15" s="1"/>
  <c r="C32" i="70"/>
  <c r="C31" i="70" s="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26" i="70"/>
  <c r="C21" i="44"/>
  <c r="C22" i="44" s="1"/>
  <c r="C28" i="44" s="1"/>
  <c r="C20" i="68"/>
  <c r="C26" i="68" s="1"/>
  <c r="C34" i="15"/>
  <c r="F62" i="15"/>
  <c r="C61" i="15" s="1"/>
  <c r="J20" i="15"/>
  <c r="M72" i="39"/>
  <c r="N70" i="39"/>
  <c r="N72" i="39" s="1"/>
  <c r="C26" i="72"/>
  <c r="R16" i="1"/>
  <c r="N65" i="40"/>
  <c r="N67" i="40" s="1"/>
  <c r="M67" i="40"/>
  <c r="F41" i="69"/>
  <c r="F41" i="70"/>
  <c r="F41" i="15"/>
  <c r="F41" i="72"/>
  <c r="F41" i="68"/>
  <c r="C31" i="15" l="1"/>
  <c r="C65" i="15"/>
  <c r="C60" i="15"/>
  <c r="C58" i="15" s="1"/>
  <c r="F68" i="72"/>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C58" i="68" s="1"/>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27" i="86"/>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J9" i="39"/>
  <c r="F9" i="39"/>
  <c r="H9" i="39"/>
  <c r="J19" i="15" l="1"/>
  <c r="J17" i="15" s="1"/>
  <c r="C36" i="15"/>
  <c r="C13" i="15"/>
  <c r="C55" i="15" s="1"/>
  <c r="C64" i="15" s="1"/>
  <c r="B5" i="1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30" i="71" s="1"/>
  <c r="C39" i="71" s="1"/>
  <c r="C40"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W9" i="40"/>
  <c r="C29" i="46"/>
  <c r="S5" i="46"/>
  <c r="T5" i="46" s="1"/>
  <c r="V5" i="46" s="1"/>
  <c r="S2" i="46"/>
  <c r="T2" i="46" s="1"/>
  <c r="V2" i="46" s="1"/>
  <c r="S3" i="46"/>
  <c r="T3" i="46" s="1"/>
  <c r="V3" i="46" s="1"/>
  <c r="S4" i="46"/>
  <c r="T4" i="46" s="1"/>
  <c r="V4" i="46" s="1"/>
  <c r="S6" i="46"/>
  <c r="T6" i="46" s="1"/>
  <c r="V6" i="46" s="1"/>
  <c r="S7" i="46"/>
  <c r="T7" i="46" s="1"/>
  <c r="V7" i="46" s="1"/>
  <c r="D113" i="46"/>
  <c r="J14" i="68"/>
  <c r="C13" i="68"/>
  <c r="Q50" i="68"/>
  <c r="J19" i="68"/>
  <c r="J17" i="68" s="1"/>
  <c r="C36" i="68"/>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C55" i="71" l="1"/>
  <c r="C64" i="71" s="1"/>
  <c r="C37" i="69"/>
  <c r="C30" i="69" s="1"/>
  <c r="C39" i="69" s="1"/>
  <c r="J39" i="69" s="1"/>
  <c r="J40" i="69" s="1"/>
  <c r="J13" i="72"/>
  <c r="J23" i="72" s="1"/>
  <c r="J16" i="72" s="1"/>
  <c r="J25" i="72" s="1"/>
  <c r="C55" i="69"/>
  <c r="C64" i="69" s="1"/>
  <c r="C57" i="69" s="1"/>
  <c r="C66" i="69" s="1"/>
  <c r="C67" i="69" s="1"/>
  <c r="C70" i="69" s="1"/>
  <c r="Q71" i="69"/>
  <c r="Q71" i="15"/>
  <c r="J13" i="69"/>
  <c r="J23" i="69" s="1"/>
  <c r="J16" i="69" s="1"/>
  <c r="J25" i="69" s="1"/>
  <c r="C57" i="15"/>
  <c r="C66" i="15" s="1"/>
  <c r="C67" i="15" s="1"/>
  <c r="C70" i="15" s="1"/>
  <c r="C37" i="15"/>
  <c r="C30" i="15" s="1"/>
  <c r="C39" i="15" s="1"/>
  <c r="C40" i="15" s="1"/>
  <c r="B2" i="15" s="1"/>
  <c r="B3" i="15" s="1"/>
  <c r="J35" i="15"/>
  <c r="J35" i="72"/>
  <c r="J13" i="15"/>
  <c r="J23" i="15" s="1"/>
  <c r="J16" i="15" s="1"/>
  <c r="J25" i="15" s="1"/>
  <c r="C57" i="71"/>
  <c r="C66" i="71" s="1"/>
  <c r="C67" i="71" s="1"/>
  <c r="C70" i="71" s="1"/>
  <c r="B5" i="87"/>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I16" i="81"/>
  <c r="I17" i="81" s="1"/>
  <c r="B3" i="87"/>
  <c r="K8" i="81" s="1"/>
  <c r="B4" i="87"/>
  <c r="Q70" i="71"/>
  <c r="C30" i="46"/>
  <c r="E30" i="46" s="1"/>
  <c r="C27" i="46" s="1"/>
  <c r="E29" i="46"/>
  <c r="G14" i="81" s="1"/>
  <c r="I20" i="81" s="1"/>
  <c r="J22" i="68"/>
  <c r="J13" i="68"/>
  <c r="J23" i="68" s="1"/>
  <c r="C55" i="68"/>
  <c r="C64" i="68" s="1"/>
  <c r="C57" i="68" s="1"/>
  <c r="C66" i="68" s="1"/>
  <c r="C67" i="68" s="1"/>
  <c r="C70" i="68" s="1"/>
  <c r="J35" i="68"/>
  <c r="C37" i="68"/>
  <c r="C30" i="68" s="1"/>
  <c r="C39" i="68" s="1"/>
  <c r="Q71" i="68"/>
  <c r="G53" i="39"/>
  <c r="H53" i="39" s="1"/>
  <c r="G54" i="39"/>
  <c r="H54" i="39" s="1"/>
  <c r="R50" i="39"/>
  <c r="E49" i="39"/>
  <c r="I54" i="39" s="1"/>
  <c r="J54" i="39" s="1"/>
  <c r="R45" i="40"/>
  <c r="E44" i="40"/>
  <c r="K45" i="40" s="1"/>
  <c r="I53" i="39"/>
  <c r="J53" i="39" s="1"/>
  <c r="C43" i="44"/>
  <c r="C39" i="44"/>
  <c r="C32" i="44" s="1"/>
  <c r="C42" i="44" s="1"/>
  <c r="Q72" i="44"/>
  <c r="G49" i="40"/>
  <c r="H49" i="40" s="1"/>
  <c r="G48" i="40"/>
  <c r="H48" i="40" s="1"/>
  <c r="Q48" i="71"/>
  <c r="Q54" i="71" s="1"/>
  <c r="G10" i="43"/>
  <c r="B2" i="71"/>
  <c r="B3" i="71" s="1"/>
  <c r="Q66" i="71"/>
  <c r="Q76" i="71" s="1"/>
  <c r="C43" i="71"/>
  <c r="Q57" i="71"/>
  <c r="Q63" i="71" s="1"/>
  <c r="J42" i="71"/>
  <c r="J43" i="71" s="1"/>
  <c r="J15" i="44"/>
  <c r="J25" i="44" s="1"/>
  <c r="J24" i="44"/>
  <c r="F7" i="67"/>
  <c r="L51" i="71"/>
  <c r="L51" i="68"/>
  <c r="L51" i="69"/>
  <c r="Q70" i="69" l="1"/>
  <c r="Q69" i="69" s="1"/>
  <c r="Q68" i="69"/>
  <c r="C40" i="69"/>
  <c r="C46" i="69" s="1"/>
  <c r="C46" i="71"/>
  <c r="Q68" i="71"/>
  <c r="J39" i="70"/>
  <c r="J40" i="70" s="1"/>
  <c r="J42" i="15"/>
  <c r="J43" i="15" s="1"/>
  <c r="Q66" i="15"/>
  <c r="Q76" i="15" s="1"/>
  <c r="C43" i="15"/>
  <c r="J39" i="15"/>
  <c r="J40" i="15" s="1"/>
  <c r="C46" i="15"/>
  <c r="Q57" i="15"/>
  <c r="Q63" i="15" s="1"/>
  <c r="Q48" i="15"/>
  <c r="Q54" i="15" s="1"/>
  <c r="C10" i="43"/>
  <c r="Q70" i="15"/>
  <c r="Q69" i="15" s="1"/>
  <c r="C40" i="70"/>
  <c r="F10" i="43" s="1"/>
  <c r="C40" i="72"/>
  <c r="Q66" i="72" s="1"/>
  <c r="Q76" i="72" s="1"/>
  <c r="Q69" i="71"/>
  <c r="G17" i="81"/>
  <c r="Q69" i="72"/>
  <c r="J39" i="72"/>
  <c r="J40" i="72" s="1"/>
  <c r="Q69" i="70"/>
  <c r="G15" i="81"/>
  <c r="E4" i="67"/>
  <c r="C26" i="46"/>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L51" i="70"/>
  <c r="L51" i="15"/>
  <c r="E7" i="67"/>
  <c r="L51" i="72"/>
  <c r="J42" i="69" l="1"/>
  <c r="J43" i="69" s="1"/>
  <c r="Q48" i="69"/>
  <c r="Q54" i="69" s="1"/>
  <c r="C43" i="69"/>
  <c r="E10" i="43"/>
  <c r="Q57" i="69"/>
  <c r="Q63" i="69" s="1"/>
  <c r="Q66" i="69"/>
  <c r="Q76" i="69" s="1"/>
  <c r="B2" i="69"/>
  <c r="B3" i="69" s="1"/>
  <c r="Q68" i="15"/>
  <c r="Q68" i="70"/>
  <c r="C46" i="70"/>
  <c r="Q48" i="70"/>
  <c r="Q54" i="70" s="1"/>
  <c r="Q66" i="70"/>
  <c r="Q76" i="70" s="1"/>
  <c r="B2" i="70"/>
  <c r="B3" i="70" s="1"/>
  <c r="Q57" i="70"/>
  <c r="Q63" i="70" s="1"/>
  <c r="C43" i="70"/>
  <c r="J42" i="70"/>
  <c r="J43" i="70" s="1"/>
  <c r="C43" i="72"/>
  <c r="C46" i="72"/>
  <c r="Q68" i="72"/>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D19" i="9"/>
  <c r="B7" i="67"/>
  <c r="C19" i="9"/>
  <c r="L44" i="9" l="1"/>
  <c r="C6" i="43"/>
  <c r="C31" i="43" s="1"/>
  <c r="C32" i="43" s="1"/>
  <c r="B2" i="43" s="1"/>
  <c r="B3" i="43" s="1"/>
  <c r="E5" i="89"/>
  <c r="E12" i="89" s="1"/>
  <c r="E14" i="89" s="1"/>
  <c r="K17" i="81"/>
  <c r="I22" i="81" s="1"/>
  <c r="K15" i="81"/>
  <c r="I28" i="81" s="1"/>
  <c r="L43" i="9"/>
  <c r="D22" i="9"/>
  <c r="G19" i="9"/>
  <c r="B2" i="67"/>
  <c r="B3" i="46"/>
  <c r="I5" i="81" s="1"/>
  <c r="B4" i="46"/>
  <c r="J5" i="81" s="1"/>
  <c r="I7" i="81" s="1"/>
  <c r="D4" i="46"/>
  <c r="B3" i="39"/>
  <c r="B5" i="39"/>
  <c r="B4" i="39"/>
  <c r="B4" i="40"/>
  <c r="B3" i="40"/>
  <c r="B5" i="40"/>
  <c r="D21" i="9"/>
  <c r="C20" i="9"/>
  <c r="D20" i="9"/>
  <c r="C21" i="9"/>
  <c r="N5" i="81" l="1"/>
  <c r="M5" i="81"/>
  <c r="B4" i="43"/>
  <c r="B5" i="43"/>
  <c r="I5" i="89"/>
  <c r="G20" i="9"/>
  <c r="D5" i="81"/>
  <c r="G21" i="9"/>
  <c r="D4" i="81" s="1"/>
  <c r="N43" i="9"/>
  <c r="G22" i="9"/>
  <c r="D4" i="78"/>
  <c r="C32" i="9"/>
  <c r="B4" i="67"/>
  <c r="B3" i="67"/>
  <c r="R6" i="90" l="1"/>
  <c r="R7" i="90" s="1"/>
  <c r="D5" i="78"/>
  <c r="D10" i="78" s="1"/>
  <c r="D13" i="81"/>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<sst xmlns="http://schemas.openxmlformats.org/spreadsheetml/2006/main" count="10795" uniqueCount="3971">
  <si>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</si>
  <si>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</si>
  <si>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</si>
  <si>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</si>
  <si>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</si>
  <si>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</si>
  <si>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</si>
  <si>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</si>
  <si>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</si>
  <si>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</si>
  <si>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</si>
  <si>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</si>
  <si>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</si>
  <si>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</si>
  <si>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</si>
  <si>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</si>
  <si>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</si>
  <si>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</si>
  <si>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</si>
  <si>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</si>
  <si>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</si>
  <si>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</si>
  <si>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</si>
  <si>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</si>
  <si>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</si>
  <si>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</si>
  <si>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</si>
  <si>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</si>
  <si>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</si>
  <si>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</si>
  <si>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</si>
  <si>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</si>
  <si>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</si>
  <si>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</si>
  <si>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</si>
  <si>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</si>
  <si>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</si>
  <si>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</si>
  <si>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</si>
  <si>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</si>
  <si>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</si>
  <si>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</si>
  <si>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</si>
  <si>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</si>
  <si>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</si>
  <si>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</si>
  <si>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</si>
  <si>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</si>
  <si>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</si>
  <si>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</si>
  <si>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</si>
  <si>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</si>
  <si>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</si>
  <si>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</si>
  <si>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</si>
  <si>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</si>
  <si>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</si>
  <si>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</si>
  <si>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</si>
  <si>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</si>
  <si>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</si>
  <si>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</si>
  <si>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</si>
  <si>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</si>
  <si>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</si>
  <si>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</si>
  <si>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</si>
  <si>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</si>
  <si>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</si>
  <si>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</si>
  <si>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</si>
  <si>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</si>
  <si>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</si>
  <si>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</si>
  <si>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</si>
  <si>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</si>
  <si>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</si>
  <si>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</si>
  <si>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</si>
  <si>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</si>
  <si>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</si>
  <si>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</si>
  <si>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</si>
  <si>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</si>
  <si>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</si>
  <si>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</si>
  <si>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</si>
  <si>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</si>
  <si>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</si>
  <si>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</si>
  <si>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</si>
  <si>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</si>
  <si>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</si>
  <si>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</si>
  <si>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</si>
  <si>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</si>
  <si>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</si>
  <si>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</si>
  <si>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</si>
  <si>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</si>
  <si>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</si>
  <si>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</si>
  <si>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</si>
  <si>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</si>
  <si>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</si>
  <si>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</si>
  <si>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</si>
  <si>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</si>
  <si>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</si>
  <si>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</si>
  <si>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</si>
  <si>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</si>
  <si>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</si>
  <si>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</si>
  <si>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</si>
  <si>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</si>
  <si>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</si>
  <si>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</si>
  <si>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</si>
  <si>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</si>
  <si>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</si>
  <si>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</si>
  <si>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</si>
  <si>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</si>
  <si>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</si>
  <si>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</si>
  <si>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</si>
  <si>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</si>
  <si>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</si>
  <si>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</si>
  <si>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</si>
  <si>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</si>
  <si>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</si>
  <si>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</si>
  <si>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</si>
  <si>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</si>
  <si>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</si>
  <si>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</si>
  <si>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</si>
  <si>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</si>
  <si>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</si>
  <si>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</si>
  <si>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</si>
  <si>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</si>
  <si>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</si>
  <si>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</si>
  <si>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</si>
  <si>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</si>
  <si>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</si>
  <si>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</si>
  <si>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</si>
  <si>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</si>
  <si>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</si>
  <si>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</si>
  <si>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</si>
  <si>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</si>
  <si>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</si>
  <si>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</si>
  <si>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</si>
  <si>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</si>
  <si>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</si>
  <si>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</si>
  <si>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</si>
  <si>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</si>
  <si>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</si>
  <si>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</si>
  <si>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</si>
  <si>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</si>
  <si>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</si>
  <si>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</si>
  <si>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</si>
  <si>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</si>
  <si>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</si>
  <si>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</si>
  <si>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</si>
  <si>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</si>
  <si>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</si>
  <si>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</si>
  <si>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</si>
  <si>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</si>
  <si>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</si>
  <si>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</si>
  <si>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</si>
  <si>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</si>
  <si>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</si>
  <si>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</si>
  <si>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</si>
  <si>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</si>
  <si>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</si>
  <si>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</si>
  <si>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</si>
  <si>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</si>
  <si>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</si>
  <si>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</si>
  <si>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</si>
  <si>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</si>
  <si>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</si>
  <si>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</si>
  <si>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</si>
  <si>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</si>
  <si>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</si>
  <si>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</si>
  <si>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</si>
  <si>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</si>
  <si>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</si>
  <si>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</si>
  <si>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</si>
  <si>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</si>
  <si>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</si>
  <si>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</si>
  <si>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</si>
  <si>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</si>
  <si>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</si>
  <si>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</si>
  <si>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</si>
  <si>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</si>
  <si>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</si>
  <si>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</si>
  <si>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</si>
  <si>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</si>
  <si>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</si>
  <si>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</si>
  <si>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</si>
  <si>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</si>
  <si>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</si>
  <si>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</si>
  <si>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</si>
  <si>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</si>
  <si>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</si>
  <si>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</si>
  <si>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</si>
  <si>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</si>
  <si>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</si>
  <si>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</si>
  <si>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</si>
  <si>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</si>
  <si>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</si>
  <si>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</si>
  <si>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</si>
  <si>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</si>
  <si>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</si>
  <si>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</si>
  <si>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</si>
  <si>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</si>
  <si>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</si>
  <si>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</si>
  <si>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</si>
  <si>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</si>
  <si>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</si>
  <si>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</si>
  <si>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</si>
  <si>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</si>
  <si>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</si>
  <si>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</si>
  <si>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</si>
  <si>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</si>
  <si>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</si>
  <si>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</si>
  <si>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</si>
  <si>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</si>
  <si>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</si>
  <si>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</si>
  <si>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</si>
  <si>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</si>
  <si>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</si>
  <si>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</si>
  <si>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</si>
  <si>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</si>
  <si>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</si>
  <si>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</si>
  <si>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</si>
  <si>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</si>
  <si>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</si>
  <si>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</si>
  <si>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</si>
  <si>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</si>
  <si>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</si>
  <si>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</si>
  <si>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</si>
  <si>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</si>
  <si>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</si>
  <si>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</si>
  <si>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</si>
  <si>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</si>
  <si>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</si>
  <si>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</si>
  <si>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</si>
  <si>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</si>
  <si>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</si>
  <si>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</si>
  <si>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</si>
  <si>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</si>
  <si>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</si>
  <si>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</si>
  <si>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</si>
  <si>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</si>
  <si>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</si>
  <si>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</si>
  <si>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</si>
  <si>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</si>
  <si>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</si>
  <si>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</si>
  <si>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</si>
  <si>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</si>
  <si>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</si>
  <si>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</si>
  <si>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</si>
  <si>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</si>
  <si>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</si>
  <si>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</si>
  <si>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</si>
  <si>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</si>
  <si>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</si>
  <si>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</si>
  <si>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</si>
  <si>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</si>
  <si>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</si>
  <si>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</si>
  <si>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</si>
  <si>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</si>
  <si>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</si>
  <si>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</si>
  <si>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</si>
  <si>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</si>
  <si>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</si>
  <si>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</si>
  <si>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</si>
  <si>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</si>
  <si>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</si>
  <si>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</si>
  <si>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</si>
  <si>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</si>
  <si>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</si>
  <si>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</si>
  <si>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</si>
  <si>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</si>
  <si>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</si>
  <si>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</si>
  <si>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</si>
  <si>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</si>
  <si>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</si>
  <si>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</si>
  <si>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</si>
  <si>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</si>
  <si>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</si>
  <si>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</si>
  <si>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</si>
  <si>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</si>
  <si>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</si>
  <si>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</si>
  <si>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</si>
  <si>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</si>
  <si>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</si>
  <si>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</si>
  <si>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</si>
  <si>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</si>
  <si>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</si>
  <si>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</si>
  <si>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</si>
  <si>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</si>
  <si>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</si>
  <si>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</si>
  <si>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</si>
  <si>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</si>
  <si>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</si>
  <si>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</si>
  <si>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</si>
  <si>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</si>
  <si>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</si>
  <si>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</si>
  <si>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</si>
  <si>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</si>
  <si>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</si>
  <si>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</si>
  <si>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</si>
  <si>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</si>
  <si>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</si>
  <si>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</si>
  <si>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</si>
  <si>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</si>
  <si>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</si>
  <si>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</si>
  <si>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</si>
  <si>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</si>
  <si>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</si>
  <si>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</si>
  <si>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</si>
  <si>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</si>
  <si>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</si>
  <si>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</si>
  <si>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</si>
  <si>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</si>
  <si>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</si>
  <si>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</si>
  <si>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</si>
  <si>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</si>
  <si>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</si>
  <si>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</si>
  <si>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</si>
  <si>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</si>
  <si>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</si>
  <si>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</si>
  <si>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</si>
  <si>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</si>
  <si>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</si>
  <si>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</si>
  <si>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</si>
  <si>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</si>
  <si>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</si>
  <si>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</si>
  <si>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</si>
  <si>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</si>
  <si>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</si>
  <si>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</si>
  <si>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</si>
  <si>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</si>
  <si>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</si>
  <si>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</si>
  <si>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</si>
  <si>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</si>
  <si>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</si>
  <si>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</si>
  <si>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</si>
  <si>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</si>
  <si>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</si>
  <si>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</si>
  <si>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</si>
  <si>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</si>
  <si>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</si>
  <si>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</si>
  <si>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</si>
  <si>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</si>
  <si>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</si>
  <si>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</si>
  <si>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</si>
  <si>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</si>
  <si>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</si>
  <si>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</si>
  <si>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</si>
  <si>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</si>
  <si>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</si>
  <si>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</si>
  <si>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</si>
  <si>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</si>
  <si>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</si>
  <si>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</si>
  <si>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</si>
  <si>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</si>
  <si>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</si>
  <si>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</si>
  <si>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</si>
  <si>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</si>
  <si>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</si>
  <si>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</si>
  <si>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</si>
  <si>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</si>
  <si>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</si>
  <si>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</si>
  <si>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</si>
  <si>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</si>
  <si>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</si>
  <si>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</si>
  <si>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</si>
  <si>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</si>
  <si>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</si>
  <si>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</si>
  <si>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</si>
  <si>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</si>
  <si>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</si>
  <si>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</si>
  <si>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</si>
  <si>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</si>
  <si>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</si>
  <si>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</si>
  <si>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</si>
  <si>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</si>
  <si>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</si>
  <si>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</si>
  <si>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</si>
  <si>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</si>
  <si>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</si>
  <si>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</si>
  <si>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</si>
  <si>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</si>
  <si>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</si>
  <si>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</si>
  <si>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</si>
  <si>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</si>
  <si>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</si>
  <si>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</si>
  <si>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</si>
  <si>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</si>
  <si>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</si>
  <si>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</si>
  <si>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</si>
  <si>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</si>
  <si>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</si>
  <si>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</si>
  <si>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</si>
  <si>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</si>
  <si>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</si>
  <si>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</si>
  <si>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</si>
  <si>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</si>
  <si>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</si>
  <si>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</si>
  <si>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</si>
  <si>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</si>
  <si>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</si>
  <si>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</si>
  <si>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</si>
  <si>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</si>
  <si>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</si>
  <si>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</si>
  <si>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</si>
  <si>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</si>
  <si>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</si>
  <si>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</si>
  <si>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</si>
  <si>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</si>
  <si>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</si>
  <si>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</si>
  <si>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</si>
  <si>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</si>
  <si>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</si>
  <si>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</si>
  <si>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</si>
  <si>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</si>
  <si>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</si>
  <si>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</si>
  <si>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</si>
  <si>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</si>
  <si>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</si>
  <si>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</si>
  <si>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</si>
  <si>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</si>
  <si>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</si>
  <si>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</si>
  <si>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</si>
  <si>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</si>
  <si>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</si>
  <si>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</si>
  <si>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</si>
  <si>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</si>
  <si>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</si>
  <si>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</si>
  <si>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</si>
  <si>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</si>
  <si>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</si>
  <si>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</si>
  <si>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</si>
  <si>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</si>
  <si>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</si>
  <si>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</si>
  <si>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</si>
  <si>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</si>
  <si>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</si>
  <si>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</si>
  <si>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</si>
  <si>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</si>
  <si>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</si>
  <si>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</si>
  <si>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</si>
  <si>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</si>
  <si>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</si>
  <si>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</si>
  <si>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</si>
  <si>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</si>
  <si>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</si>
  <si>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</si>
  <si>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</si>
  <si>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</si>
  <si>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</si>
  <si>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</si>
  <si>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</si>
  <si>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</si>
  <si>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</si>
  <si>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</si>
  <si>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</si>
  <si>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</si>
  <si>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</si>
  <si>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</si>
  <si>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</si>
  <si>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</si>
  <si>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</si>
  <si>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</si>
  <si>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</si>
  <si>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</si>
  <si>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</si>
  <si>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</si>
  <si>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</si>
  <si>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</si>
  <si>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</si>
  <si>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</si>
  <si>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</si>
  <si>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</si>
  <si>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</si>
  <si>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</si>
  <si>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</si>
  <si>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</si>
  <si>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</si>
  <si>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</si>
  <si>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</si>
  <si>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</si>
  <si>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</si>
  <si>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</si>
  <si>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</si>
  <si>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</si>
  <si>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</si>
  <si>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</si>
  <si>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</si>
  <si>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</si>
  <si>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</si>
  <si>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</si>
  <si>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</si>
  <si>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</si>
  <si>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</si>
  <si>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</si>
  <si>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</si>
  <si>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</si>
  <si>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</si>
  <si>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</si>
  <si>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</si>
  <si>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</si>
  <si>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</si>
  <si>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</si>
  <si>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</si>
  <si>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</si>
  <si>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</si>
  <si>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</si>
  <si>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</si>
  <si>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</si>
  <si>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</si>
  <si>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</si>
  <si>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</si>
  <si>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</si>
  <si>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</si>
  <si>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</si>
  <si>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</si>
  <si>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</si>
  <si>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</si>
  <si>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</si>
  <si>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</si>
  <si>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</si>
  <si>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</si>
  <si>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</si>
  <si>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</si>
  <si>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</si>
  <si>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</si>
  <si>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</si>
  <si>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</si>
  <si>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</si>
  <si>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</si>
  <si>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</si>
  <si>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</si>
  <si>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</si>
  <si>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</si>
  <si>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</si>
  <si>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</si>
  <si>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</si>
  <si>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</si>
  <si>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</si>
  <si>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</si>
  <si>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</si>
  <si>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</si>
  <si>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</si>
  <si>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</si>
  <si>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</si>
  <si>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</si>
  <si>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</si>
  <si>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</si>
  <si>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</si>
  <si>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</si>
  <si>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</si>
  <si>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</si>
  <si>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</si>
  <si>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</si>
  <si>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</si>
  <si>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</si>
  <si>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</si>
  <si>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</si>
  <si>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</si>
  <si>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</si>
  <si>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</si>
  <si>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</si>
  <si>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</si>
  <si>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</si>
  <si>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</si>
  <si>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</si>
  <si>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</si>
  <si>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</si>
  <si>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</si>
  <si>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</si>
  <si>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</si>
  <si>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</si>
  <si>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</si>
  <si>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</si>
  <si>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</si>
  <si>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</si>
  <si>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</si>
  <si>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</si>
  <si>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</si>
  <si>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</si>
  <si>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</si>
  <si>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</si>
  <si>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</si>
  <si>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</si>
  <si>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</si>
  <si>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</si>
  <si>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</si>
  <si>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</si>
  <si>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</si>
  <si>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</si>
  <si>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</si>
  <si>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</si>
  <si>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</si>
  <si>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</si>
  <si>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</si>
  <si>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</si>
  <si>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</si>
  <si>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</si>
  <si>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</si>
  <si>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</si>
  <si>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</si>
  <si>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</si>
  <si>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</si>
  <si>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</si>
  <si>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</si>
  <si>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</si>
  <si>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</si>
  <si>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</si>
  <si>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</si>
  <si>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</si>
  <si>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</si>
  <si>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</si>
  <si>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</si>
  <si>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</si>
  <si>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</si>
  <si>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</si>
  <si>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</si>
  <si>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</si>
  <si>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</si>
  <si>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</si>
  <si>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</si>
  <si>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</si>
  <si>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</si>
  <si>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</si>
  <si>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</si>
  <si>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</si>
  <si>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</si>
  <si>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</si>
  <si>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</si>
  <si>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</si>
  <si>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</si>
  <si>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</si>
  <si>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</si>
  <si>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</si>
  <si>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</si>
  <si>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</si>
  <si>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</si>
  <si>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</si>
  <si>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</si>
  <si>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</si>
  <si>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</si>
  <si>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</si>
  <si>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</si>
  <si>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</si>
  <si>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</si>
  <si>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</si>
  <si>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</si>
  <si>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</si>
  <si>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</si>
  <si>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</si>
  <si>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</si>
  <si>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</si>
  <si>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</si>
  <si>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</si>
  <si>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</si>
  <si>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</si>
  <si>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</si>
  <si>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</si>
  <si>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</si>
  <si>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</si>
  <si>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</si>
  <si>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</si>
  <si>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</si>
  <si>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</si>
  <si>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</si>
  <si>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</si>
  <si>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</si>
  <si>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</si>
  <si>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</si>
  <si>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</si>
  <si>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</si>
  <si>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</si>
  <si>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</si>
  <si>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</si>
  <si>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</si>
  <si>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</si>
  <si>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</si>
  <si>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</si>
  <si>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</si>
  <si>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</si>
  <si>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</si>
  <si>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</si>
  <si>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</si>
  <si>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</si>
  <si>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</si>
  <si>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</si>
  <si>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</si>
  <si>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</si>
  <si>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</si>
  <si>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</si>
  <si>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</si>
  <si>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</si>
  <si>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</si>
  <si>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</si>
  <si>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</si>
  <si>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</si>
  <si>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</si>
  <si>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</si>
  <si>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</si>
  <si>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</si>
  <si>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</si>
  <si>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</si>
  <si>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</si>
  <si>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</si>
  <si>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</si>
  <si>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</si>
  <si>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</si>
  <si>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</si>
  <si>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</si>
  <si>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</si>
  <si>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</si>
  <si>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</si>
  <si>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</si>
  <si>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</si>
  <si>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</si>
  <si>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</si>
  <si>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</si>
  <si>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</si>
  <si>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</si>
  <si>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</si>
  <si>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</si>
  <si>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</si>
  <si>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</si>
  <si>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</si>
  <si>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</si>
  <si>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</si>
  <si>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</si>
  <si>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</si>
  <si>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</si>
  <si>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</si>
  <si>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</si>
  <si>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</si>
  <si>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</si>
  <si>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</si>
  <si>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</si>
  <si>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</si>
  <si>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</si>
  <si>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</si>
  <si>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</si>
  <si>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</si>
  <si>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</si>
  <si>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</si>
  <si>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</si>
  <si>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</si>
  <si>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</si>
  <si>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</si>
  <si>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</si>
  <si>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</si>
  <si>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</si>
  <si>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</si>
  <si>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</si>
  <si>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</si>
  <si>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</si>
  <si>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</si>
  <si>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</si>
  <si>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</si>
  <si>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</si>
  <si>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</si>
  <si>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</si>
  <si>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</si>
  <si>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</si>
  <si>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</si>
  <si>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</si>
  <si>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</si>
  <si>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</si>
  <si>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</si>
  <si>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</si>
  <si>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</si>
  <si>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</si>
  <si>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</si>
  <si>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</si>
  <si>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</si>
  <si>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</si>
  <si>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</si>
  <si>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</si>
  <si>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</si>
  <si>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</si>
  <si>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</si>
  <si>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</si>
  <si>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</si>
  <si>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</si>
  <si>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</si>
  <si>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</si>
  <si>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</si>
  <si>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</si>
  <si>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</si>
  <si>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</si>
  <si>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</si>
  <si>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</si>
  <si>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</si>
  <si>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</si>
  <si>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</si>
  <si>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</si>
  <si>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</si>
  <si>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</si>
  <si>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</si>
  <si>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</si>
  <si>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</si>
  <si>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</si>
  <si>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</si>
  <si>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</si>
  <si>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</si>
  <si>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</si>
  <si>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</si>
  <si>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</si>
  <si>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</si>
  <si>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</si>
  <si>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</si>
  <si>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</si>
  <si>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</si>
  <si>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</si>
  <si>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</si>
  <si>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</si>
  <si>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</si>
  <si>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</si>
  <si>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</si>
  <si>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</si>
  <si>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</si>
  <si>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</si>
  <si>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</si>
  <si>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</si>
  <si>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</si>
  <si>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</si>
  <si>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</si>
  <si>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</si>
  <si>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</si>
  <si>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</si>
  <si>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</si>
  <si>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</si>
  <si>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</si>
  <si>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</si>
  <si>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对应的开发费</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</si>
  <si>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</si>
  <si>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</si>
  <si>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</si>
  <si>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</si>
  <si>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</si>
  <si>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</si>
  <si>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</si>
  <si>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</si>
  <si>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</si>
  <si>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</si>
  <si>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</si>
  <si>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</si>
  <si>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</si>
  <si>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</si>
  <si>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</si>
  <si>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</si>
  <si>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</si>
  <si>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</si>
  <si>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</si>
  <si>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</si>
  <si>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</si>
  <si>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</si>
  <si>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</si>
  <si>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</si>
  <si>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</si>
  <si>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</si>
  <si>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</si>
  <si>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</si>
  <si>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</si>
  <si>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</si>
  <si>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</si>
  <si>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</si>
  <si>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</si>
  <si>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</si>
  <si>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</si>
  <si>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</si>
  <si>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</si>
  <si>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</si>
  <si>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</si>
  <si>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</si>
  <si>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</si>
  <si>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</si>
  <si>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</si>
  <si>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</si>
  <si>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</si>
  <si>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</si>
  <si>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</si>
  <si>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</si>
  <si>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</si>
  <si>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</si>
  <si>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</si>
  <si>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</si>
  <si>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</si>
  <si>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</si>
  <si>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</si>
  <si>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</si>
  <si>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</si>
  <si>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</si>
  <si>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</si>
  <si>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</si>
  <si>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</si>
  <si>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</si>
  <si>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</si>
  <si>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</si>
  <si>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</si>
  <si>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</si>
  <si>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</si>
  <si>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</si>
  <si>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</si>
  <si>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</si>
  <si>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</si>
  <si>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</si>
  <si>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</si>
  <si>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</si>
  <si>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</si>
  <si>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</si>
  <si>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</si>
  <si>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</si>
  <si>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</si>
  <si>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</si>
  <si>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</si>
  <si>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</si>
  <si>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</si>
  <si>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</si>
  <si>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</si>
  <si>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</si>
  <si>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</si>
  <si>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</si>
  <si>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</si>
  <si>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</si>
  <si>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</si>
  <si>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</si>
  <si>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</si>
  <si>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</si>
  <si>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</si>
  <si>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</si>
  <si>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</si>
  <si>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</si>
  <si>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</si>
  <si>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</si>
  <si>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</si>
  <si>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</si>
  <si>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</si>
  <si>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</si>
  <si>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</si>
  <si>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</si>
  <si>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</si>
  <si>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</si>
  <si>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</si>
  <si>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</si>
  <si>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</si>
  <si>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</si>
  <si>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</si>
  <si>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</si>
  <si>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</si>
  <si>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</si>
  <si>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</si>
  <si>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</si>
  <si>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</si>
  <si>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</si>
  <si>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</si>
  <si>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</si>
  <si>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</si>
  <si>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</si>
  <si>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</si>
  <si>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</si>
  <si>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</si>
  <si>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</si>
  <si>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</si>
  <si>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</si>
  <si>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</si>
  <si>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</si>
  <si>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</si>
  <si>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</si>
  <si>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</si>
  <si>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</si>
  <si>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</si>
  <si>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</si>
  <si>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</si>
  <si>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</si>
  <si>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</si>
  <si>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</si>
  <si>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</si>
  <si>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</si>
  <si>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</si>
  <si>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</si>
  <si>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</si>
  <si>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</si>
  <si>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</si>
  <si>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</si>
  <si>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</si>
  <si>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</si>
  <si>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</si>
  <si>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</si>
  <si>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</si>
  <si>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</si>
  <si>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</si>
  <si>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</si>
  <si>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</si>
  <si>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</si>
  <si>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</si>
  <si>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</si>
  <si>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</si>
  <si>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</si>
  <si>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</si>
  <si>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</si>
  <si>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</si>
  <si>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</si>
  <si>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</si>
  <si>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</si>
  <si>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</si>
  <si>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</si>
  <si>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</si>
  <si>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</si>
  <si>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</si>
  <si>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</si>
  <si>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</si>
  <si>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</si>
  <si>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</si>
  <si>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</si>
  <si>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</si>
  <si>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</si>
  <si>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</si>
  <si>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</si>
  <si>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</si>
  <si>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</si>
  <si>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</si>
  <si>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</si>
  <si>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</si>
  <si>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</si>
  <si>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</si>
  <si>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</si>
  <si>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</si>
  <si>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</si>
  <si>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</si>
  <si>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</si>
  <si>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</si>
  <si>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</si>
  <si>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</si>
  <si>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</si>
  <si>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</si>
  <si>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</si>
  <si>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</si>
  <si>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</si>
  <si>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</si>
  <si>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</si>
  <si>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</si>
  <si>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</si>
  <si>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</si>
  <si>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</si>
  <si>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</si>
  <si>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</si>
  <si>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</si>
  <si>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</si>
  <si>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</si>
  <si>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</si>
  <si>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</si>
  <si>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</si>
  <si>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</si>
  <si>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</si>
  <si>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</si>
  <si>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</si>
  <si>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</si>
  <si>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</si>
  <si>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</si>
  <si>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</si>
  <si>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</si>
  <si>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</si>
  <si>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</si>
  <si>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</si>
  <si>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</si>
  <si>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</si>
  <si>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</si>
  <si>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</si>
  <si>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</si>
  <si>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</si>
  <si>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</si>
  <si>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</si>
  <si>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</si>
  <si>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</si>
  <si>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</si>
  <si>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</si>
  <si>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</si>
  <si>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</si>
  <si>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</si>
  <si>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</si>
  <si>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</si>
  <si>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</si>
  <si>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</si>
  <si>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</si>
  <si>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</si>
  <si>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</si>
  <si>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</si>
  <si>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</si>
  <si>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</si>
  <si>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</si>
  <si>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</si>
  <si>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</si>
  <si>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</si>
  <si>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</si>
  <si>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</si>
  <si>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</si>
  <si>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</si>
  <si>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</si>
  <si>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</si>
  <si>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</si>
  <si>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</si>
  <si>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</si>
  <si>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</si>
  <si>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</si>
  <si>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</si>
  <si>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</si>
  <si>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</si>
  <si>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</si>
  <si>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</si>
  <si>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</si>
  <si>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</si>
  <si>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</si>
  <si>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</si>
  <si>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</si>
  <si>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</si>
  <si>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</si>
  <si>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</si>
  <si>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</si>
  <si>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</si>
  <si>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</si>
  <si>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</si>
  <si>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</si>
  <si>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</si>
  <si>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</si>
  <si>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</si>
  <si>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</si>
  <si>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</si>
  <si>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</si>
  <si>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</si>
  <si>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</si>
  <si>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</si>
  <si>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</si>
  <si>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</si>
  <si>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</si>
  <si>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</si>
  <si>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</si>
  <si>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</si>
  <si>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</si>
  <si>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</si>
  <si>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</si>
  <si>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</si>
  <si>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</si>
  <si>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</si>
  <si>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</si>
  <si>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</si>
  <si>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</si>
  <si>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</si>
  <si>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</si>
  <si>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</si>
  <si>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</si>
  <si>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</si>
  <si>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</si>
  <si>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</si>
  <si>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</si>
  <si>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</si>
  <si>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</si>
  <si>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</si>
  <si>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</si>
  <si>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</si>
  <si>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</si>
  <si>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</si>
  <si>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</si>
  <si>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</si>
  <si>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</si>
  <si>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</si>
  <si>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</si>
  <si>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</si>
  <si>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</si>
  <si>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</si>
  <si>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</si>
  <si>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</si>
  <si>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</si>
  <si>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</si>
  <si>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</si>
  <si>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</si>
  <si>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</si>
  <si>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</si>
  <si>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</si>
  <si>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</si>
  <si>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</si>
  <si>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</si>
  <si>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</si>
  <si>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</si>
  <si>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</si>
  <si>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</si>
  <si>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</si>
  <si>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</si>
  <si>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</si>
  <si>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</si>
  <si>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</si>
  <si>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</si>
  <si>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</si>
  <si>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</si>
  <si>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</si>
  <si>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</si>
  <si>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</si>
  <si>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</si>
  <si>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</si>
  <si>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</si>
  <si>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</si>
  <si>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</si>
  <si>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</si>
  <si>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</si>
  <si>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</si>
  <si>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</si>
  <si>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</si>
  <si>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</si>
  <si>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</si>
  <si>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</si>
  <si>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</si>
  <si>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</si>
  <si>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</si>
  <si>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</si>
  <si>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</si>
  <si>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</si>
  <si>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</si>
  <si>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</si>
  <si>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</si>
  <si>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</si>
  <si>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</si>
  <si>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</si>
  <si>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</si>
  <si>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</si>
  <si>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</si>
  <si>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</si>
  <si>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</si>
  <si>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</si>
  <si>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</si>
  <si>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</si>
  <si>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</si>
  <si>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</si>
  <si>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</si>
  <si>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</si>
  <si>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</si>
  <si>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</si>
  <si>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</si>
  <si>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</si>
  <si>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</si>
  <si>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</si>
  <si>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</si>
  <si>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</si>
  <si>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</si>
  <si>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</si>
  <si>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</si>
  <si>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</si>
  <si>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</si>
  <si>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</si>
  <si>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</si>
  <si>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</si>
  <si>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</si>
  <si>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</si>
  <si>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</si>
  <si>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</si>
  <si>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</si>
  <si>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</si>
  <si>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</si>
  <si>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</si>
  <si>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</si>
  <si>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</si>
  <si>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</si>
  <si>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</si>
  <si>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</si>
  <si>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</si>
  <si>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</si>
  <si>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</si>
  <si>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</si>
  <si>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</si>
  <si>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</si>
  <si>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</si>
  <si>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</si>
  <si>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</si>
  <si>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</si>
  <si>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</si>
  <si>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</si>
  <si>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</si>
  <si>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</si>
  <si>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</si>
  <si>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</si>
  <si>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</si>
  <si>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</si>
  <si>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</si>
  <si>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</si>
  <si>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</si>
  <si>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</si>
  <si>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</si>
  <si>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</si>
  <si>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</si>
  <si>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</si>
  <si>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</si>
  <si>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</si>
  <si>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</si>
  <si>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</si>
  <si>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</si>
  <si>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</si>
  <si>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</si>
  <si>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</si>
  <si>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</si>
  <si>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</si>
  <si>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</si>
  <si>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</si>
  <si>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</si>
  <si>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</si>
  <si>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</si>
  <si>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</si>
  <si>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</si>
  <si>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</si>
  <si>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</si>
  <si>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</si>
  <si>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</si>
  <si>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</si>
  <si>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</si>
  <si>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</si>
  <si>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</si>
  <si>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</si>
  <si>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</si>
  <si>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</si>
  <si>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</si>
  <si>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</si>
  <si>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</si>
  <si>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</si>
  <si>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</si>
  <si>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</si>
  <si>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</si>
  <si>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</si>
  <si>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</si>
  <si>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</si>
  <si>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</si>
  <si>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</si>
  <si>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</si>
  <si>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</si>
  <si>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</si>
  <si>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</si>
  <si>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</si>
  <si>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</si>
  <si>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</si>
  <si>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</si>
  <si>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</si>
  <si>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</si>
  <si>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</si>
  <si>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</si>
  <si>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</si>
  <si>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</si>
  <si>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</si>
  <si>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</si>
  <si>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</si>
  <si>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</si>
  <si>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</si>
  <si>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</si>
  <si>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</si>
  <si>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</si>
  <si>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</si>
  <si>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</si>
  <si>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</si>
  <si>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</si>
  <si>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</si>
  <si>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</si>
  <si>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</si>
  <si>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</si>
  <si>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</si>
  <si>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</si>
  <si>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</si>
  <si>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</si>
  <si>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</si>
  <si>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</si>
  <si>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</si>
  <si>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</si>
  <si>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</si>
  <si>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</si>
  <si>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</si>
  <si>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</si>
  <si>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</si>
  <si>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</si>
  <si>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</si>
  <si>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</si>
  <si>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</si>
  <si>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</si>
  <si>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</si>
  <si>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</si>
  <si>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</si>
  <si>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</si>
  <si>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</si>
  <si>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</si>
  <si>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</si>
  <si>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</si>
  <si>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</si>
  <si>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</si>
  <si>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</si>
  <si>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</si>
  <si>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</si>
  <si>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</si>
  <si>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</si>
  <si>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</si>
  <si>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</si>
  <si>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</si>
  <si>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</si>
  <si>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</si>
  <si>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</si>
  <si>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</si>
  <si>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</si>
  <si>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</si>
  <si>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</si>
  <si>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</si>
  <si>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</si>
  <si>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</si>
  <si>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</si>
  <si>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</si>
  <si>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</si>
  <si>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</si>
  <si>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</si>
  <si>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</si>
  <si>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</si>
  <si>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</si>
  <si>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</si>
  <si>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</si>
  <si>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</si>
  <si>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</si>
  <si>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</si>
  <si>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</si>
  <si>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</si>
  <si>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</si>
  <si>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</si>
  <si>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</si>
  <si>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</si>
  <si>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</si>
  <si>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</si>
  <si>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</si>
  <si>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</si>
  <si>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</si>
  <si>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</si>
  <si>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</si>
  <si>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</si>
  <si>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</si>
  <si>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</si>
  <si>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</si>
  <si>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</si>
  <si>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</si>
  <si>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</si>
  <si>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</si>
  <si>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</si>
  <si>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</si>
  <si>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</si>
  <si>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</si>
  <si>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</si>
  <si>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</si>
  <si>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</si>
  <si>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</si>
  <si>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</si>
  <si>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</si>
  <si>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</si>
  <si>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</si>
  <si>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</si>
  <si>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</si>
  <si>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</si>
  <si>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</si>
  <si>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</si>
  <si>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</si>
  <si>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</si>
  <si>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</si>
  <si>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</si>
  <si>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</si>
  <si>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</si>
  <si>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</si>
  <si>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</si>
  <si>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</si>
  <si>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</si>
  <si>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</si>
  <si>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</si>
  <si>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</si>
  <si>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</si>
  <si>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</si>
  <si>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</si>
  <si>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</si>
  <si>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</si>
  <si>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</si>
  <si>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</si>
  <si>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</si>
  <si>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</si>
  <si>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</si>
  <si>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</si>
  <si>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</si>
  <si>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</si>
  <si>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</si>
  <si>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</si>
  <si>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</si>
  <si>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</si>
  <si>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</si>
  <si>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</si>
  <si>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</si>
  <si>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</si>
  <si>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</si>
  <si>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</si>
  <si>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</si>
  <si>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</si>
  <si>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</si>
  <si>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</si>
  <si>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</si>
  <si>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</si>
  <si>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</si>
  <si>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</si>
  <si>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</si>
  <si>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</si>
  <si>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</si>
  <si>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</si>
  <si>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</si>
  <si>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</si>
  <si>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</si>
  <si>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</si>
  <si>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</si>
  <si>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</si>
  <si>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</si>
  <si>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</si>
  <si>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</si>
  <si>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</si>
  <si>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</si>
  <si>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</si>
  <si>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</si>
  <si>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</si>
  <si>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</si>
  <si>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</si>
  <si>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</si>
  <si>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</si>
  <si>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</si>
  <si>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</si>
  <si>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</si>
  <si>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</si>
  <si>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</si>
  <si>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</si>
  <si>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</si>
  <si>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</si>
  <si>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</si>
  <si>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</si>
  <si>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</si>
  <si>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</si>
  <si>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</si>
  <si>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</si>
  <si>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</si>
  <si>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</si>
  <si>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</si>
  <si>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</si>
  <si>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</si>
  <si>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</si>
  <si>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</si>
  <si>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</si>
  <si>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</si>
  <si>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</si>
  <si>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</si>
  <si>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</si>
  <si>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</si>
  <si>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</si>
  <si>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</si>
  <si>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</si>
  <si>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</si>
  <si>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</si>
  <si>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</si>
  <si>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</si>
  <si>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</si>
  <si>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</si>
  <si>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</si>
  <si>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</si>
  <si>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</si>
  <si>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</si>
  <si>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</si>
  <si>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</si>
  <si>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</si>
  <si>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</si>
  <si>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</si>
  <si>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</si>
  <si>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</si>
  <si>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</si>
  <si>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</si>
  <si>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</si>
  <si>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</si>
  <si>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</si>
  <si>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</si>
  <si>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</si>
  <si>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</si>
  <si>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</si>
  <si>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</si>
  <si>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</si>
  <si>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</si>
  <si>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</si>
  <si>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</si>
  <si>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</si>
  <si>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</si>
  <si>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</si>
  <si>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</si>
  <si>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</si>
  <si>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</si>
  <si>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</si>
  <si>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</si>
  <si>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</si>
  <si>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</si>
  <si>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</si>
  <si>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</si>
  <si>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</si>
  <si>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</si>
  <si>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</si>
  <si>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</si>
  <si>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</si>
  <si>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</si>
  <si>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</si>
  <si>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</si>
  <si>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</si>
  <si>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</si>
  <si>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</si>
  <si>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</si>
  <si>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</si>
  <si>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</si>
  <si>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</si>
  <si>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</si>
  <si>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</si>
  <si>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</si>
  <si>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</si>
  <si>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</si>
  <si>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</si>
  <si>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</si>
  <si>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</si>
  <si>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</si>
  <si>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</si>
  <si>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</si>
  <si>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</si>
  <si>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</si>
  <si>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</si>
  <si>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</si>
  <si>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</si>
  <si>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</si>
  <si>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</si>
  <si>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</si>
  <si>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</si>
  <si>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</si>
  <si>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</si>
  <si>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</si>
  <si>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</si>
  <si>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</si>
  <si>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</si>
  <si>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</si>
  <si>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</si>
  <si>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</si>
  <si>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</si>
  <si>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</si>
  <si>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</si>
  <si>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</si>
  <si>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</si>
  <si>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</si>
  <si>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</si>
  <si>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</si>
  <si>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</si>
  <si>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</si>
  <si>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</si>
  <si>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</si>
  <si>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</si>
  <si>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</si>
  <si>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</si>
  <si>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</si>
  <si>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</si>
  <si>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</si>
  <si>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</si>
  <si>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</si>
  <si>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</si>
  <si>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</si>
  <si>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</si>
  <si>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</si>
  <si>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</si>
  <si>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</si>
  <si>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</si>
  <si>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</si>
  <si>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</si>
  <si>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</si>
  <si>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</si>
  <si>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</si>
  <si>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</si>
  <si>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</si>
  <si>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</si>
  <si>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</si>
  <si>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</si>
  <si>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</si>
  <si>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</si>
  <si>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</si>
  <si>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</si>
  <si>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</si>
  <si>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</si>
  <si>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</si>
  <si>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</si>
  <si>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</si>
  <si>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</si>
  <si>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</si>
  <si>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</si>
  <si>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</si>
  <si>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</si>
  <si>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</si>
  <si>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</si>
  <si>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</si>
  <si>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</si>
  <si>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</si>
  <si>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</si>
  <si>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</si>
  <si>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</si>
  <si>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</si>
  <si>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</si>
  <si>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</si>
  <si>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</si>
  <si>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</si>
  <si>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</si>
  <si>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</si>
  <si>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</si>
  <si>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</si>
  <si>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</si>
  <si>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</si>
  <si>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</si>
  <si>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</si>
  <si>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</si>
  <si>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</si>
  <si>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</si>
  <si>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</si>
  <si>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</si>
  <si>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</si>
  <si>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</si>
  <si>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</si>
  <si>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</si>
  <si>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</si>
  <si>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</si>
  <si>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</si>
  <si>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</si>
  <si>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</si>
  <si>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</si>
  <si>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</si>
  <si>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</si>
  <si>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</si>
  <si>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</si>
  <si>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</si>
  <si>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</si>
  <si>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</si>
  <si>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</si>
  <si>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</si>
  <si>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</si>
  <si>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</si>
  <si>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</si>
  <si>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</si>
  <si>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</si>
  <si>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</si>
  <si>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</si>
  <si>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</si>
  <si>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</si>
  <si>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</si>
  <si>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</si>
  <si>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</si>
  <si>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</si>
  <si>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</si>
  <si>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</si>
  <si>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</si>
  <si>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</si>
  <si>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</si>
  <si>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</si>
  <si>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</si>
  <si>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</si>
  <si>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</si>
  <si>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</si>
  <si>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</si>
  <si>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</si>
  <si>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</si>
  <si>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</si>
  <si>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</si>
  <si>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</si>
  <si>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</si>
  <si>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</si>
  <si>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</si>
  <si>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</si>
  <si>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</si>
  <si>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</si>
  <si>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</si>
  <si>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</si>
  <si>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</si>
  <si>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</si>
  <si>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</si>
  <si>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</si>
  <si>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</si>
  <si>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</si>
  <si>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</si>
  <si>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</si>
  <si>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</si>
  <si>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</si>
  <si>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</si>
  <si>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</si>
  <si>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</si>
  <si>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</si>
  <si>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</si>
  <si>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</si>
  <si>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</si>
  <si>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</si>
  <si>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</si>
  <si>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</si>
  <si>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</si>
  <si>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</si>
  <si>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</si>
  <si>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李立</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</si>
  <si>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</si>
  <si>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</si>
  <si>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</si>
  <si>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</si>
  <si>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</si>
  <si>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</si>
  <si>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</si>
  <si>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马琳琳</t>
    <phoneticPr fontId="8" type="noConversion"/>
  </si>
  <si>
    <t>刘梅</t>
    <phoneticPr fontId="8" type="noConversion"/>
  </si>
  <si>
    <t>赵雯</t>
    <phoneticPr fontId="8" type="noConversion"/>
  </si>
  <si>
    <t>刘敬东</t>
    <phoneticPr fontId="8" type="noConversion"/>
  </si>
  <si>
    <t>王萌</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</si>
  <si>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</si>
  <si>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</si>
  <si>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</si>
  <si>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</si>
  <si>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</si>
  <si>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</si>
  <si>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</si>
  <si>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</si>
  <si>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</si>
  <si>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</si>
  <si>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</si>
  <si>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</si>
  <si>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</si>
  <si>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</si>
  <si>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</si>
  <si>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</si>
  <si>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</si>
  <si>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</si>
  <si>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</si>
  <si>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</si>
  <si>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</si>
  <si>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</si>
  <si>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</si>
  <si>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</si>
  <si>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</si>
  <si>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</si>
  <si>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</si>
  <si>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</si>
  <si>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</si>
  <si>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</si>
  <si>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</si>
  <si>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</si>
  <si>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</si>
  <si>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</si>
  <si>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</si>
  <si>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</si>
  <si>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</si>
  <si>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</si>
  <si>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</si>
  <si>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</si>
  <si>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</si>
  <si>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</si>
  <si>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</si>
  <si>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</si>
  <si>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</si>
  <si>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</si>
  <si>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</si>
  <si>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</si>
  <si>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</si>
  <si>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</si>
  <si>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</si>
  <si>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</si>
  <si>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</si>
  <si>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</si>
  <si>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</si>
  <si>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</si>
  <si>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</si>
  <si>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</si>
  <si>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</si>
  <si>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</si>
  <si>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</si>
  <si>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</si>
  <si>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</si>
  <si>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</si>
  <si>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</si>
  <si>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</si>
  <si>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</si>
  <si>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</si>
  <si>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</si>
  <si>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</si>
  <si>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</si>
  <si>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</si>
  <si>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</si>
  <si>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</si>
  <si>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</si>
  <si>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</si>
  <si>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</si>
  <si>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</si>
  <si>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</si>
  <si>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</si>
  <si>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</si>
  <si>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</si>
  <si>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</si>
  <si>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</si>
  <si>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</si>
  <si>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</si>
  <si>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</si>
  <si>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</si>
  <si>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</si>
  <si>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</si>
  <si>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</si>
  <si>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</si>
  <si>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</si>
  <si>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</si>
  <si>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</si>
  <si>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</si>
  <si>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</si>
  <si>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</si>
  <si>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</si>
  <si>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</si>
  <si>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</si>
  <si>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</si>
  <si>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</si>
  <si>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</si>
  <si>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</si>
  <si>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</si>
  <si>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</si>
  <si>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</si>
  <si>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</si>
  <si>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</si>
  <si>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</si>
  <si>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</si>
  <si>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</si>
  <si>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</si>
  <si>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</si>
  <si>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</si>
  <si>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</si>
  <si>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</si>
  <si>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</si>
  <si>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</si>
  <si>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</si>
  <si>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</si>
  <si>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</si>
  <si>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</si>
  <si>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</si>
  <si>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</si>
  <si>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</si>
  <si>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</si>
  <si>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</si>
  <si>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</si>
  <si>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</si>
  <si>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</si>
  <si>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</si>
  <si>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</si>
  <si>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</si>
  <si>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</si>
  <si>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</si>
  <si>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</si>
  <si>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</si>
  <si>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</si>
  <si>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</si>
  <si>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</si>
  <si>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</si>
  <si>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</si>
  <si>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</si>
  <si>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</si>
  <si>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</si>
  <si>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</si>
  <si>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</si>
  <si>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</si>
  <si>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</si>
  <si>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</si>
  <si>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</si>
  <si>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</si>
  <si>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</si>
  <si>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</si>
  <si>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</si>
  <si>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</si>
  <si>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</si>
  <si>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</si>
  <si>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</si>
  <si>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</si>
  <si>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</si>
  <si>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</si>
  <si>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</si>
  <si>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</si>
  <si>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</si>
  <si>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</si>
  <si>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</si>
  <si>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</si>
  <si>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</si>
  <si>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</si>
  <si>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</si>
  <si>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</si>
  <si>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</si>
  <si>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</si>
  <si>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</si>
  <si>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</si>
  <si>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</si>
  <si>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</si>
  <si>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</si>
  <si>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</si>
  <si>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</si>
  <si>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</si>
  <si>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</si>
  <si>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</si>
  <si>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</si>
  <si>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</si>
  <si>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</si>
  <si>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</si>
  <si>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</si>
  <si>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</si>
  <si>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</si>
  <si>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</si>
  <si>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</si>
  <si>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</si>
  <si>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</si>
  <si>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</si>
  <si>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</si>
  <si>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</si>
  <si>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</si>
  <si>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</si>
  <si>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</si>
  <si>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</si>
  <si>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</si>
  <si>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</si>
  <si>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</si>
  <si>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</si>
  <si>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</si>
  <si>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</si>
  <si>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</si>
  <si>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</si>
  <si>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</si>
  <si>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</si>
  <si>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</si>
  <si>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</si>
  <si>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</si>
  <si>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</si>
  <si>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</si>
  <si>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</si>
  <si>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</si>
  <si>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</si>
  <si>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</si>
  <si>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</si>
  <si>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</si>
  <si>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</si>
  <si>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</si>
  <si>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</si>
  <si>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</si>
  <si>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</si>
  <si>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</si>
  <si>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</si>
  <si>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</si>
  <si>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</si>
  <si>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</si>
  <si>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</si>
  <si>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</si>
  <si>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</si>
  <si>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</si>
  <si>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</si>
  <si>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</si>
  <si>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</si>
  <si>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</si>
  <si>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</si>
  <si>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</si>
  <si>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</si>
  <si>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</si>
  <si>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</si>
  <si>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</si>
  <si>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</si>
  <si>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</si>
  <si>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</si>
  <si>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</si>
  <si>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</si>
  <si>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</si>
  <si>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</si>
  <si>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</si>
  <si>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</si>
  <si>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</si>
  <si>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</si>
  <si>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</si>
  <si>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</si>
  <si>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</si>
  <si>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</si>
  <si>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</si>
  <si>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</si>
  <si>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</si>
  <si>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</si>
  <si>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</si>
  <si>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</si>
  <si>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</si>
  <si>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</si>
  <si>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</si>
  <si>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</si>
  <si>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</si>
  <si>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</si>
  <si>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</si>
  <si>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</si>
  <si>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</si>
  <si>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</si>
  <si>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</si>
  <si>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</si>
  <si>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</si>
  <si>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</si>
  <si>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</si>
  <si>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</si>
  <si>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</si>
  <si>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</si>
  <si>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</si>
  <si>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</si>
  <si>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</si>
  <si>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</si>
  <si>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</si>
  <si>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</si>
  <si>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</si>
  <si>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</si>
  <si>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</si>
  <si>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</si>
  <si>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</si>
  <si>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</si>
  <si>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</si>
  <si>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</si>
  <si>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</si>
  <si>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</si>
  <si>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</si>
  <si>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</si>
  <si>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</si>
  <si>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</si>
  <si>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</si>
  <si>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</si>
  <si>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</si>
  <si>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</si>
  <si>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</si>
  <si>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</si>
  <si>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</si>
  <si>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</si>
  <si>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</si>
  <si>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</si>
  <si>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</si>
  <si>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</si>
  <si>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</si>
  <si>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</si>
  <si>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</si>
  <si>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</si>
  <si>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</si>
  <si>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</si>
  <si>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</si>
  <si>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</si>
  <si>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</si>
  <si>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</si>
  <si>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</si>
  <si>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</si>
  <si>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</si>
  <si>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</si>
  <si>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</si>
  <si>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</si>
  <si>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</si>
  <si>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</si>
  <si>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</si>
  <si>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</si>
  <si>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</si>
  <si>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</si>
  <si>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</si>
  <si>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</si>
  <si>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</si>
  <si>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</si>
  <si>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</si>
  <si>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</si>
  <si>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</si>
  <si>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</si>
  <si>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</si>
  <si>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</si>
  <si>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</si>
  <si>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</si>
  <si>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</si>
  <si>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</si>
  <si>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</si>
  <si>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</si>
  <si>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</si>
  <si>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</si>
  <si>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</si>
  <si>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</si>
  <si>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</si>
  <si>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</si>
  <si>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</si>
  <si>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</si>
  <si>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</si>
  <si>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</si>
  <si>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</si>
  <si>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</si>
  <si>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</si>
  <si>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</si>
  <si>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</si>
  <si>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</si>
  <si>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</si>
  <si>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</si>
  <si>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</si>
  <si>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</si>
  <si>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</si>
  <si>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</si>
  <si>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</si>
  <si>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</si>
  <si>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</si>
  <si>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</si>
  <si>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</si>
  <si>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</si>
  <si>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</si>
  <si>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</si>
  <si>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</si>
  <si>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</si>
  <si>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</si>
  <si>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</si>
  <si>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</si>
  <si>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</si>
  <si>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</si>
  <si>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</si>
  <si>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</si>
  <si>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</si>
  <si>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</si>
  <si>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</si>
  <si>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</si>
  <si>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</si>
  <si>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</si>
  <si>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</si>
  <si>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</si>
  <si>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</si>
  <si>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</si>
  <si>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</si>
  <si>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</si>
  <si>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</si>
  <si>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</si>
  <si>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</si>
  <si>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</si>
  <si>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</si>
  <si>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</si>
  <si>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</si>
  <si>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</si>
  <si>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</si>
  <si>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</si>
  <si>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</si>
  <si>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</si>
  <si>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</si>
  <si>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</si>
  <si>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收益期（按照规范取最低值，住宅只取建筑物）</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</si>
  <si>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</si>
  <si>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</si>
  <si>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</si>
  <si>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</si>
  <si>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</si>
  <si>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</si>
  <si>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</si>
  <si>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</si>
  <si>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</si>
  <si>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</si>
  <si>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</si>
  <si>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</si>
  <si>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</si>
  <si>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</si>
  <si>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</si>
  <si>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</si>
  <si>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</si>
  <si>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</si>
  <si>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</si>
  <si>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</si>
  <si>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</si>
  <si>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</si>
  <si>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</si>
  <si>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</si>
  <si>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</si>
  <si>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</si>
  <si>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</si>
  <si>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</si>
  <si>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</si>
  <si>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</si>
  <si>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</si>
  <si>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</si>
  <si>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</si>
  <si>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</si>
  <si>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</si>
  <si>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</si>
  <si>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</si>
  <si>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</si>
  <si>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</si>
  <si>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</si>
  <si>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</si>
  <si>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</si>
  <si>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</si>
  <si>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</si>
  <si>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</si>
  <si>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</si>
  <si>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</si>
  <si>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</si>
  <si>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</si>
  <si>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</si>
  <si>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</si>
  <si>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</si>
  <si>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</si>
  <si>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</si>
  <si>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</si>
  <si>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</si>
  <si>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</si>
  <si>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</si>
  <si>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</si>
  <si>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</si>
  <si>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</si>
  <si>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</si>
  <si>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</si>
  <si>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</si>
  <si>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</si>
  <si>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</si>
  <si>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</si>
  <si>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</si>
  <si>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</si>
  <si>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</si>
  <si>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</si>
  <si>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</si>
  <si>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</si>
  <si>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</si>
  <si>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</si>
  <si>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</si>
  <si>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</si>
  <si>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</si>
  <si>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</si>
  <si>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</si>
  <si>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</si>
  <si>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</si>
  <si>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</si>
  <si>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</si>
  <si>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</si>
  <si>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</si>
  <si>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</si>
  <si>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</si>
  <si>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</si>
  <si>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</si>
  <si>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</si>
  <si>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</si>
  <si>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</si>
  <si>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</si>
  <si>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</si>
  <si>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</si>
  <si>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</si>
  <si>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</si>
  <si>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</si>
  <si>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</si>
  <si>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</si>
  <si>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</si>
  <si>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</si>
  <si>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</si>
  <si>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</si>
  <si>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</si>
  <si>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</si>
  <si>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</si>
  <si>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</si>
  <si>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</si>
  <si>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</si>
  <si>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</si>
  <si>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</si>
  <si>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</si>
  <si>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</si>
  <si>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</si>
  <si>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</si>
  <si>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</si>
  <si>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</si>
  <si>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</si>
  <si>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</si>
  <si>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</si>
  <si>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</si>
  <si>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</si>
  <si>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</si>
  <si>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</si>
  <si>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</si>
  <si>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</si>
  <si>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</si>
  <si>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</si>
  <si>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</si>
  <si>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</si>
  <si>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</si>
  <si>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</si>
  <si>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</si>
  <si>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</si>
  <si>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</si>
  <si>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</si>
  <si>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</si>
  <si>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</si>
  <si>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</si>
  <si>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</si>
  <si>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</si>
  <si>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</si>
  <si>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</si>
  <si>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</si>
  <si>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</si>
  <si>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</si>
  <si>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</si>
  <si>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</si>
  <si>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</si>
  <si>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</si>
  <si>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</si>
  <si>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</si>
  <si>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</si>
  <si>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</si>
  <si>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</si>
  <si>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</si>
  <si>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</si>
  <si>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</si>
  <si>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</si>
  <si>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</si>
  <si>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</si>
  <si>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</si>
  <si>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</si>
  <si>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</si>
  <si>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</si>
  <si>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</si>
  <si>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</si>
  <si>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</si>
  <si>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</si>
  <si>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</si>
  <si>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</si>
  <si>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</si>
  <si>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</si>
  <si>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</si>
  <si>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</si>
  <si>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</si>
  <si>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</si>
  <si>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</si>
  <si>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</si>
  <si>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</si>
  <si>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</si>
  <si>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</si>
  <si>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</si>
  <si>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</si>
  <si>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</si>
  <si>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</si>
  <si>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</si>
  <si>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</si>
  <si>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</si>
  <si>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</si>
  <si>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</si>
  <si>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</si>
  <si>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</si>
  <si>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</si>
  <si>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</si>
  <si>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</si>
  <si>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</si>
  <si>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</si>
  <si>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</si>
  <si>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</si>
  <si>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</si>
  <si>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</si>
  <si>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</si>
  <si>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</si>
  <si>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</si>
  <si>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</si>
  <si>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</si>
  <si>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</si>
  <si>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</si>
  <si>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</si>
  <si>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</si>
  <si>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</si>
  <si>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</si>
  <si>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</si>
  <si>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</si>
  <si>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</si>
  <si>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</si>
  <si>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</si>
  <si>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</si>
  <si>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</si>
  <si>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</si>
  <si>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</si>
  <si>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</si>
  <si>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t>杨红英</t>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</si>
  <si>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</si>
  <si>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5" type="noConversion"/>
  </si>
  <si>
    <r>
      <rPr>
        <b/>
        <sz val="10"/>
        <color theme="1"/>
        <rFont val="楷体_GB2312"/>
        <family val="2"/>
        <charset val="134"/>
      </rPr>
      <t>公示增长率</t>
    </r>
    <phoneticPr fontId="245" type="noConversion"/>
  </si>
  <si>
    <r>
      <rPr>
        <b/>
        <sz val="10"/>
        <color theme="1"/>
        <rFont val="楷体_GB2312"/>
        <family val="2"/>
        <charset val="134"/>
      </rPr>
      <t>核算至百分数</t>
    </r>
    <phoneticPr fontId="245" type="noConversion"/>
  </si>
  <si>
    <r>
      <rPr>
        <b/>
        <sz val="10"/>
        <color theme="1"/>
        <rFont val="楷体_GB2312"/>
        <family val="2"/>
        <charset val="134"/>
      </rPr>
      <t>验证</t>
    </r>
    <phoneticPr fontId="245" type="noConversion"/>
  </si>
  <si>
    <t>综合</t>
    <phoneticPr fontId="8" type="noConversion"/>
  </si>
  <si>
    <t>2017-2</t>
    <phoneticPr fontId="8" type="noConversion"/>
  </si>
  <si>
    <t>2017-1</t>
    <phoneticPr fontId="8" type="noConversion"/>
  </si>
  <si>
    <t>2013-4</t>
    <phoneticPr fontId="238" type="noConversion"/>
  </si>
  <si>
    <t>2013-3</t>
    <phoneticPr fontId="238" type="noConversion"/>
  </si>
  <si>
    <t>2013-2</t>
    <phoneticPr fontId="238" type="noConversion"/>
  </si>
  <si>
    <t>2013-1</t>
    <phoneticPr fontId="238" type="noConversion"/>
  </si>
  <si>
    <r>
      <t>2</t>
    </r>
    <r>
      <rPr>
        <sz val="10"/>
        <color theme="1"/>
        <rFont val="Arial"/>
        <family val="2"/>
      </rPr>
      <t>012-4</t>
    </r>
    <phoneticPr fontId="238" type="noConversion"/>
  </si>
  <si>
    <r>
      <t>2</t>
    </r>
    <r>
      <rPr>
        <sz val="10"/>
        <color theme="1"/>
        <rFont val="Arial"/>
        <family val="2"/>
      </rPr>
      <t>012-3</t>
    </r>
    <phoneticPr fontId="238" type="noConversion"/>
  </si>
  <si>
    <r>
      <t>2</t>
    </r>
    <r>
      <rPr>
        <sz val="10"/>
        <color theme="1"/>
        <rFont val="Arial"/>
        <family val="2"/>
      </rPr>
      <t>012-2</t>
    </r>
    <phoneticPr fontId="238" type="noConversion"/>
  </si>
  <si>
    <r>
      <t>2</t>
    </r>
    <r>
      <rPr>
        <sz val="10"/>
        <color theme="1"/>
        <rFont val="Arial"/>
        <family val="2"/>
      </rPr>
      <t>012-1</t>
    </r>
    <phoneticPr fontId="238" type="noConversion"/>
  </si>
  <si>
    <r>
      <t>2</t>
    </r>
    <r>
      <rPr>
        <sz val="10"/>
        <color theme="1"/>
        <rFont val="Arial"/>
        <family val="2"/>
      </rPr>
      <t>011-4</t>
    </r>
    <phoneticPr fontId="238" type="noConversion"/>
  </si>
  <si>
    <r>
      <t>2</t>
    </r>
    <r>
      <rPr>
        <sz val="10"/>
        <color theme="1"/>
        <rFont val="Arial"/>
        <family val="2"/>
      </rPr>
      <t>011-3</t>
    </r>
    <phoneticPr fontId="238" type="noConversion"/>
  </si>
  <si>
    <r>
      <t>2</t>
    </r>
    <r>
      <rPr>
        <sz val="10"/>
        <color theme="1"/>
        <rFont val="Arial"/>
        <family val="2"/>
      </rPr>
      <t>011-2</t>
    </r>
    <phoneticPr fontId="238" type="noConversion"/>
  </si>
  <si>
    <r>
      <t>2</t>
    </r>
    <r>
      <rPr>
        <sz val="10"/>
        <color theme="1"/>
        <rFont val="Arial"/>
        <family val="2"/>
      </rPr>
      <t>011-1</t>
    </r>
    <phoneticPr fontId="238" type="noConversion"/>
  </si>
  <si>
    <r>
      <t>2</t>
    </r>
    <r>
      <rPr>
        <sz val="10"/>
        <color theme="1"/>
        <rFont val="Arial"/>
        <family val="2"/>
      </rPr>
      <t>010-4</t>
    </r>
    <phoneticPr fontId="238" type="noConversion"/>
  </si>
  <si>
    <r>
      <t>2</t>
    </r>
    <r>
      <rPr>
        <sz val="10"/>
        <color theme="1"/>
        <rFont val="Arial"/>
        <family val="2"/>
      </rPr>
      <t>010-3</t>
    </r>
    <phoneticPr fontId="238" type="noConversion"/>
  </si>
  <si>
    <r>
      <t>2</t>
    </r>
    <r>
      <rPr>
        <sz val="10"/>
        <color theme="1"/>
        <rFont val="Arial"/>
        <family val="2"/>
      </rPr>
      <t>010-2</t>
    </r>
    <phoneticPr fontId="238" type="noConversion"/>
  </si>
  <si>
    <r>
      <t>2</t>
    </r>
    <r>
      <rPr>
        <sz val="10"/>
        <color theme="1"/>
        <rFont val="Arial"/>
        <family val="2"/>
      </rPr>
      <t>010-1</t>
    </r>
    <phoneticPr fontId="238" type="noConversion"/>
  </si>
  <si>
    <r>
      <t>2</t>
    </r>
    <r>
      <rPr>
        <sz val="10"/>
        <color theme="1"/>
        <rFont val="Arial"/>
        <family val="2"/>
      </rPr>
      <t>009-4</t>
    </r>
    <phoneticPr fontId="238" type="noConversion"/>
  </si>
  <si>
    <r>
      <t>2</t>
    </r>
    <r>
      <rPr>
        <sz val="10"/>
        <color theme="1"/>
        <rFont val="Arial"/>
        <family val="2"/>
      </rPr>
      <t>009-3</t>
    </r>
    <phoneticPr fontId="238" type="noConversion"/>
  </si>
  <si>
    <r>
      <t>2</t>
    </r>
    <r>
      <rPr>
        <sz val="10"/>
        <color theme="1"/>
        <rFont val="Arial"/>
        <family val="2"/>
      </rPr>
      <t>009-2</t>
    </r>
    <phoneticPr fontId="238" type="noConversion"/>
  </si>
  <si>
    <r>
      <t>2</t>
    </r>
    <r>
      <rPr>
        <sz val="10"/>
        <color theme="1"/>
        <rFont val="Arial"/>
        <family val="2"/>
      </rPr>
      <t>009-1</t>
    </r>
    <phoneticPr fontId="238" type="noConversion"/>
  </si>
  <si>
    <r>
      <t>2</t>
    </r>
    <r>
      <rPr>
        <sz val="10"/>
        <color theme="1"/>
        <rFont val="Arial"/>
        <family val="2"/>
      </rPr>
      <t>008-4</t>
    </r>
    <phoneticPr fontId="238" type="noConversion"/>
  </si>
  <si>
    <r>
      <t>2</t>
    </r>
    <r>
      <rPr>
        <sz val="10"/>
        <color theme="1"/>
        <rFont val="Arial"/>
        <family val="2"/>
      </rPr>
      <t>008-3</t>
    </r>
    <phoneticPr fontId="238" type="noConversion"/>
  </si>
  <si>
    <r>
      <t>2</t>
    </r>
    <r>
      <rPr>
        <sz val="10"/>
        <color theme="1"/>
        <rFont val="Arial"/>
        <family val="2"/>
      </rPr>
      <t>008-2</t>
    </r>
    <phoneticPr fontId="238" type="noConversion"/>
  </si>
  <si>
    <r>
      <t>2</t>
    </r>
    <r>
      <rPr>
        <sz val="10"/>
        <color theme="1"/>
        <rFont val="Arial"/>
        <family val="2"/>
      </rPr>
      <t>008-1</t>
    </r>
    <phoneticPr fontId="238" type="noConversion"/>
  </si>
  <si>
    <r>
      <t>2</t>
    </r>
    <r>
      <rPr>
        <sz val="10"/>
        <color theme="1"/>
        <rFont val="Arial"/>
        <family val="2"/>
      </rPr>
      <t>007-4</t>
    </r>
    <phoneticPr fontId="238" type="noConversion"/>
  </si>
  <si>
    <r>
      <t>2</t>
    </r>
    <r>
      <rPr>
        <sz val="10"/>
        <color theme="1"/>
        <rFont val="Arial"/>
        <family val="2"/>
      </rPr>
      <t>007-3</t>
    </r>
    <phoneticPr fontId="238" type="noConversion"/>
  </si>
  <si>
    <r>
      <t>2</t>
    </r>
    <r>
      <rPr>
        <sz val="10"/>
        <color theme="1"/>
        <rFont val="Arial"/>
        <family val="2"/>
      </rPr>
      <t>007-2</t>
    </r>
    <phoneticPr fontId="238" type="noConversion"/>
  </si>
  <si>
    <r>
      <t>2</t>
    </r>
    <r>
      <rPr>
        <sz val="10"/>
        <color theme="1"/>
        <rFont val="Arial"/>
        <family val="2"/>
      </rPr>
      <t>007-1</t>
    </r>
    <phoneticPr fontId="238" type="noConversion"/>
  </si>
  <si>
    <r>
      <t>2</t>
    </r>
    <r>
      <rPr>
        <sz val="10"/>
        <color theme="1"/>
        <rFont val="Arial"/>
        <family val="2"/>
      </rPr>
      <t>006-4</t>
    </r>
    <phoneticPr fontId="238" type="noConversion"/>
  </si>
  <si>
    <t>2006-3</t>
    <phoneticPr fontId="238" type="noConversion"/>
  </si>
  <si>
    <t>2006-2</t>
    <phoneticPr fontId="238" type="noConversion"/>
  </si>
  <si>
    <t>2006-1</t>
    <phoneticPr fontId="238" type="noConversion"/>
  </si>
  <si>
    <r>
      <t>2</t>
    </r>
    <r>
      <rPr>
        <sz val="10"/>
        <color theme="1"/>
        <rFont val="Arial"/>
        <family val="2"/>
      </rPr>
      <t>005-4</t>
    </r>
    <phoneticPr fontId="238" type="noConversion"/>
  </si>
  <si>
    <r>
      <t>2</t>
    </r>
    <r>
      <rPr>
        <sz val="10"/>
        <color theme="1"/>
        <rFont val="Arial"/>
        <family val="2"/>
      </rPr>
      <t>005-3</t>
    </r>
    <phoneticPr fontId="238" type="noConversion"/>
  </si>
  <si>
    <r>
      <t>2</t>
    </r>
    <r>
      <rPr>
        <sz val="10"/>
        <color theme="1"/>
        <rFont val="Arial"/>
        <family val="2"/>
      </rPr>
      <t>005-2</t>
    </r>
    <phoneticPr fontId="238" type="noConversion"/>
  </si>
  <si>
    <r>
      <t>2</t>
    </r>
    <r>
      <rPr>
        <sz val="10"/>
        <color theme="1"/>
        <rFont val="Arial"/>
        <family val="2"/>
      </rPr>
      <t>005-1</t>
    </r>
    <phoneticPr fontId="238" type="noConversion"/>
  </si>
  <si>
    <r>
      <t>2</t>
    </r>
    <r>
      <rPr>
        <sz val="10"/>
        <color theme="1"/>
        <rFont val="Arial"/>
        <family val="2"/>
      </rPr>
      <t>004-4</t>
    </r>
    <phoneticPr fontId="238" type="noConversion"/>
  </si>
  <si>
    <r>
      <t>2</t>
    </r>
    <r>
      <rPr>
        <sz val="10"/>
        <color theme="1"/>
        <rFont val="Arial"/>
        <family val="2"/>
      </rPr>
      <t>004-3</t>
    </r>
    <phoneticPr fontId="238" type="noConversion"/>
  </si>
  <si>
    <r>
      <t>2</t>
    </r>
    <r>
      <rPr>
        <sz val="10"/>
        <color theme="1"/>
        <rFont val="Arial"/>
        <family val="2"/>
      </rPr>
      <t>004-2</t>
    </r>
    <phoneticPr fontId="238" type="noConversion"/>
  </si>
  <si>
    <r>
      <t>2</t>
    </r>
    <r>
      <rPr>
        <sz val="10"/>
        <color theme="1"/>
        <rFont val="Arial"/>
        <family val="2"/>
      </rPr>
      <t>004-1</t>
    </r>
    <phoneticPr fontId="238" type="noConversion"/>
  </si>
  <si>
    <r>
      <t>2</t>
    </r>
    <r>
      <rPr>
        <sz val="10"/>
        <color theme="1"/>
        <rFont val="Arial"/>
        <family val="2"/>
      </rPr>
      <t>003-4</t>
    </r>
    <phoneticPr fontId="238" type="noConversion"/>
  </si>
  <si>
    <r>
      <t>2</t>
    </r>
    <r>
      <rPr>
        <sz val="10"/>
        <color theme="1"/>
        <rFont val="Arial"/>
        <family val="2"/>
      </rPr>
      <t>003-3</t>
    </r>
    <phoneticPr fontId="238" type="noConversion"/>
  </si>
  <si>
    <r>
      <t>2</t>
    </r>
    <r>
      <rPr>
        <sz val="10"/>
        <color theme="1"/>
        <rFont val="Arial"/>
        <family val="2"/>
      </rPr>
      <t>003-2</t>
    </r>
    <phoneticPr fontId="238" type="noConversion"/>
  </si>
  <si>
    <r>
      <t>2</t>
    </r>
    <r>
      <rPr>
        <sz val="10"/>
        <color theme="1"/>
        <rFont val="Arial"/>
        <family val="2"/>
      </rPr>
      <t>003-1</t>
    </r>
    <phoneticPr fontId="238" type="noConversion"/>
  </si>
  <si>
    <r>
      <t>2</t>
    </r>
    <r>
      <rPr>
        <sz val="10"/>
        <color theme="1"/>
        <rFont val="Arial"/>
        <family val="2"/>
      </rPr>
      <t>002-4</t>
    </r>
    <phoneticPr fontId="238" type="noConversion"/>
  </si>
  <si>
    <r>
      <t>2</t>
    </r>
    <r>
      <rPr>
        <sz val="10"/>
        <color theme="1"/>
        <rFont val="Arial"/>
        <family val="2"/>
      </rPr>
      <t>002-3</t>
    </r>
    <phoneticPr fontId="238" type="noConversion"/>
  </si>
  <si>
    <r>
      <t>2</t>
    </r>
    <r>
      <rPr>
        <sz val="10"/>
        <color theme="1"/>
        <rFont val="Arial"/>
        <family val="2"/>
      </rPr>
      <t>002-2</t>
    </r>
    <phoneticPr fontId="238" type="noConversion"/>
  </si>
  <si>
    <r>
      <t>2</t>
    </r>
    <r>
      <rPr>
        <sz val="10"/>
        <color theme="1"/>
        <rFont val="Arial"/>
        <family val="2"/>
      </rPr>
      <t>002-1</t>
    </r>
    <phoneticPr fontId="238" type="noConversion"/>
  </si>
  <si>
    <t>说明</t>
    <phoneticPr fontId="2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</si>
  <si>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</si>
  <si>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</si>
  <si>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</si>
  <si>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</si>
  <si>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</si>
  <si>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</si>
  <si>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</si>
  <si>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8" type="noConversion"/>
  </si>
  <si>
    <t>基准季度</t>
    <phoneticPr fontId="238"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</si>
  <si>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</si>
  <si>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</si>
  <si>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8"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</si>
  <si>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</si>
  <si>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</si>
  <si>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</si>
  <si>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</si>
  <si>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</si>
  <si>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</si>
  <si>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</si>
  <si>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</si>
  <si>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</si>
  <si>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</si>
  <si>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</si>
  <si>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</si>
  <si>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8" type="noConversion"/>
  </si>
  <si>
    <t>致函-估价对象-1</t>
    <phoneticPr fontId="238" type="noConversion"/>
  </si>
  <si>
    <t>致函-估价对象-2</t>
  </si>
  <si>
    <t>致函-估价期日</t>
    <phoneticPr fontId="238"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</si>
  <si>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</si>
  <si>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</si>
  <si>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</si>
  <si>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</si>
  <si>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8" type="noConversion"/>
  </si>
  <si>
    <t>致函-地价定义-用途-1</t>
    <phoneticPr fontId="238" type="noConversion"/>
  </si>
  <si>
    <t>致函-地价定义-用途-2</t>
    <phoneticPr fontId="238" type="noConversion"/>
  </si>
  <si>
    <t>致函-地价定义-开发程度-1</t>
    <phoneticPr fontId="238" type="noConversion"/>
  </si>
  <si>
    <t>致函-地价定义-开发程度-2</t>
    <phoneticPr fontId="238" type="noConversion"/>
  </si>
  <si>
    <t>致函-地价定义-年限-1</t>
    <phoneticPr fontId="238" type="noConversion"/>
  </si>
  <si>
    <t>致函-地价定义-年限-2</t>
    <phoneticPr fontId="238" type="noConversion"/>
  </si>
  <si>
    <t>致函-地价定义-1</t>
    <phoneticPr fontId="238" type="noConversion"/>
  </si>
  <si>
    <t>致函-地价定义-2</t>
    <phoneticPr fontId="238" type="noConversion"/>
  </si>
  <si>
    <t>致函-地价定义-3</t>
    <phoneticPr fontId="238" type="noConversion"/>
  </si>
  <si>
    <t>致函-地价定义-4</t>
    <phoneticPr fontId="238" type="noConversion"/>
  </si>
  <si>
    <t>致函-估价结果</t>
    <phoneticPr fontId="238" type="noConversion"/>
  </si>
  <si>
    <t>致函-估价结果-表-1</t>
    <phoneticPr fontId="238" type="noConversion"/>
  </si>
  <si>
    <t>致函-估价结果-表-2</t>
  </si>
  <si>
    <t>致函-限定条件-1</t>
    <phoneticPr fontId="249" type="noConversion"/>
  </si>
  <si>
    <t>致函-限定条件-2</t>
  </si>
  <si>
    <t>致函-限定条件-3</t>
  </si>
  <si>
    <t>致函-其他事项-1</t>
    <phoneticPr fontId="238" type="noConversion"/>
  </si>
  <si>
    <t>致函-其他事项-2</t>
  </si>
  <si>
    <t>致函-其他事项-优先受偿-1</t>
    <phoneticPr fontId="238" type="noConversion"/>
  </si>
  <si>
    <t>致函-其他事项-优先受偿</t>
    <phoneticPr fontId="238" type="noConversion"/>
  </si>
  <si>
    <t>致函-其他事项-优先受偿-2</t>
  </si>
  <si>
    <t>致函-其他事项-优先受偿-3</t>
  </si>
  <si>
    <t>致函-其他事项-优先受偿-4</t>
  </si>
  <si>
    <t>致函-其他事项-4</t>
    <phoneticPr fontId="238" type="noConversion"/>
  </si>
  <si>
    <t>致函-其他事项-5</t>
  </si>
  <si>
    <t>致函-估价师签字-1</t>
    <phoneticPr fontId="238" type="noConversion"/>
  </si>
  <si>
    <t>致函-估价师签字-2</t>
    <phoneticPr fontId="238" type="noConversion"/>
  </si>
  <si>
    <t>致函-出具日期</t>
    <phoneticPr fontId="238"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</si>
  <si>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</si>
  <si>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</si>
  <si>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</si>
  <si>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</si>
  <si>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</si>
  <si>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</si>
  <si>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</si>
  <si>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</si>
  <si>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</si>
  <si>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</si>
  <si>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</si>
  <si>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</si>
  <si>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9" type="noConversion"/>
  </si>
  <si>
    <r>
      <t>金融机构</t>
    </r>
    <r>
      <rPr>
        <sz val="10"/>
        <color indexed="8"/>
        <rFont val="仿宋_GB2312"/>
        <family val="3"/>
        <charset val="134"/>
      </rPr>
      <t>(贷款方)</t>
    </r>
    <phoneticPr fontId="8" type="noConversion"/>
  </si>
  <si>
    <t>借款方</t>
    <phoneticPr fontId="11" type="noConversion"/>
  </si>
  <si>
    <t>致函-估价目的</t>
    <phoneticPr fontId="238"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</si>
  <si>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</si>
  <si>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</si>
  <si>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</si>
  <si>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</si>
  <si>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</si>
  <si>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</si>
  <si>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</si>
  <si>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</si>
  <si>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</si>
  <si>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</si>
  <si>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</si>
  <si>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</si>
  <si>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</si>
  <si>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</si>
  <si>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</si>
  <si>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</si>
  <si>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</si>
  <si>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</si>
  <si>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</si>
  <si>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</si>
  <si>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</si>
  <si>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</si>
  <si>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</si>
  <si>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</si>
  <si>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9" type="noConversion"/>
  </si>
  <si>
    <t>致函-估价结果-表-地号(标题）</t>
    <phoneticPr fontId="249" type="noConversion"/>
  </si>
  <si>
    <t>土地使用证编号/不动产权证书编号</t>
    <phoneticPr fontId="142"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</si>
  <si>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</si>
  <si>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</si>
  <si>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</si>
  <si>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</si>
  <si>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</si>
  <si>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</si>
  <si>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</si>
  <si>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</si>
  <si>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</si>
  <si>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</si>
  <si>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</si>
  <si>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</si>
  <si>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</si>
  <si>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</si>
  <si>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</si>
  <si>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</si>
  <si>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</si>
  <si>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5"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</si>
  <si>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</si>
  <si>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</si>
  <si>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</si>
  <si>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</si>
  <si>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</si>
  <si>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</si>
  <si>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</si>
  <si>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</si>
  <si>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</si>
  <si>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</si>
  <si>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</si>
  <si>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</si>
  <si>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</si>
  <si>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</si>
  <si>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</si>
  <si>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</si>
  <si>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</si>
  <si>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</si>
  <si>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</si>
  <si>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</si>
  <si>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</si>
  <si>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</si>
  <si>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</si>
  <si>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</si>
  <si>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</si>
  <si>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</si>
  <si>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</si>
  <si>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</si>
  <si>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</si>
  <si>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</si>
  <si>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</si>
  <si>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</si>
  <si>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9" type="noConversion"/>
  </si>
  <si>
    <t>价值时点</t>
    <phoneticPr fontId="8" type="noConversion"/>
  </si>
  <si>
    <t>贷款利率</t>
    <phoneticPr fontId="8" type="noConversion"/>
  </si>
  <si>
    <t>贷款利率</t>
    <phoneticPr fontId="238" type="noConversion"/>
  </si>
  <si>
    <t>存款利率</t>
    <phoneticPr fontId="23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</si>
  <si>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</si>
  <si>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</si>
  <si>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</si>
  <si>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</si>
  <si>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</si>
  <si>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</si>
  <si>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</si>
  <si>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</si>
  <si>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</si>
  <si>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</si>
  <si>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</si>
  <si>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</si>
  <si>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</si>
  <si>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</si>
  <si>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</si>
  <si>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</si>
  <si>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</si>
  <si>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</si>
  <si>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</si>
  <si>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</si>
  <si>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</si>
  <si>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</si>
  <si>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</si>
  <si>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</si>
  <si>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</si>
  <si>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</si>
  <si>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</si>
  <si>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8" type="noConversion"/>
  </si>
  <si>
    <t>1年期存款利率</t>
    <phoneticPr fontId="8" type="noConversion"/>
  </si>
  <si>
    <t>土地开发期</t>
    <phoneticPr fontId="238"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</si>
  <si>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</si>
  <si>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</si>
  <si>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</si>
  <si>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</si>
  <si>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</si>
  <si>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</si>
  <si>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</si>
  <si>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</si>
  <si>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</si>
  <si>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</si>
  <si>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</si>
  <si>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</si>
  <si>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</si>
  <si>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</si>
  <si>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</si>
  <si>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</si>
  <si>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</si>
  <si>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</si>
  <si>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</si>
  <si>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</si>
  <si>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</si>
  <si>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</si>
  <si>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</si>
  <si>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</si>
  <si>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</si>
  <si>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</si>
  <si>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</si>
  <si>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</si>
  <si>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</si>
  <si>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</si>
  <si>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</si>
  <si>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</si>
  <si>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</si>
  <si>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</si>
  <si>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</si>
  <si>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</si>
  <si>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</si>
  <si>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</si>
  <si>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</si>
  <si>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</si>
  <si>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</si>
  <si>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</si>
  <si>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</si>
  <si>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</si>
  <si>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</si>
  <si>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</si>
  <si>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</si>
  <si>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8" type="noConversion"/>
  </si>
  <si>
    <t>楼面单价（元/平方米）</t>
    <phoneticPr fontId="238" type="noConversion"/>
  </si>
  <si>
    <t>项目名称</t>
    <phoneticPr fontId="238" type="noConversion"/>
  </si>
  <si>
    <t>重置成新价</t>
    <phoneticPr fontId="23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</si>
  <si>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</si>
  <si>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</si>
  <si>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</si>
  <si>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</si>
  <si>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</si>
  <si>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</si>
  <si>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</si>
  <si>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</si>
  <si>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</si>
  <si>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</si>
  <si>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</si>
  <si>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</si>
  <si>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</si>
  <si>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</si>
  <si>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</si>
  <si>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</si>
  <si>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</si>
  <si>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</si>
  <si>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</si>
  <si>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</si>
  <si>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</si>
  <si>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</si>
  <si>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</si>
  <si>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</si>
  <si>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</si>
  <si>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</si>
  <si>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</si>
  <si>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</si>
  <si>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</si>
  <si>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</si>
  <si>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</si>
  <si>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</si>
  <si>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</si>
  <si>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</si>
  <si>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</si>
  <si>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</si>
  <si>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</si>
  <si>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</si>
  <si>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</si>
  <si>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</si>
  <si>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</si>
  <si>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</si>
  <si>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</si>
  <si>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</si>
  <si>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</si>
  <si>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</si>
  <si>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</si>
  <si>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</si>
  <si>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</si>
  <si>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</si>
  <si>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</si>
  <si>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</si>
  <si>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</si>
  <si>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</si>
  <si>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</si>
  <si>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</si>
  <si>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</si>
  <si>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</si>
  <si>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</si>
  <si>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</si>
  <si>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</si>
  <si>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</si>
  <si>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</si>
  <si>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</si>
  <si>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</si>
  <si>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</si>
  <si>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</si>
  <si>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</si>
  <si>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2017A-006</t>
    <phoneticPr fontId="142" type="noConversion"/>
  </si>
  <si>
    <t>总价</t>
  </si>
  <si>
    <t>万元</t>
  </si>
  <si>
    <t>汇总建筑面积</t>
  </si>
  <si>
    <t>楼面单价</t>
  </si>
  <si>
    <t>估价结果</t>
  </si>
  <si>
    <t>建筑面积</t>
  </si>
  <si>
    <t>基准地价（汇总）</t>
    <phoneticPr fontId="8" type="noConversion"/>
  </si>
  <si>
    <t>本次评估所采用的基准地价系数修正法</t>
    <phoneticPr fontId="238" type="noConversion"/>
  </si>
  <si>
    <t>基准地价</t>
  </si>
  <si>
    <t>土地面积</t>
    <phoneticPr fontId="238" type="noConversion"/>
  </si>
  <si>
    <t>单位面积地价</t>
    <phoneticPr fontId="238" type="noConversion"/>
  </si>
  <si>
    <t>汇总土地面积</t>
    <phoneticPr fontId="238"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</si>
  <si>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</si>
  <si>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</si>
  <si>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</si>
  <si>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</si>
  <si>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</si>
  <si>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</si>
  <si>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</si>
  <si>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</si>
  <si>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</si>
  <si>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</si>
  <si>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</si>
  <si>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</si>
  <si>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</si>
  <si>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</si>
  <si>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</si>
  <si>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8"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</si>
  <si>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</si>
  <si>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</si>
  <si>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</si>
  <si>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</si>
  <si>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</si>
  <si>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2018-2</t>
    <phoneticPr fontId="8" type="noConversion"/>
  </si>
  <si>
    <t>2018-1</t>
    <phoneticPr fontId="8" type="noConversion"/>
  </si>
  <si>
    <t>核定资产</t>
  </si>
  <si>
    <t>市场价格</t>
  </si>
  <si>
    <t>平房</t>
  </si>
  <si>
    <t>平房</t>
    <phoneticPr fontId="19" type="noConversion"/>
  </si>
  <si>
    <r>
      <t>2</t>
    </r>
    <r>
      <rPr>
        <sz val="11"/>
        <color theme="1"/>
        <rFont val="宋体"/>
        <family val="3"/>
        <charset val="134"/>
      </rPr>
      <t>层</t>
    </r>
    <phoneticPr fontId="19" type="noConversion"/>
  </si>
  <si>
    <r>
      <t>4</t>
    </r>
    <r>
      <rPr>
        <sz val="11"/>
        <color theme="1"/>
        <rFont val="宋体"/>
        <family val="3"/>
        <charset val="134"/>
      </rPr>
      <t>层</t>
    </r>
    <phoneticPr fontId="19" type="noConversion"/>
  </si>
  <si>
    <r>
      <t>5</t>
    </r>
    <r>
      <rPr>
        <sz val="11"/>
        <color theme="1"/>
        <rFont val="宋体"/>
        <family val="3"/>
        <charset val="134"/>
      </rPr>
      <t>层</t>
    </r>
    <phoneticPr fontId="19" type="noConversion"/>
  </si>
  <si>
    <r>
      <t>3</t>
    </r>
    <r>
      <rPr>
        <sz val="11"/>
        <color theme="1"/>
        <rFont val="宋体"/>
        <family val="3"/>
        <charset val="134"/>
      </rPr>
      <t>层</t>
    </r>
    <phoneticPr fontId="19" type="noConversion"/>
  </si>
  <si>
    <r>
      <t>6</t>
    </r>
    <r>
      <rPr>
        <sz val="11"/>
        <color theme="1"/>
        <rFont val="宋体"/>
        <family val="3"/>
        <charset val="134"/>
      </rPr>
      <t>层</t>
    </r>
    <phoneticPr fontId="19" type="noConversion"/>
  </si>
  <si>
    <t>地上</t>
  </si>
  <si>
    <t>2层</t>
  </si>
  <si>
    <t>3层</t>
  </si>
  <si>
    <t>4层</t>
  </si>
  <si>
    <t>5层</t>
  </si>
  <si>
    <t>6层</t>
  </si>
  <si>
    <t>地下</t>
  </si>
  <si>
    <t>戊类库房</t>
  </si>
  <si>
    <t>平房</t>
    <phoneticPr fontId="12" type="noConversion"/>
  </si>
  <si>
    <t>2层</t>
    <phoneticPr fontId="12" type="noConversion"/>
  </si>
  <si>
    <t>3层</t>
    <phoneticPr fontId="12" type="noConversion"/>
  </si>
  <si>
    <t>4层</t>
    <phoneticPr fontId="12" type="noConversion"/>
  </si>
  <si>
    <r>
      <t>5</t>
    </r>
    <r>
      <rPr>
        <sz val="11"/>
        <color indexed="8"/>
        <rFont val="宋体"/>
        <family val="3"/>
        <charset val="134"/>
      </rPr>
      <t>层</t>
    </r>
    <phoneticPr fontId="12" type="noConversion"/>
  </si>
  <si>
    <r>
      <t>6</t>
    </r>
    <r>
      <rPr>
        <sz val="11"/>
        <color indexed="8"/>
        <rFont val="宋体"/>
        <family val="3"/>
        <charset val="134"/>
      </rPr>
      <t>层</t>
    </r>
    <phoneticPr fontId="12" type="noConversion"/>
  </si>
  <si>
    <t>地下</t>
    <phoneticPr fontId="12" type="noConversion"/>
  </si>
  <si>
    <t>工业用地</t>
  </si>
  <si>
    <t>七通一平</t>
  </si>
  <si>
    <t>一致</t>
  </si>
  <si>
    <t>按公示增长率计算</t>
  </si>
  <si>
    <t>成新度</t>
  </si>
  <si>
    <t>出让</t>
  </si>
  <si>
    <t>容积率修正</t>
  </si>
  <si>
    <t>不动产收益法平</t>
  </si>
  <si>
    <t>不动产收益法平</t>
    <phoneticPr fontId="19" type="noConversion"/>
  </si>
  <si>
    <t>平</t>
    <phoneticPr fontId="8" type="noConversion"/>
  </si>
  <si>
    <r>
      <rPr>
        <sz val="11"/>
        <color theme="1"/>
        <rFont val="宋体"/>
        <family val="3"/>
        <charset val="134"/>
      </rPr>
      <t>不动产收益法</t>
    </r>
    <r>
      <rPr>
        <sz val="11"/>
        <color theme="1"/>
        <rFont val="Arial"/>
        <family val="2"/>
      </rPr>
      <t>2</t>
    </r>
    <phoneticPr fontId="19"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</si>
  <si>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</si>
  <si>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</si>
  <si>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</si>
  <si>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</si>
  <si>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</si>
  <si>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</si>
  <si>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</si>
  <si>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</si>
  <si>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</si>
  <si>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</si>
  <si>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</si>
  <si>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</si>
  <si>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2" type="noConversion"/>
  </si>
  <si>
    <r>
      <rPr>
        <b/>
        <sz val="12"/>
        <color theme="1"/>
        <rFont val="宋体"/>
        <family val="3"/>
        <charset val="134"/>
      </rPr>
      <t>树木种类</t>
    </r>
    <phoneticPr fontId="282" type="noConversion"/>
  </si>
  <si>
    <t>胸径（cm）</t>
    <phoneticPr fontId="282" type="noConversion"/>
  </si>
  <si>
    <t>单价（元）</t>
    <phoneticPr fontId="282" type="noConversion"/>
  </si>
  <si>
    <r>
      <rPr>
        <b/>
        <sz val="12"/>
        <color theme="1"/>
        <rFont val="宋体"/>
        <family val="3"/>
        <charset val="134"/>
      </rPr>
      <t>数量</t>
    </r>
    <phoneticPr fontId="282" type="noConversion"/>
  </si>
  <si>
    <t>总价（元）</t>
    <phoneticPr fontId="282" type="noConversion"/>
  </si>
  <si>
    <r>
      <t>20</t>
    </r>
    <r>
      <rPr>
        <sz val="12"/>
        <color theme="1"/>
        <rFont val="宋体"/>
        <family val="3"/>
        <charset val="134"/>
      </rPr>
      <t>以下</t>
    </r>
    <phoneticPr fontId="282" type="noConversion"/>
  </si>
  <si>
    <r>
      <rPr>
        <sz val="12"/>
        <color theme="1"/>
        <rFont val="宋体"/>
        <family val="3"/>
        <charset val="134"/>
      </rPr>
      <t>柏树</t>
    </r>
    <phoneticPr fontId="282" type="noConversion"/>
  </si>
  <si>
    <t>20-50</t>
    <phoneticPr fontId="282" type="noConversion"/>
  </si>
  <si>
    <r>
      <rPr>
        <sz val="12"/>
        <color theme="1"/>
        <rFont val="宋体"/>
        <family val="3"/>
        <charset val="134"/>
      </rPr>
      <t>椿树</t>
    </r>
    <phoneticPr fontId="282" type="noConversion"/>
  </si>
  <si>
    <r>
      <t>50</t>
    </r>
    <r>
      <rPr>
        <sz val="12"/>
        <color theme="1"/>
        <rFont val="宋体"/>
        <family val="3"/>
        <charset val="134"/>
      </rPr>
      <t>以上</t>
    </r>
    <phoneticPr fontId="282" type="noConversion"/>
  </si>
  <si>
    <r>
      <rPr>
        <sz val="12"/>
        <color theme="1"/>
        <rFont val="宋体"/>
        <family val="3"/>
        <charset val="134"/>
      </rPr>
      <t>海棠树</t>
    </r>
    <phoneticPr fontId="282" type="noConversion"/>
  </si>
  <si>
    <r>
      <rPr>
        <sz val="12"/>
        <color theme="1"/>
        <rFont val="宋体"/>
        <family val="3"/>
        <charset val="134"/>
      </rPr>
      <t>槐树</t>
    </r>
    <phoneticPr fontId="282" type="noConversion"/>
  </si>
  <si>
    <r>
      <rPr>
        <sz val="12"/>
        <color theme="1"/>
        <rFont val="宋体"/>
        <family val="3"/>
        <charset val="134"/>
      </rPr>
      <t>柳树</t>
    </r>
    <phoneticPr fontId="282" type="noConversion"/>
  </si>
  <si>
    <r>
      <rPr>
        <sz val="12"/>
        <color theme="1"/>
        <rFont val="宋体"/>
        <family val="3"/>
        <charset val="134"/>
      </rPr>
      <t>龙抓槐</t>
    </r>
    <phoneticPr fontId="282" type="noConversion"/>
  </si>
  <si>
    <r>
      <rPr>
        <sz val="12"/>
        <color theme="1"/>
        <rFont val="宋体"/>
        <family val="3"/>
        <charset val="134"/>
      </rPr>
      <t>桑树</t>
    </r>
    <phoneticPr fontId="282" type="noConversion"/>
  </si>
  <si>
    <r>
      <rPr>
        <sz val="12"/>
        <color theme="1"/>
        <rFont val="宋体"/>
        <family val="3"/>
        <charset val="134"/>
      </rPr>
      <t>山楂树</t>
    </r>
    <phoneticPr fontId="282" type="noConversion"/>
  </si>
  <si>
    <r>
      <rPr>
        <sz val="12"/>
        <color theme="1"/>
        <rFont val="宋体"/>
        <family val="3"/>
        <charset val="134"/>
      </rPr>
      <t>柿子树</t>
    </r>
    <phoneticPr fontId="282" type="noConversion"/>
  </si>
  <si>
    <r>
      <rPr>
        <sz val="12"/>
        <color theme="1"/>
        <rFont val="宋体"/>
        <family val="3"/>
        <charset val="134"/>
      </rPr>
      <t>松树</t>
    </r>
    <phoneticPr fontId="282" type="noConversion"/>
  </si>
  <si>
    <r>
      <rPr>
        <sz val="12"/>
        <color theme="1"/>
        <rFont val="宋体"/>
        <family val="3"/>
        <charset val="134"/>
      </rPr>
      <t>桃树</t>
    </r>
    <phoneticPr fontId="282" type="noConversion"/>
  </si>
  <si>
    <r>
      <rPr>
        <sz val="12"/>
        <color theme="1"/>
        <rFont val="宋体"/>
        <family val="3"/>
        <charset val="134"/>
      </rPr>
      <t>梧桐树</t>
    </r>
    <phoneticPr fontId="282" type="noConversion"/>
  </si>
  <si>
    <r>
      <rPr>
        <sz val="12"/>
        <color theme="1"/>
        <rFont val="宋体"/>
        <family val="3"/>
        <charset val="134"/>
      </rPr>
      <t>雪松</t>
    </r>
    <phoneticPr fontId="282" type="noConversion"/>
  </si>
  <si>
    <r>
      <rPr>
        <sz val="12"/>
        <color theme="1"/>
        <rFont val="宋体"/>
        <family val="3"/>
        <charset val="134"/>
      </rPr>
      <t>紫藤萝</t>
    </r>
    <phoneticPr fontId="282" type="noConversion"/>
  </si>
  <si>
    <r>
      <rPr>
        <sz val="12"/>
        <color theme="1"/>
        <rFont val="宋体"/>
        <family val="3"/>
        <charset val="134"/>
      </rPr>
      <t>蔟</t>
    </r>
    <phoneticPr fontId="282" type="noConversion"/>
  </si>
  <si>
    <r>
      <rPr>
        <sz val="12"/>
        <color theme="1"/>
        <rFont val="宋体"/>
        <family val="3"/>
        <charset val="134"/>
      </rPr>
      <t>小叶黄杨</t>
    </r>
    <phoneticPr fontId="282" type="noConversion"/>
  </si>
  <si>
    <r>
      <t>1m</t>
    </r>
    <r>
      <rPr>
        <sz val="12"/>
        <color theme="1"/>
        <rFont val="宋体"/>
        <family val="3"/>
        <charset val="134"/>
      </rPr>
      <t>圆</t>
    </r>
    <phoneticPr fontId="282" type="noConversion"/>
  </si>
  <si>
    <r>
      <t>100x1</t>
    </r>
    <r>
      <rPr>
        <sz val="12"/>
        <color theme="1"/>
        <rFont val="宋体"/>
        <family val="3"/>
        <charset val="134"/>
      </rPr>
      <t>㎡</t>
    </r>
    <phoneticPr fontId="282" type="noConversion"/>
  </si>
  <si>
    <r>
      <rPr>
        <sz val="12"/>
        <color theme="1"/>
        <rFont val="宋体"/>
        <family val="3"/>
        <charset val="134"/>
      </rPr>
      <t>杨树</t>
    </r>
    <phoneticPr fontId="282" type="noConversion"/>
  </si>
  <si>
    <r>
      <rPr>
        <sz val="12"/>
        <color theme="1"/>
        <rFont val="宋体"/>
        <family val="3"/>
        <charset val="134"/>
      </rPr>
      <t>银杏树</t>
    </r>
    <phoneticPr fontId="282" type="noConversion"/>
  </si>
  <si>
    <r>
      <rPr>
        <sz val="12"/>
        <color theme="1"/>
        <rFont val="宋体"/>
        <family val="3"/>
        <charset val="134"/>
      </rPr>
      <t>榆树</t>
    </r>
    <phoneticPr fontId="282" type="noConversion"/>
  </si>
  <si>
    <r>
      <rPr>
        <sz val="12"/>
        <color theme="1"/>
        <rFont val="宋体"/>
        <family val="3"/>
        <charset val="134"/>
      </rPr>
      <t>玉兰树</t>
    </r>
    <phoneticPr fontId="282" type="noConversion"/>
  </si>
  <si>
    <r>
      <rPr>
        <sz val="12"/>
        <color theme="1"/>
        <rFont val="宋体"/>
        <family val="3"/>
        <charset val="134"/>
      </rPr>
      <t>紫玉兰</t>
    </r>
    <phoneticPr fontId="282" type="noConversion"/>
  </si>
  <si>
    <t>01-04</t>
    <phoneticPr fontId="238" type="noConversion"/>
  </si>
  <si>
    <t>01-02</t>
    <phoneticPr fontId="238" type="noConversion"/>
  </si>
  <si>
    <t>01-05</t>
    <phoneticPr fontId="238" type="noConversion"/>
  </si>
  <si>
    <t>01-03</t>
    <phoneticPr fontId="238" type="noConversion"/>
  </si>
  <si>
    <t>01-06</t>
    <phoneticPr fontId="238"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</si>
  <si>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</si>
  <si>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</si>
  <si>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</si>
  <si>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8"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</si>
  <si>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</si>
  <si>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</si>
  <si>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8" type="noConversion"/>
  </si>
  <si>
    <r>
      <rPr>
        <sz val="11"/>
        <color theme="1"/>
        <rFont val="宋体"/>
        <family val="3"/>
        <charset val="134"/>
      </rPr>
      <t>平</t>
    </r>
    <phoneticPr fontId="238" type="noConversion"/>
  </si>
  <si>
    <r>
      <rPr>
        <sz val="11"/>
        <color theme="1"/>
        <rFont val="宋体"/>
        <family val="3"/>
        <charset val="134"/>
      </rPr>
      <t>砖木</t>
    </r>
    <phoneticPr fontId="238" type="noConversion"/>
  </si>
  <si>
    <r>
      <rPr>
        <sz val="11"/>
        <color theme="1"/>
        <rFont val="宋体"/>
        <family val="3"/>
        <charset val="134"/>
      </rPr>
      <t>钢混</t>
    </r>
    <phoneticPr fontId="238" type="noConversion"/>
  </si>
  <si>
    <r>
      <rPr>
        <sz val="11"/>
        <color theme="1"/>
        <rFont val="宋体"/>
        <family val="3"/>
        <charset val="134"/>
      </rPr>
      <t>地下室</t>
    </r>
    <phoneticPr fontId="238"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</si>
  <si>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</si>
  <si>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</si>
  <si>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</si>
  <si>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</si>
  <si>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</si>
  <si>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</si>
  <si>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</si>
  <si>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</si>
  <si>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</si>
  <si>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</si>
  <si>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8" type="noConversion"/>
  </si>
  <si>
    <t>办公楼</t>
    <phoneticPr fontId="238" type="noConversion"/>
  </si>
  <si>
    <t>食堂</t>
    <phoneticPr fontId="238" type="noConversion"/>
  </si>
  <si>
    <t>浴室</t>
    <phoneticPr fontId="238" type="noConversion"/>
  </si>
  <si>
    <t>宿舍楼</t>
    <phoneticPr fontId="238" type="noConversion"/>
  </si>
  <si>
    <t>仓库</t>
    <phoneticPr fontId="238" type="noConversion"/>
  </si>
  <si>
    <t>销售办公室</t>
    <phoneticPr fontId="238" type="noConversion"/>
  </si>
  <si>
    <t>小车库</t>
    <phoneticPr fontId="238" type="noConversion"/>
  </si>
  <si>
    <t>休息室</t>
    <phoneticPr fontId="238" type="noConversion"/>
  </si>
  <si>
    <r>
      <rPr>
        <sz val="11"/>
        <color theme="1"/>
        <rFont val="宋体"/>
        <family val="3"/>
        <charset val="134"/>
      </rPr>
      <t>包装</t>
    </r>
    <r>
      <rPr>
        <sz val="11"/>
        <color theme="1"/>
        <rFont val="Arial"/>
        <family val="2"/>
      </rPr>
      <t>+</t>
    </r>
    <r>
      <rPr>
        <sz val="11"/>
        <color theme="1"/>
        <rFont val="宋体"/>
        <family val="3"/>
        <charset val="134"/>
      </rPr>
      <t>酒库</t>
    </r>
    <phoneticPr fontId="238" type="noConversion"/>
  </si>
  <si>
    <t>大车库</t>
    <phoneticPr fontId="238" type="noConversion"/>
  </si>
  <si>
    <t>包材库</t>
    <phoneticPr fontId="238" type="noConversion"/>
  </si>
  <si>
    <t>叉车修理间</t>
    <phoneticPr fontId="238" type="noConversion"/>
  </si>
  <si>
    <t>水泵房</t>
    <phoneticPr fontId="238" type="noConversion"/>
  </si>
  <si>
    <t>配电室</t>
    <phoneticPr fontId="238" type="noConversion"/>
  </si>
  <si>
    <t>发芽</t>
    <phoneticPr fontId="238" type="noConversion"/>
  </si>
  <si>
    <t>空压冷冻</t>
    <phoneticPr fontId="238" type="noConversion"/>
  </si>
  <si>
    <t>加工间</t>
    <phoneticPr fontId="238" type="noConversion"/>
  </si>
  <si>
    <t>工程部</t>
    <phoneticPr fontId="238" type="noConversion"/>
  </si>
  <si>
    <t>卸麦间（铁路）</t>
    <phoneticPr fontId="238" type="noConversion"/>
  </si>
  <si>
    <t>化工库</t>
    <phoneticPr fontId="238" type="noConversion"/>
  </si>
  <si>
    <t>机修车间</t>
    <phoneticPr fontId="238" type="noConversion"/>
  </si>
  <si>
    <t>备件库</t>
    <phoneticPr fontId="238" type="noConversion"/>
  </si>
  <si>
    <t>锅炉房</t>
    <phoneticPr fontId="238" type="noConversion"/>
  </si>
  <si>
    <t>糖化</t>
    <phoneticPr fontId="238" type="noConversion"/>
  </si>
  <si>
    <t>单方重置现价（元）</t>
    <phoneticPr fontId="238" type="noConversion"/>
  </si>
  <si>
    <t>合计</t>
    <phoneticPr fontId="238" type="noConversion"/>
  </si>
  <si>
    <t>白皮松（松）</t>
    <phoneticPr fontId="282"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</si>
  <si>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8"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</si>
  <si>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8" type="noConversion"/>
  </si>
  <si>
    <t>用于生产经营的非住宅房屋的月租金</t>
    <phoneticPr fontId="238" type="noConversion"/>
  </si>
  <si>
    <t>合计</t>
    <phoneticPr fontId="238" type="noConversion"/>
  </si>
  <si>
    <t>合计（万元）</t>
    <phoneticPr fontId="238" type="noConversion"/>
  </si>
  <si>
    <t>天数（天）</t>
    <phoneticPr fontId="238" type="noConversion"/>
  </si>
  <si>
    <t>面积（平方米）</t>
    <phoneticPr fontId="238" type="noConversion"/>
  </si>
  <si>
    <t>日租金（元/平方米）</t>
    <phoneticPr fontId="238" type="noConversion"/>
  </si>
  <si>
    <r>
      <t>2</t>
    </r>
    <r>
      <rPr>
        <sz val="11"/>
        <color theme="1"/>
        <rFont val="宋体"/>
        <family val="3"/>
        <charset val="134"/>
        <scheme val="minor"/>
      </rPr>
      <t>017年净利润</t>
    </r>
    <phoneticPr fontId="238" type="noConversion"/>
  </si>
  <si>
    <t>月净利润</t>
    <phoneticPr fontId="238" type="noConversion"/>
  </si>
  <si>
    <t>年度</t>
    <phoneticPr fontId="238" type="noConversion"/>
  </si>
  <si>
    <t>月度</t>
    <phoneticPr fontId="238" type="noConversion"/>
  </si>
  <si>
    <t>——</t>
    <phoneticPr fontId="238" type="noConversion"/>
  </si>
  <si>
    <t>修正系数</t>
    <phoneticPr fontId="238" type="noConversion"/>
  </si>
  <si>
    <t>合计（万元）</t>
    <phoneticPr fontId="238" type="noConversion"/>
  </si>
  <si>
    <r>
      <t>前12个月</t>
    </r>
    <r>
      <rPr>
        <sz val="11"/>
        <color theme="1"/>
        <rFont val="宋体"/>
        <family val="3"/>
        <charset val="134"/>
        <scheme val="minor"/>
      </rPr>
      <t>平均净利润</t>
    </r>
    <phoneticPr fontId="238" type="noConversion"/>
  </si>
  <si>
    <t>员工月生活补助</t>
    <phoneticPr fontId="238" type="noConversion"/>
  </si>
  <si>
    <t>人数</t>
    <phoneticPr fontId="238" type="noConversion"/>
  </si>
  <si>
    <t>补偿金额(元/月）</t>
    <phoneticPr fontId="238" type="noConversion"/>
  </si>
  <si>
    <t>停产停业补偿期限</t>
    <phoneticPr fontId="238" type="noConversion"/>
  </si>
  <si>
    <t>期限（月）</t>
    <phoneticPr fontId="238" type="noConversion"/>
  </si>
  <si>
    <t>被征收房屋容积率小于0.5的修正</t>
    <phoneticPr fontId="238" type="noConversion"/>
  </si>
  <si>
    <t>搬迁费</t>
    <phoneticPr fontId="238" type="noConversion"/>
  </si>
  <si>
    <t>建筑面积</t>
    <phoneticPr fontId="238" type="noConversion"/>
  </si>
  <si>
    <t>补偿标准（元/平方米）</t>
    <phoneticPr fontId="238" type="noConversion"/>
  </si>
  <si>
    <t>合计（万元）</t>
    <phoneticPr fontId="238" type="noConversion"/>
  </si>
  <si>
    <t>征收补偿安置费</t>
  </si>
  <si>
    <t>停产停业补助费</t>
  </si>
  <si>
    <t>搬迁补助费</t>
  </si>
  <si>
    <t>评估结果一览表</t>
    <phoneticPr fontId="238" type="noConversion"/>
  </si>
  <si>
    <t>序号</t>
    <phoneticPr fontId="238" type="noConversion"/>
  </si>
  <si>
    <t>项目名称</t>
    <phoneticPr fontId="238" type="noConversion"/>
  </si>
  <si>
    <t>附属物</t>
    <phoneticPr fontId="238" type="noConversion"/>
  </si>
  <si>
    <t>建筑物</t>
    <phoneticPr fontId="238" type="noConversion"/>
  </si>
  <si>
    <t>价格（万元）</t>
    <phoneticPr fontId="238" type="noConversion"/>
  </si>
  <si>
    <t>合计</t>
    <phoneticPr fontId="238" type="noConversion"/>
  </si>
  <si>
    <t>项目名称</t>
    <phoneticPr fontId="238" type="noConversion"/>
  </si>
  <si>
    <t>规划用途</t>
    <phoneticPr fontId="238" type="noConversion"/>
  </si>
  <si>
    <t>市政条件</t>
    <phoneticPr fontId="238" type="noConversion"/>
  </si>
  <si>
    <t>卸煤间</t>
    <phoneticPr fontId="238" type="noConversion"/>
  </si>
  <si>
    <t>砖混</t>
    <phoneticPr fontId="238" type="noConversion"/>
  </si>
  <si>
    <t>1</t>
    <phoneticPr fontId="238" type="noConversion"/>
  </si>
  <si>
    <t>3</t>
    <phoneticPr fontId="238" type="noConversion"/>
  </si>
  <si>
    <t>框架</t>
    <phoneticPr fontId="238" type="noConversion"/>
  </si>
  <si>
    <t>营业室</t>
    <phoneticPr fontId="238" type="noConversion"/>
  </si>
  <si>
    <t>油库及附属设施</t>
    <phoneticPr fontId="238" type="noConversion"/>
  </si>
  <si>
    <t>钢架瓦楞铁</t>
    <phoneticPr fontId="238" type="noConversion"/>
  </si>
  <si>
    <t>合计</t>
    <phoneticPr fontId="238" type="noConversion"/>
  </si>
  <si>
    <t>污水处理厂</t>
    <phoneticPr fontId="238" type="noConversion"/>
  </si>
  <si>
    <t>砖混</t>
    <phoneticPr fontId="238" type="noConversion"/>
  </si>
  <si>
    <t>1</t>
    <phoneticPr fontId="238" type="noConversion"/>
  </si>
  <si>
    <t>地磅房（中衡）</t>
    <phoneticPr fontId="238" type="noConversion"/>
  </si>
  <si>
    <t>序号</t>
    <phoneticPr fontId="238" type="noConversion"/>
  </si>
  <si>
    <t>日期</t>
    <phoneticPr fontId="238" type="noConversion"/>
  </si>
  <si>
    <t>土地面积</t>
    <phoneticPr fontId="238" type="noConversion"/>
  </si>
  <si>
    <t>土地开发补偿费</t>
    <phoneticPr fontId="238" type="noConversion"/>
  </si>
  <si>
    <t>昌平区北七家镇[中心起步区（海鶄落新村建设）项目一期]HQL-02、04、07、08、12、13、14、16、17、18地块F1住宅混合公建、A33基础教育、U17邮政设施、R2二类居住、F81绿隔产业用地（配建“限价商品住房”）项目</t>
    <phoneticPr fontId="238" type="noConversion"/>
  </si>
  <si>
    <t>单价</t>
    <phoneticPr fontId="238" type="noConversion"/>
  </si>
  <si>
    <t>七通一平</t>
    <phoneticPr fontId="238" type="noConversion"/>
  </si>
  <si>
    <t>坐落</t>
    <phoneticPr fontId="238" type="noConversion"/>
  </si>
  <si>
    <t>翡翠家园</t>
    <phoneticPr fontId="238" type="noConversion"/>
  </si>
  <si>
    <t>国瑞熙墅</t>
    <phoneticPr fontId="238" type="noConversion"/>
  </si>
  <si>
    <t>国瑞熙院</t>
    <phoneticPr fontId="238" type="noConversion"/>
  </si>
  <si>
    <t>昌平区北七家镇GTZ-05-1、GTZ-07、GTZ-09地块（沟自头寸储备开发项目西侧地块）R2二类居住、A33基础教育、B4综合性商业金融服务业用地（配建“限价商品住房”）</t>
    <phoneticPr fontId="238" type="noConversion"/>
  </si>
  <si>
    <t>R2二类居住、B4综合性商业金融服务业用地</t>
    <phoneticPr fontId="238" type="noConversion"/>
  </si>
  <si>
    <t>R2二类居住、A33基础教育、B4综合性商业金融服务业用地</t>
    <phoneticPr fontId="238" type="noConversion"/>
  </si>
  <si>
    <t>F1住宅混合公建、R2二类居住、F81绿隔产业用地</t>
    <phoneticPr fontId="238" type="noConversion"/>
  </si>
  <si>
    <t>未来融尚家园</t>
    <phoneticPr fontId="238"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</si>
  <si>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8" type="noConversion"/>
  </si>
  <si>
    <t>昌平区北七家镇（未来科技城南区）CP07-0600-0049、0062地块F1住宅混合公建用地（配建“人才公共租赁住房”）</t>
    <phoneticPr fontId="238" type="noConversion"/>
  </si>
  <si>
    <t>F1住宅混合公建用地</t>
    <phoneticPr fontId="238" type="noConversion"/>
  </si>
  <si>
    <t>成本逼近法</t>
  </si>
  <si>
    <t>一般</t>
  </si>
  <si>
    <t>较好</t>
  </si>
  <si>
    <t>较差</t>
  </si>
  <si>
    <t>好</t>
  </si>
  <si>
    <t>土地使用权(出让）</t>
    <phoneticPr fontId="238" type="noConversion"/>
  </si>
  <si>
    <t>土地使用权(划拨）</t>
    <phoneticPr fontId="238" type="noConversion"/>
  </si>
  <si>
    <t>有规证</t>
    <phoneticPr fontId="238" type="noConversion"/>
  </si>
  <si>
    <t>01-02</t>
    <phoneticPr fontId="238" type="noConversion"/>
  </si>
  <si>
    <t>易拉罐暂存库</t>
    <phoneticPr fontId="238" type="noConversion"/>
  </si>
  <si>
    <t>彩钢</t>
    <phoneticPr fontId="238" type="noConversion"/>
  </si>
  <si>
    <t>1</t>
    <phoneticPr fontId="238" type="noConversion"/>
  </si>
  <si>
    <t>成品麦芽暂存库</t>
    <phoneticPr fontId="238" type="noConversion"/>
  </si>
  <si>
    <t>酒库大棚</t>
    <phoneticPr fontId="238" type="noConversion"/>
  </si>
  <si>
    <t>钢架</t>
    <phoneticPr fontId="238" type="noConversion"/>
  </si>
  <si>
    <t>1</t>
    <phoneticPr fontId="238" type="noConversion"/>
  </si>
  <si>
    <t>冷冻简易房</t>
    <phoneticPr fontId="238" type="noConversion"/>
  </si>
  <si>
    <t>彩钢</t>
    <phoneticPr fontId="238" type="noConversion"/>
  </si>
  <si>
    <t>易拉罐空罐库</t>
    <phoneticPr fontId="238" type="noConversion"/>
  </si>
  <si>
    <t>易拉罐杀菌机房</t>
    <phoneticPr fontId="238" type="noConversion"/>
  </si>
  <si>
    <t>洗瓶场（棚，未封）</t>
    <phoneticPr fontId="238" type="noConversion"/>
  </si>
  <si>
    <t>扎啤空桶库</t>
    <phoneticPr fontId="238" type="noConversion"/>
  </si>
  <si>
    <t>扎啤车间</t>
    <phoneticPr fontId="238" type="noConversion"/>
  </si>
  <si>
    <t>砖混</t>
    <phoneticPr fontId="238" type="noConversion"/>
  </si>
  <si>
    <t>扎啤成品库</t>
    <phoneticPr fontId="238" type="noConversion"/>
  </si>
  <si>
    <t>5升桶生产车间</t>
    <phoneticPr fontId="238" type="noConversion"/>
  </si>
  <si>
    <t>油库及附属设施</t>
    <phoneticPr fontId="238" type="noConversion"/>
  </si>
  <si>
    <t>销售办公房</t>
    <phoneticPr fontId="238" type="noConversion"/>
  </si>
  <si>
    <t>警队休息室</t>
    <phoneticPr fontId="238" type="noConversion"/>
  </si>
  <si>
    <t>绿化队休息室</t>
    <phoneticPr fontId="238" type="noConversion"/>
  </si>
  <si>
    <t>基建库房</t>
    <phoneticPr fontId="238" type="noConversion"/>
  </si>
  <si>
    <t>西门岗</t>
    <phoneticPr fontId="238" type="noConversion"/>
  </si>
  <si>
    <t>传达室</t>
    <phoneticPr fontId="238" type="noConversion"/>
  </si>
  <si>
    <t>自行车棚（内）</t>
    <phoneticPr fontId="238" type="noConversion"/>
  </si>
  <si>
    <t>扎啤临时库房</t>
    <phoneticPr fontId="238" type="noConversion"/>
  </si>
  <si>
    <t>包材库办公室</t>
    <phoneticPr fontId="238" type="noConversion"/>
  </si>
  <si>
    <t>酒糟干燥车间</t>
    <phoneticPr fontId="238" type="noConversion"/>
  </si>
  <si>
    <t>铁道值班室</t>
    <phoneticPr fontId="238" type="noConversion"/>
  </si>
  <si>
    <t>浴室旁地泵房东</t>
    <phoneticPr fontId="238" type="noConversion"/>
  </si>
  <si>
    <t>浴室旁地泵房西</t>
    <phoneticPr fontId="238" type="noConversion"/>
  </si>
  <si>
    <t>包装休息室</t>
    <phoneticPr fontId="238" type="noConversion"/>
  </si>
  <si>
    <t>硅土压力间</t>
    <phoneticPr fontId="238" type="noConversion"/>
  </si>
  <si>
    <t>销售办公室对面</t>
    <phoneticPr fontId="238" type="noConversion"/>
  </si>
  <si>
    <t>临建</t>
    <phoneticPr fontId="238" type="noConversion"/>
  </si>
  <si>
    <t>没证没规划</t>
    <phoneticPr fontId="238" type="noConversion"/>
  </si>
  <si>
    <t>建筑物（有房产证）</t>
    <phoneticPr fontId="238" type="noConversion"/>
  </si>
  <si>
    <t>建筑物（无房产证，有规证）</t>
    <phoneticPr fontId="238" type="noConversion"/>
  </si>
  <si>
    <t>建筑物（无房产证，无规证）</t>
    <phoneticPr fontId="238" type="noConversion"/>
  </si>
  <si>
    <t>划拨土地面积</t>
    <phoneticPr fontId="238" type="noConversion"/>
  </si>
  <si>
    <t>企业所得税</t>
    <phoneticPr fontId="238" type="noConversion"/>
  </si>
  <si>
    <t>1季度</t>
    <phoneticPr fontId="238" type="noConversion"/>
  </si>
  <si>
    <t>2季度</t>
    <phoneticPr fontId="238" type="noConversion"/>
  </si>
  <si>
    <t>3季度</t>
    <phoneticPr fontId="238" type="noConversion"/>
  </si>
  <si>
    <t>4季度</t>
    <phoneticPr fontId="238" type="noConversion"/>
  </si>
  <si>
    <t>——</t>
    <phoneticPr fontId="238" type="noConversion"/>
  </si>
  <si>
    <t>自定义容积率</t>
  </si>
  <si>
    <t>名称</t>
    <phoneticPr fontId="238" type="noConversion"/>
  </si>
  <si>
    <t>序号</t>
    <phoneticPr fontId="238" type="noConversion"/>
  </si>
  <si>
    <t>围墙（砖）</t>
    <phoneticPr fontId="238" type="noConversion"/>
  </si>
  <si>
    <t>单位</t>
    <phoneticPr fontId="238" type="noConversion"/>
  </si>
  <si>
    <t>米</t>
    <phoneticPr fontId="238" type="noConversion"/>
  </si>
  <si>
    <t>平方米</t>
    <phoneticPr fontId="238"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</si>
  <si>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</si>
  <si>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</si>
  <si>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8" type="noConversion"/>
  </si>
  <si>
    <r>
      <t>表</t>
    </r>
    <r>
      <rPr>
        <sz val="10"/>
        <rFont val="Times New Roman"/>
        <family val="1"/>
      </rPr>
      <t>4-6-3</t>
    </r>
    <phoneticPr fontId="8" type="noConversion"/>
  </si>
  <si>
    <t>金额单位：人民币元</t>
    <phoneticPr fontId="8" type="noConversion"/>
  </si>
  <si>
    <t>序号</t>
    <phoneticPr fontId="8" type="noConversion"/>
  </si>
  <si>
    <r>
      <t xml:space="preserve"> </t>
    </r>
    <r>
      <rPr>
        <sz val="10"/>
        <rFont val="宋体"/>
        <family val="3"/>
        <charset val="134"/>
      </rPr>
      <t>名称</t>
    </r>
    <phoneticPr fontId="8" type="noConversion"/>
  </si>
  <si>
    <t>使用单位</t>
    <phoneticPr fontId="8" type="noConversion"/>
  </si>
  <si>
    <t>对应房屋建筑物楼号或栋号</t>
    <phoneticPr fontId="282" type="noConversion"/>
  </si>
  <si>
    <r>
      <t xml:space="preserve">长度
</t>
    </r>
    <r>
      <rPr>
        <sz val="10"/>
        <rFont val="Times New Roman"/>
        <family val="1"/>
      </rPr>
      <t>(m)</t>
    </r>
    <phoneticPr fontId="8" type="noConversion"/>
  </si>
  <si>
    <r>
      <t xml:space="preserve">漕深
</t>
    </r>
    <r>
      <rPr>
        <sz val="10"/>
        <rFont val="Times New Roman"/>
        <family val="1"/>
      </rPr>
      <t>(m)</t>
    </r>
    <phoneticPr fontId="8"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</si>
  <si>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8" type="noConversion"/>
  </si>
  <si>
    <t>材质</t>
    <phoneticPr fontId="8" type="noConversion"/>
  </si>
  <si>
    <t>绝缘方式</t>
    <phoneticPr fontId="8" type="noConversion"/>
  </si>
  <si>
    <t>建成年月</t>
    <phoneticPr fontId="8" type="noConversion"/>
  </si>
  <si>
    <t>审计前账面值</t>
  </si>
  <si>
    <t>账面价值</t>
  </si>
  <si>
    <t>评估价值</t>
    <phoneticPr fontId="8" type="noConversion"/>
  </si>
  <si>
    <r>
      <t>增值率</t>
    </r>
    <r>
      <rPr>
        <sz val="10"/>
        <rFont val="Times New Roman"/>
        <family val="1"/>
      </rPr>
      <t>%</t>
    </r>
    <phoneticPr fontId="8" type="noConversion"/>
  </si>
  <si>
    <t>备注</t>
    <phoneticPr fontId="8" type="noConversion"/>
  </si>
  <si>
    <t>原值</t>
    <phoneticPr fontId="8" type="noConversion"/>
  </si>
  <si>
    <t>净值</t>
    <phoneticPr fontId="8" type="noConversion"/>
  </si>
  <si>
    <r>
      <t>成新率</t>
    </r>
    <r>
      <rPr>
        <sz val="10"/>
        <rFont val="Times New Roman"/>
        <family val="1"/>
      </rPr>
      <t>%</t>
    </r>
    <phoneticPr fontId="8" type="noConversion"/>
  </si>
  <si>
    <t>包装车间大瓶天窗通风</t>
  </si>
  <si>
    <t>包装部</t>
    <phoneticPr fontId="8" type="noConversion"/>
  </si>
  <si>
    <t>4#线车间钢窗改塑钢窗(311.43m2)</t>
  </si>
  <si>
    <t>框架结构</t>
  </si>
  <si>
    <t>4#天窗改造</t>
  </si>
  <si>
    <t>小瓶线地沟</t>
  </si>
  <si>
    <t>3#线车间钢窗改塑钢窗 (311.43m3)</t>
  </si>
  <si>
    <t>3#天窗改造</t>
  </si>
  <si>
    <t>清酒间墙面涂层(270m2)</t>
  </si>
  <si>
    <t>酿造部</t>
    <phoneticPr fontId="8" type="noConversion"/>
  </si>
  <si>
    <t>酒花库改造吊顶保温</t>
  </si>
  <si>
    <t>上水管 (3210m) 89</t>
  </si>
  <si>
    <t>公用工程</t>
    <phoneticPr fontId="8" type="noConversion"/>
  </si>
  <si>
    <t>铸铁管</t>
  </si>
  <si>
    <t>路 灯 (130个) 89</t>
  </si>
  <si>
    <t>暖气管 (10778m)</t>
  </si>
  <si>
    <t>砼</t>
  </si>
  <si>
    <t>污水管 (2917m)</t>
  </si>
  <si>
    <t>污水场进退管(880m)</t>
  </si>
  <si>
    <t>成品库屋面防水(6390m2)</t>
  </si>
  <si>
    <t>生产部</t>
    <phoneticPr fontId="8" type="noConversion"/>
  </si>
  <si>
    <t>西场地道路工程(588.4m2)</t>
  </si>
  <si>
    <t>甁箱车间</t>
    <phoneticPr fontId="8"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</si>
  <si>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</si>
  <si>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</si>
  <si>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</si>
  <si>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</si>
  <si>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</si>
  <si>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</si>
  <si>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</si>
  <si>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</si>
  <si>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</si>
  <si>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</si>
  <si>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</si>
  <si>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</si>
  <si>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</si>
  <si>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</si>
  <si>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</si>
  <si>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</si>
  <si>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</si>
  <si>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</si>
  <si>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</si>
  <si>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</si>
  <si>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</si>
  <si>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</si>
  <si>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</si>
  <si>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</si>
  <si>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8" type="noConversion"/>
  </si>
  <si>
    <t>营业室电缆改造</t>
  </si>
  <si>
    <t>食品中心大厅装饰</t>
  </si>
  <si>
    <t>风机房</t>
  </si>
  <si>
    <t>工程部</t>
    <phoneticPr fontId="8" type="noConversion"/>
  </si>
  <si>
    <t>中间池</t>
  </si>
  <si>
    <r>
      <t>（14*8.8*4.5）m</t>
    </r>
    <r>
      <rPr>
        <sz val="9"/>
        <rFont val="宋体"/>
        <family val="3"/>
        <charset val="134"/>
      </rPr>
      <t>3</t>
    </r>
    <phoneticPr fontId="8" type="noConversion"/>
  </si>
  <si>
    <t>调节池</t>
  </si>
  <si>
    <t>工程部</t>
    <phoneticPr fontId="8" type="noConversion"/>
  </si>
  <si>
    <r>
      <t>（18*35*4/2）m</t>
    </r>
    <r>
      <rPr>
        <sz val="9"/>
        <rFont val="宋体"/>
        <family val="3"/>
        <charset val="134"/>
      </rPr>
      <t>3</t>
    </r>
    <phoneticPr fontId="8" type="noConversion"/>
  </si>
  <si>
    <t>事故池</t>
  </si>
  <si>
    <r>
      <t>（20*10.9*4.5）m</t>
    </r>
    <r>
      <rPr>
        <sz val="9"/>
        <rFont val="宋体"/>
        <family val="3"/>
        <charset val="134"/>
      </rPr>
      <t>3</t>
    </r>
    <phoneticPr fontId="8" type="noConversion"/>
  </si>
  <si>
    <t>二沉池</t>
  </si>
  <si>
    <t>初沉池</t>
  </si>
  <si>
    <t>雨水井</t>
  </si>
  <si>
    <r>
      <t>（4*4*5）</t>
    </r>
    <r>
      <rPr>
        <sz val="9"/>
        <rFont val="宋体"/>
        <family val="3"/>
        <charset val="134"/>
      </rPr>
      <t>m3</t>
    </r>
    <phoneticPr fontId="8" type="noConversion"/>
  </si>
  <si>
    <t>营业室改造</t>
    <phoneticPr fontId="8" type="noConversion"/>
  </si>
  <si>
    <t>生产部</t>
    <phoneticPr fontId="8" type="noConversion"/>
  </si>
  <si>
    <t>3号线地面改造</t>
    <phoneticPr fontId="8" type="noConversion"/>
  </si>
  <si>
    <t>包装部</t>
    <phoneticPr fontId="8" type="noConversion"/>
  </si>
  <si>
    <t>宿舍楼暖气改造</t>
    <phoneticPr fontId="8" type="noConversion"/>
  </si>
  <si>
    <t>人行部</t>
    <phoneticPr fontId="8" type="noConversion"/>
  </si>
  <si>
    <t>宿舍水管改造</t>
    <phoneticPr fontId="8" type="noConversion"/>
  </si>
  <si>
    <t>食堂装修改造</t>
    <phoneticPr fontId="8" type="noConversion"/>
  </si>
  <si>
    <t xml:space="preserve"> 实验室装修</t>
  </si>
  <si>
    <t>品管部</t>
    <phoneticPr fontId="8" type="noConversion"/>
  </si>
  <si>
    <t>办公区外墙粉刷工程</t>
    <phoneticPr fontId="8" type="noConversion"/>
  </si>
  <si>
    <t>公用工程</t>
    <phoneticPr fontId="8" type="noConversion"/>
  </si>
  <si>
    <t>1,37,2</t>
    <phoneticPr fontId="282" type="noConversion"/>
  </si>
  <si>
    <t>包装车间屋面粉刷</t>
    <phoneticPr fontId="8" type="noConversion"/>
  </si>
  <si>
    <t>酿造罐区屋面粉刷</t>
    <phoneticPr fontId="8" type="noConversion"/>
  </si>
  <si>
    <t>酿造部</t>
    <phoneticPr fontId="8" type="noConversion"/>
  </si>
  <si>
    <t>3#4#线地沟地面改造</t>
  </si>
  <si>
    <t>生产区外墙粉刷</t>
    <phoneticPr fontId="8" type="noConversion"/>
  </si>
  <si>
    <t>17,36,21,20</t>
    <phoneticPr fontId="282" type="noConversion"/>
  </si>
  <si>
    <r>
      <rPr>
        <sz val="10"/>
        <rFont val="宋体"/>
        <family val="3"/>
        <charset val="134"/>
      </rPr>
      <t>合</t>
    </r>
    <r>
      <rPr>
        <sz val="10"/>
        <rFont val="Times New Roman"/>
        <family val="1"/>
      </rPr>
      <t xml:space="preserve">         </t>
    </r>
    <r>
      <rPr>
        <sz val="10"/>
        <rFont val="宋体"/>
        <family val="3"/>
        <charset val="134"/>
      </rPr>
      <t>计</t>
    </r>
    <phoneticPr fontId="8" type="noConversion"/>
  </si>
  <si>
    <t>减：减值准备</t>
    <phoneticPr fontId="8" type="noConversion"/>
  </si>
  <si>
    <r>
      <t>合</t>
    </r>
    <r>
      <rPr>
        <sz val="10"/>
        <rFont val="Times New Roman"/>
        <family val="1"/>
      </rPr>
      <t xml:space="preserve">            </t>
    </r>
    <r>
      <rPr>
        <sz val="10"/>
        <rFont val="宋体"/>
        <family val="3"/>
        <charset val="134"/>
      </rPr>
      <t>计</t>
    </r>
    <phoneticPr fontId="8" type="noConversion"/>
  </si>
  <si>
    <t>成新率</t>
    <phoneticPr fontId="238" type="noConversion"/>
  </si>
  <si>
    <t>分值</t>
    <phoneticPr fontId="238" type="noConversion"/>
  </si>
  <si>
    <t>分数</t>
    <phoneticPr fontId="238" type="noConversion"/>
  </si>
  <si>
    <t>炉渣地面（石灰焦渣）</t>
    <phoneticPr fontId="238" type="noConversion"/>
  </si>
  <si>
    <t>合计</t>
    <phoneticPr fontId="238" type="noConversion"/>
  </si>
  <si>
    <t>金额（万元）</t>
    <phoneticPr fontId="238" type="noConversion"/>
  </si>
  <si>
    <t>年度</t>
    <phoneticPr fontId="8" type="noConversion"/>
  </si>
  <si>
    <t>项目名称</t>
  </si>
  <si>
    <t>开发主体</t>
  </si>
  <si>
    <t>项目类型</t>
  </si>
  <si>
    <t>规划用途</t>
  </si>
  <si>
    <t>市政条件</t>
  </si>
  <si>
    <t>土地面积（公顷）</t>
    <phoneticPr fontId="282" type="noConversion"/>
  </si>
  <si>
    <t>建筑规模  （万平方米）</t>
  </si>
  <si>
    <t>土地开发成本总价（万元）</t>
    <phoneticPr fontId="8" type="noConversion"/>
  </si>
  <si>
    <t>土地开发成本构成情况</t>
    <phoneticPr fontId="8" type="noConversion"/>
  </si>
  <si>
    <t>项目整体</t>
    <phoneticPr fontId="282" type="noConversion"/>
  </si>
  <si>
    <t>土地取得费</t>
    <phoneticPr fontId="282" type="noConversion"/>
  </si>
  <si>
    <t>征地补偿及相关税费</t>
    <phoneticPr fontId="292" type="noConversion"/>
  </si>
  <si>
    <t>拆迁补偿及相关费用</t>
    <phoneticPr fontId="292" type="noConversion"/>
  </si>
  <si>
    <t>征地拆迁不可预见费</t>
    <phoneticPr fontId="292" type="noConversion"/>
  </si>
  <si>
    <t>回迁安置房成本</t>
  </si>
  <si>
    <t>征地补偿及相关税费地面单价（元/平方米）</t>
    <phoneticPr fontId="292" type="noConversion"/>
  </si>
  <si>
    <t>拆迁补偿及相关费用地面单价（元/平方米）</t>
    <phoneticPr fontId="292" type="noConversion"/>
  </si>
  <si>
    <t>总用地</t>
  </si>
  <si>
    <t>建设用地</t>
  </si>
  <si>
    <t>名称</t>
    <phoneticPr fontId="282" type="noConversion"/>
  </si>
  <si>
    <t>过会年度</t>
    <phoneticPr fontId="282" type="noConversion"/>
  </si>
  <si>
    <t>土地开发成本总价（万元）</t>
    <phoneticPr fontId="282" type="noConversion"/>
  </si>
  <si>
    <t>总成本地面单价（元/平方米）</t>
    <phoneticPr fontId="282" type="noConversion"/>
  </si>
  <si>
    <t>土地取得费【征地补偿及相关税费、拆迁补偿及相关费用】（万元）</t>
    <phoneticPr fontId="282" type="noConversion"/>
  </si>
  <si>
    <t>取得费地面单价（元/平方米）</t>
    <phoneticPr fontId="282" type="noConversion"/>
  </si>
  <si>
    <t>c</t>
    <phoneticPr fontId="238" type="noConversion"/>
  </si>
  <si>
    <t>亚林西居住区土地一级开发项目二期（地块7）</t>
    <phoneticPr fontId="8" type="noConversion"/>
  </si>
  <si>
    <t>北京市土地整理储备中心、北京市土地整理储备中心丰台区分中心</t>
    <phoneticPr fontId="8" type="noConversion"/>
  </si>
  <si>
    <t>一级开发</t>
    <phoneticPr fontId="8" type="noConversion"/>
  </si>
  <si>
    <t>住宅混合公建、商业金融、教育配套用地</t>
    <phoneticPr fontId="8" type="noConversion"/>
  </si>
  <si>
    <t>七通一平（通路、通上水（自来水、中水）、通下水（雨水、污水）、通电（仅含管沟）、通讯（电信）、通燃气、通热力），以上工作由北京京投新兴投资有限公司负责于二级竞得人竣工验收前完成。</t>
    <phoneticPr fontId="8"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</si>
  <si>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8" type="noConversion"/>
  </si>
  <si>
    <t>亚林西居住区土地一级开发项目</t>
    <phoneticPr fontId="282" type="noConversion"/>
  </si>
  <si>
    <t>2013年</t>
    <phoneticPr fontId="282"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</si>
  <si>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8" type="noConversion"/>
  </si>
  <si>
    <t>地铁九号线六里桥西站上盖土地一级开发项目</t>
    <phoneticPr fontId="8" type="noConversion"/>
  </si>
  <si>
    <t>北京市基础设施投资有限公司</t>
    <phoneticPr fontId="8" type="noConversion"/>
  </si>
  <si>
    <t>一级开发</t>
    <phoneticPr fontId="8" type="noConversion"/>
  </si>
  <si>
    <t>其他类多功能用地</t>
    <phoneticPr fontId="8" type="noConversion"/>
  </si>
  <si>
    <t>临时三通一平（通路、通临时用水、通临时用电），已全部完成。</t>
    <phoneticPr fontId="8"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</si>
  <si>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8" type="noConversion"/>
  </si>
  <si>
    <t>地铁九号线六里桥西站上盖土地一级开发项目</t>
    <phoneticPr fontId="282" type="noConversion"/>
  </si>
  <si>
    <t>2015年</t>
    <phoneticPr fontId="282" type="noConversion"/>
  </si>
  <si>
    <t>同前</t>
    <phoneticPr fontId="282" type="noConversion"/>
  </si>
  <si>
    <t>b</t>
    <phoneticPr fontId="238" type="noConversion"/>
  </si>
  <si>
    <t>城乡一体化槐房村和新宫村旧村改造项目3-6宗NY-35\NY-39\NY-49\NY-50\NY-53\NY-54\NY-55\NY-57\L-01</t>
    <phoneticPr fontId="8" type="noConversion"/>
  </si>
  <si>
    <t>北京中苑盛世投资管理公司</t>
    <phoneticPr fontId="8" type="noConversion"/>
  </si>
  <si>
    <t>一级开发</t>
    <phoneticPr fontId="8" type="noConversion"/>
  </si>
  <si>
    <t>R2\R5\C1\C3\C9</t>
    <phoneticPr fontId="8"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</si>
  <si>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8"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</si>
  <si>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8" type="noConversion"/>
  </si>
  <si>
    <t>丰台区城乡一体化槐房村和新宫村旧村改造项目</t>
    <phoneticPr fontId="282" type="noConversion"/>
  </si>
  <si>
    <t>2015年</t>
    <phoneticPr fontId="282" type="noConversion"/>
  </si>
  <si>
    <t>653.95（含代拆405.94）</t>
    <phoneticPr fontId="282" type="noConversion"/>
  </si>
  <si>
    <t>同前</t>
    <phoneticPr fontId="282" type="noConversion"/>
  </si>
  <si>
    <t>北京丽泽金融商务区南区土地一级开发项目D-01、02、07、08、16、17、18地块</t>
    <phoneticPr fontId="8" type="noConversion"/>
  </si>
  <si>
    <t>北京丽泽开发建设有限公司</t>
    <phoneticPr fontId="8" type="noConversion"/>
  </si>
  <si>
    <t>商业金融、F3多功能</t>
    <phoneticPr fontId="8" type="noConversion"/>
  </si>
  <si>
    <t xml:space="preserve">临时三通一平（通施工临时用水、通施工临时用电、通可供施工车辆通行的道路，场地基本平整），以上工作由北京丽泽开发建设有限公司负责于项目入市前完成。
</t>
    <phoneticPr fontId="8"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</si>
  <si>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8" type="noConversion"/>
  </si>
  <si>
    <t>北京丽泽金融商务区南区土地一级开发项目</t>
    <phoneticPr fontId="282" type="noConversion"/>
  </si>
  <si>
    <t>2016年</t>
  </si>
  <si>
    <t>丰台区青龙湖郊野休闲社区项目（二期）</t>
    <phoneticPr fontId="8" type="noConversion"/>
  </si>
  <si>
    <t>北京新鸿基盛城置业集团有限公司</t>
    <phoneticPr fontId="8" type="noConversion"/>
  </si>
  <si>
    <t>居住及配套设施用地、机构养老设施用地、商业用地</t>
    <phoneticPr fontId="8" type="noConversion"/>
  </si>
  <si>
    <t>七通一平（通路、通上水（自来水、中水）、通下水（雨水、污水）、通电（仅含管沟）、通讯（电信）、通燃气、通热力，场地基本平整），以上工作由北京新鸿基盛城置业集团有限公司负责于二级竣工验收前完成。</t>
    <phoneticPr fontId="8"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</si>
  <si>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8" type="noConversion"/>
  </si>
  <si>
    <t>丰台区青龙湖郊野休闲社区项目（二期）</t>
    <phoneticPr fontId="282" type="noConversion"/>
  </si>
  <si>
    <t>丰台区城乡一体化大红门旧村改造项目DHM-07、DHM-09地块</t>
    <phoneticPr fontId="8" type="noConversion"/>
  </si>
  <si>
    <t>北京市土地整理储备中心丰台区分中心</t>
    <phoneticPr fontId="8" type="noConversion"/>
  </si>
  <si>
    <t>F2公建混合住宅用地、F3其他类多功能用地</t>
    <phoneticPr fontId="8" type="noConversion"/>
  </si>
  <si>
    <t>市政建设程度为临时三通（通施工临时用水、通施工临时用电、通可供施工车辆通行的道路）和场地基本平整，以上由北京鑫红海房地产开发有限公司负责于土地入市前完成。</t>
    <phoneticPr fontId="8"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</si>
  <si>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8" type="noConversion"/>
  </si>
  <si>
    <t>丰台区城乡一体化大红门旧村改造项目</t>
    <phoneticPr fontId="282" type="noConversion"/>
  </si>
  <si>
    <t>234.67（含代拆53）</t>
    <phoneticPr fontId="282" type="noConversion"/>
  </si>
  <si>
    <t>a</t>
    <phoneticPr fontId="238" type="noConversion"/>
  </si>
  <si>
    <t>丰台区城乡一体化周庄子村旧村改造项目ZZZ-01、L03、L04、L05、12、26地块</t>
    <phoneticPr fontId="282" type="noConversion"/>
  </si>
  <si>
    <t xml:space="preserve">北京市土地整理储备中心丰台区分中心
</t>
    <phoneticPr fontId="8" type="noConversion"/>
  </si>
  <si>
    <t>居住、绿隔产业、文化娱乐、市政设施、教育用地等</t>
    <phoneticPr fontId="8" type="noConversion"/>
  </si>
  <si>
    <t>市政建设程度为临时三通（通施工临时用水、通施工临时用电、通可供施工车辆通行的道路）和场地基本平整，由北京庄兴房地产开发有限公司负责于土地入市前完成。</t>
    <phoneticPr fontId="8"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</si>
  <si>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8" type="noConversion"/>
  </si>
  <si>
    <t>丰台区城乡一体化周庄子村旧村改造项目</t>
    <phoneticPr fontId="282" type="noConversion"/>
  </si>
  <si>
    <t>附属物（树木）</t>
    <phoneticPr fontId="238"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</si>
  <si>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</si>
  <si>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</si>
  <si>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</si>
  <si>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</si>
  <si>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</si>
  <si>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</si>
  <si>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</si>
  <si>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</si>
  <si>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</si>
  <si>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</si>
  <si>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</si>
  <si>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</si>
  <si>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</si>
  <si>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</si>
  <si>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</si>
  <si>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</si>
  <si>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</si>
  <si>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</si>
  <si>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</si>
  <si>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</si>
  <si>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</si>
  <si>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</si>
  <si>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</si>
  <si>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</si>
  <si>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</si>
  <si>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8"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</si>
  <si>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8" type="noConversion"/>
  </si>
  <si>
    <t>五星青岛啤酒厂</t>
    <phoneticPr fontId="33" type="noConversion"/>
  </si>
  <si>
    <t>正常</t>
  </si>
  <si>
    <t>工业</t>
    <phoneticPr fontId="33" type="noConversion"/>
  </si>
  <si>
    <t>仓储</t>
  </si>
  <si>
    <t>仓储</t>
    <phoneticPr fontId="33" type="noConversion"/>
  </si>
  <si>
    <t>估价对象位于海淀区，区域工业成熟度一般，产业集聚程度一般</t>
    <phoneticPr fontId="8" type="noConversion"/>
  </si>
  <si>
    <t>估价对象所在区域公共配套设施齐备情况好</t>
    <phoneticPr fontId="8" type="noConversion"/>
  </si>
  <si>
    <t>七通</t>
  </si>
  <si>
    <t>七通</t>
    <phoneticPr fontId="8" type="noConversion"/>
  </si>
  <si>
    <t>该区域内没有污染型企业，绿化情况教好，卫生条件教好，整体环境状况较好</t>
    <phoneticPr fontId="8" type="noConversion"/>
  </si>
  <si>
    <t>三通</t>
    <phoneticPr fontId="33" type="noConversion"/>
  </si>
  <si>
    <t>七通</t>
    <phoneticPr fontId="33" type="noConversion"/>
  </si>
  <si>
    <t>多面临街</t>
  </si>
  <si>
    <t>城市支路</t>
    <phoneticPr fontId="26" type="noConversion"/>
  </si>
  <si>
    <t>六级</t>
    <phoneticPr fontId="26" type="noConversion"/>
  </si>
  <si>
    <t>城市快速路</t>
    <phoneticPr fontId="33" type="noConversion"/>
  </si>
  <si>
    <t>主</t>
    <phoneticPr fontId="33" type="noConversion"/>
  </si>
  <si>
    <t>次</t>
    <phoneticPr fontId="33" type="noConversion"/>
  </si>
  <si>
    <t>支</t>
  </si>
  <si>
    <t>支</t>
    <phoneticPr fontId="33" type="noConversion"/>
  </si>
  <si>
    <t>六级</t>
    <phoneticPr fontId="33" type="noConversion"/>
  </si>
  <si>
    <t>八级</t>
    <phoneticPr fontId="33" type="noConversion"/>
  </si>
  <si>
    <t>较规则</t>
  </si>
  <si>
    <t>较规则</t>
    <phoneticPr fontId="33" type="noConversion"/>
  </si>
  <si>
    <t>差</t>
  </si>
  <si>
    <t>六通</t>
    <phoneticPr fontId="33" type="noConversion"/>
  </si>
  <si>
    <t>五通</t>
    <phoneticPr fontId="33" type="noConversion"/>
  </si>
  <si>
    <t>四通</t>
    <phoneticPr fontId="33" type="noConversion"/>
  </si>
  <si>
    <t>自然平整</t>
  </si>
  <si>
    <t>自然平整</t>
    <phoneticPr fontId="33"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</si>
  <si>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</si>
  <si>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道路（沥青）</t>
    <phoneticPr fontId="238" type="noConversion"/>
  </si>
  <si>
    <t>平方米</t>
    <phoneticPr fontId="238" type="noConversion"/>
  </si>
  <si>
    <t>基准地价法</t>
    <phoneticPr fontId="238" type="noConversion"/>
  </si>
  <si>
    <t>成本法</t>
    <phoneticPr fontId="238" type="noConversion"/>
  </si>
  <si>
    <t>比较法</t>
    <phoneticPr fontId="238" type="noConversion"/>
  </si>
  <si>
    <t>出让</t>
    <phoneticPr fontId="238" type="noConversion"/>
  </si>
  <si>
    <t>划拨</t>
    <phoneticPr fontId="238" type="noConversion"/>
  </si>
  <si>
    <t>出让土地面积</t>
    <phoneticPr fontId="238" type="noConversion"/>
  </si>
  <si>
    <t>建面</t>
    <phoneticPr fontId="238" type="noConversion"/>
  </si>
  <si>
    <t>楼面单价</t>
    <phoneticPr fontId="238" type="noConversion"/>
  </si>
  <si>
    <t>地面单价</t>
    <phoneticPr fontId="238" type="noConversion"/>
  </si>
  <si>
    <t>总价（万元）</t>
    <phoneticPr fontId="238" type="noConversion"/>
  </si>
  <si>
    <t>附属物（院墙院地喷泉）</t>
    <phoneticPr fontId="238" type="noConversion"/>
  </si>
  <si>
    <t>海淀区西三旗建材城中路2号</t>
    <phoneticPr fontId="11" type="noConversion"/>
  </si>
  <si>
    <t>顺义区赵全营镇SY19-0107-0001至0003(即SY10-0107-6003)地块</t>
    <phoneticPr fontId="238" type="noConversion"/>
  </si>
  <si>
    <t>算数平均</t>
    <phoneticPr fontId="238" type="noConversion"/>
  </si>
  <si>
    <t xml:space="preserve">永丰产业基地（新）园区土地一级开发项目H地块
</t>
    <phoneticPr fontId="282" type="noConversion"/>
  </si>
  <si>
    <t>土地总面积（公顷）</t>
    <phoneticPr fontId="282" type="noConversion"/>
  </si>
  <si>
    <t>土地取得费地面单价（元）</t>
    <phoneticPr fontId="292" type="noConversion"/>
  </si>
  <si>
    <t>成交地面</t>
    <phoneticPr fontId="238" type="noConversion"/>
  </si>
  <si>
    <t>划拨</t>
    <phoneticPr fontId="238" type="noConversion"/>
  </si>
  <si>
    <t>部分收储面积</t>
    <phoneticPr fontId="238" type="noConversion"/>
  </si>
  <si>
    <t>比例</t>
    <phoneticPr fontId="238" type="noConversion"/>
  </si>
  <si>
    <t>整体</t>
    <phoneticPr fontId="238" type="noConversion"/>
  </si>
  <si>
    <t>市场比较法</t>
    <phoneticPr fontId="238" type="noConversion"/>
  </si>
  <si>
    <t>部分</t>
    <phoneticPr fontId="238" type="noConversion"/>
  </si>
  <si>
    <t>出让（整体）</t>
    <phoneticPr fontId="238" type="noConversion"/>
  </si>
  <si>
    <t>出让（部分）</t>
    <phoneticPr fontId="238" type="noConversion"/>
  </si>
  <si>
    <t>合计（整体）</t>
    <phoneticPr fontId="238" type="noConversion"/>
  </si>
  <si>
    <t>合计</t>
    <phoneticPr fontId="238" type="noConversion"/>
  </si>
  <si>
    <t>1-5月</t>
    <phoneticPr fontId="238" type="noConversion"/>
  </si>
  <si>
    <t>2018年1-5月净利润</t>
    <phoneticPr fontId="238" type="noConversion"/>
  </si>
  <si>
    <t>金龙喷泉</t>
    <phoneticPr fontId="238" type="noConversion"/>
  </si>
  <si>
    <t>个</t>
    <phoneticPr fontId="238" type="noConversion"/>
  </si>
  <si>
    <t>围栏</t>
    <phoneticPr fontId="238" type="noConversion"/>
  </si>
  <si>
    <t>米</t>
    <phoneticPr fontId="238" type="noConversion"/>
  </si>
  <si>
    <t>道路（混凝土）</t>
    <phoneticPr fontId="238" type="noConversion"/>
  </si>
  <si>
    <t>平方米</t>
    <phoneticPr fontId="238" type="noConversion"/>
  </si>
  <si>
    <t>树木</t>
    <phoneticPr fontId="238" type="noConversion"/>
  </si>
  <si>
    <t>棵</t>
    <phoneticPr fontId="238" type="noConversion"/>
  </si>
  <si>
    <t>数量</t>
    <phoneticPr fontId="238" type="noConversion"/>
  </si>
  <si>
    <t>基准地价修正系数法、成本法</t>
    <phoneticPr fontId="238" type="noConversion"/>
  </si>
  <si>
    <t>搬迁补偿费用</t>
    <phoneticPr fontId="238" type="noConversion"/>
  </si>
  <si>
    <t>土地收购补偿价格</t>
    <phoneticPr fontId="238" type="noConversion"/>
  </si>
  <si>
    <t>补偿价格参照《房地产估价规范》[GB/T 50291-2015]、《北京市房屋重置成新价评估技术标准》[北估秘（2016）001号]进行评估。</t>
    <phoneticPr fontId="238" type="noConversion"/>
  </si>
  <si>
    <t>补偿价格参照《北京市房屋重置成新价评估技术标准》[北估秘（2016）001号]进行评估。</t>
    <phoneticPr fontId="238" type="noConversion"/>
  </si>
  <si>
    <t>无法恢复使用的设施设备应为委托估价方或不动产权利人提供的全部设备资料清单，于估价期日的重置成新价格。</t>
    <phoneticPr fontId="238" type="noConversion"/>
  </si>
  <si>
    <t>【1】至【6】项之和</t>
    <phoneticPr fontId="238" type="noConversion"/>
  </si>
  <si>
    <t>补偿费用参照《关于国有土地上房屋征收与补偿中有关事项的通
知》[京建法（2012）19号]确定。非住宅按50元/建筑平方米搬迁、临时安置补偿费确定，需要搬迁重新安装的空调、电话移机费。</t>
    <phoneticPr fontId="23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</si>
  <si>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8" type="noConversion"/>
  </si>
  <si>
    <t>——</t>
    <phoneticPr fontId="238" type="noConversion"/>
  </si>
  <si>
    <t>合计</t>
    <phoneticPr fontId="238" type="noConversion"/>
  </si>
  <si>
    <t>序号</t>
    <phoneticPr fontId="238" type="noConversion"/>
  </si>
  <si>
    <t>项目</t>
    <phoneticPr fontId="238" type="noConversion"/>
  </si>
  <si>
    <t>备注</t>
    <phoneticPr fontId="238" type="noConversion"/>
  </si>
  <si>
    <t>基数</t>
    <phoneticPr fontId="238" type="noConversion"/>
  </si>
  <si>
    <t>建（构）筑物价格</t>
    <phoneticPr fontId="238" type="noConversion"/>
  </si>
  <si>
    <t>附属物价格</t>
    <phoneticPr fontId="238" type="noConversion"/>
  </si>
  <si>
    <t>无法恢复使用的设施设备补偿价</t>
    <phoneticPr fontId="238" type="noConversion"/>
  </si>
  <si>
    <t>因土地收购造成的停产停业损失补偿费用</t>
    <phoneticPr fontId="238" type="noConversion"/>
  </si>
  <si>
    <t>60473.5㎡</t>
    <phoneticPr fontId="238" type="noConversion"/>
  </si>
  <si>
    <t xml:space="preserve">永丰产业基地（新）园区土地一级开发项目G地块
</t>
    <phoneticPr fontId="282" type="noConversion"/>
  </si>
  <si>
    <t>安宁庄钢材市场及周边地区改造项目</t>
    <phoneticPr fontId="282" type="noConversion"/>
  </si>
  <si>
    <t>项目名称</t>
    <phoneticPr fontId="282" type="noConversion"/>
  </si>
  <si>
    <t>序号</t>
    <phoneticPr fontId="282" type="noConversion"/>
  </si>
  <si>
    <t>A</t>
    <phoneticPr fontId="282" type="noConversion"/>
  </si>
  <si>
    <t>B</t>
    <phoneticPr fontId="282" type="noConversion"/>
  </si>
  <si>
    <t>C</t>
    <phoneticPr fontId="282" type="noConversion"/>
  </si>
  <si>
    <t>土地取得费地面单价（元）</t>
    <phoneticPr fontId="292" type="noConversion"/>
  </si>
  <si>
    <t>序号</t>
    <phoneticPr fontId="238" type="noConversion"/>
  </si>
  <si>
    <t>项目名称</t>
    <phoneticPr fontId="238" type="noConversion"/>
  </si>
  <si>
    <t>土地总面积（公顷）</t>
    <phoneticPr fontId="238" type="noConversion"/>
  </si>
  <si>
    <t>土地取得费地面单价（元）</t>
    <phoneticPr fontId="238" type="noConversion"/>
  </si>
  <si>
    <t>安宁庄钢材市场及周边地区改造项目</t>
    <phoneticPr fontId="238"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</si>
  <si>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8"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</si>
  <si>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8"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</si>
  <si>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</si>
  <si>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</si>
  <si>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</si>
  <si>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</si>
  <si>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</si>
  <si>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</si>
  <si>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8" type="noConversion"/>
  </si>
  <si>
    <t>陈颖</t>
  </si>
  <si>
    <t>停产停业损失补偿费=（用于生产经营的非住宅房屋的月租金+月净利润×修正系数+员工月生活补助）×停产停业补偿期限</t>
    <phoneticPr fontId="238" type="noConversion"/>
  </si>
  <si>
    <t>1-1</t>
    <phoneticPr fontId="238" type="noConversion"/>
  </si>
  <si>
    <t>1-2</t>
    <phoneticPr fontId="238" type="noConversion"/>
  </si>
  <si>
    <t>土地使用权价格（出让）</t>
    <phoneticPr fontId="238" type="noConversion"/>
  </si>
  <si>
    <t>土地使用权价格（划拨）</t>
    <phoneticPr fontId="238" type="noConversion"/>
  </si>
  <si>
    <r>
      <t>182153.37</t>
    </r>
    <r>
      <rPr>
        <sz val="11"/>
        <color theme="1"/>
        <rFont val="宋体"/>
        <family val="3"/>
        <charset val="134"/>
      </rPr>
      <t>㎡</t>
    </r>
    <phoneticPr fontId="238" type="noConversion"/>
  </si>
  <si>
    <r>
      <t>10879.7</t>
    </r>
    <r>
      <rPr>
        <sz val="11"/>
        <color theme="1"/>
        <rFont val="宋体"/>
        <family val="3"/>
        <charset val="134"/>
      </rPr>
      <t>㎡</t>
    </r>
    <phoneticPr fontId="238"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</si>
  <si>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8"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</si>
  <si>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</si>
  <si>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</si>
  <si>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</si>
  <si>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</si>
  <si>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</si>
  <si>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</si>
  <si>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</si>
  <si>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</si>
  <si>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</si>
  <si>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</si>
  <si>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</si>
  <si>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</si>
  <si>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</si>
  <si>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8" type="noConversion"/>
  </si>
  <si>
    <t>总价（双合盛）</t>
    <phoneticPr fontId="238" type="noConversion"/>
  </si>
  <si>
    <t>——</t>
    <phoneticPr fontId="238" type="noConversion"/>
  </si>
  <si>
    <r>
      <t>62715.37</t>
    </r>
    <r>
      <rPr>
        <sz val="11"/>
        <color theme="1"/>
        <rFont val="宋体"/>
        <family val="3"/>
        <charset val="134"/>
      </rPr>
      <t>㎡</t>
    </r>
    <phoneticPr fontId="238" type="noConversion"/>
  </si>
  <si>
    <r>
      <t>193033.07</t>
    </r>
    <r>
      <rPr>
        <sz val="11"/>
        <color theme="1"/>
        <rFont val="宋体"/>
        <family val="3"/>
        <charset val="134"/>
      </rPr>
      <t>㎡</t>
    </r>
    <phoneticPr fontId="238" type="noConversion"/>
  </si>
  <si>
    <t>杨红英</t>
  </si>
  <si>
    <t>序号1</t>
  </si>
  <si>
    <t>年份</t>
  </si>
  <si>
    <t>期次</t>
  </si>
  <si>
    <t>序号2</t>
  </si>
  <si>
    <t>区县</t>
  </si>
  <si>
    <t>主要规划用途</t>
  </si>
  <si>
    <t>土地面积（公顷）</t>
  </si>
  <si>
    <t>土地开发成本   
（万元）</t>
  </si>
  <si>
    <t>土地开发成本构成情况</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</si>
  <si>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</si>
  <si>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</si>
  <si>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</si>
  <si>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</si>
  <si>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</si>
  <si>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</si>
  <si>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</si>
  <si>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</si>
  <si>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</si>
  <si>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</si>
  <si>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</si>
  <si>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</si>
  <si>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</si>
  <si>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</si>
  <si>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</si>
  <si>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</si>
  <si>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</si>
  <si>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</si>
  <si>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</si>
  <si>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</si>
  <si>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</si>
  <si>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</si>
  <si>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</si>
  <si>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</si>
  <si>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</si>
  <si>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</si>
  <si>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</si>
  <si>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</si>
  <si>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</si>
  <si>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</si>
  <si>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</si>
  <si>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</si>
  <si>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</si>
  <si>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本次审核地块部分征地未完成，待核发征地批复；拆迁已完成约95%。</t>
  </si>
  <si>
    <t>海淀区</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</si>
  <si>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</si>
  <si>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</si>
  <si>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</si>
  <si>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</si>
  <si>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</si>
  <si>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</si>
  <si>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</si>
  <si>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</si>
  <si>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</si>
  <si>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</si>
  <si>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</si>
  <si>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</si>
  <si>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</si>
  <si>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</si>
  <si>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</si>
  <si>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</si>
  <si>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</si>
  <si>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</si>
  <si>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</si>
  <si>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</si>
  <si>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</si>
  <si>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</si>
  <si>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</si>
  <si>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</si>
  <si>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</si>
  <si>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</si>
  <si>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</si>
  <si>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</si>
  <si>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</si>
  <si>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</si>
  <si>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</si>
  <si>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</si>
  <si>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</si>
  <si>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</si>
  <si>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</si>
  <si>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</si>
  <si>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</si>
  <si>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</si>
  <si>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</si>
  <si>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</si>
  <si>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</si>
  <si>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</si>
  <si>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</si>
  <si>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</si>
  <si>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</si>
  <si>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</si>
  <si>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</si>
  <si>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</si>
  <si>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</si>
  <si>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</si>
  <si>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</si>
  <si>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</si>
  <si>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</si>
  <si>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</si>
  <si>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</si>
  <si>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</si>
  <si>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</si>
  <si>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</si>
  <si>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</si>
  <si>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</si>
  <si>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</si>
  <si>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</si>
  <si>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</si>
  <si>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</si>
  <si>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</si>
  <si>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</si>
  <si>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</si>
  <si>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</si>
  <si>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</si>
  <si>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</si>
  <si>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</si>
  <si>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</si>
  <si>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</si>
  <si>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</si>
  <si>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</si>
  <si>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</si>
  <si>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</si>
  <si>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</si>
  <si>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38" type="noConversion"/>
  </si>
  <si>
    <t>征地补偿及相关税费</t>
    <phoneticPr fontId="238" type="noConversion"/>
  </si>
  <si>
    <t>拆迁补偿费及相关税费</t>
    <phoneticPr fontId="238" type="noConversion"/>
  </si>
  <si>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</si>
  <si>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</si>
  <si>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</si>
  <si>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</si>
  <si>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</si>
  <si>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</si>
  <si>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</si>
  <si>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</si>
  <si>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</si>
  <si>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</si>
  <si>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</si>
  <si>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</si>
  <si>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</si>
  <si>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</si>
  <si>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</si>
  <si>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</si>
  <si>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</si>
  <si>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</si>
  <si>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</si>
  <si>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</si>
  <si>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</si>
  <si>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</si>
  <si>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</si>
  <si>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</si>
  <si>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</si>
  <si>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</si>
  <si>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</si>
  <si>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</si>
  <si>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</si>
  <si>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</si>
  <si>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</si>
  <si>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</si>
  <si>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</si>
  <si>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</si>
  <si>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</si>
  <si>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</si>
  <si>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</si>
  <si>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</si>
  <si>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</si>
  <si>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</si>
  <si>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</si>
  <si>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</si>
  <si>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</si>
  <si>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</si>
  <si>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</si>
  <si>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</si>
  <si>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</si>
  <si>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</si>
  <si>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</si>
  <si>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</si>
  <si>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</si>
  <si>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</si>
  <si>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</si>
  <si>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</si>
  <si>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</si>
  <si>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</si>
  <si>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</si>
  <si>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</si>
  <si>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</si>
  <si>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</si>
  <si>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</si>
  <si>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</si>
  <si>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</si>
  <si>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</si>
  <si>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</si>
  <si>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</si>
  <si>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</si>
  <si>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</si>
  <si>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</si>
  <si>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</si>
  <si>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</si>
  <si>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</si>
  <si>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</si>
  <si>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</si>
  <si>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</si>
  <si>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</si>
  <si>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</si>
  <si>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</si>
  <si>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</si>
  <si>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</si>
  <si>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</si>
  <si>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</si>
  <si>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</si>
  <si>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</si>
  <si>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</si>
  <si>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</si>
  <si>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</si>
  <si>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</si>
  <si>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</si>
  <si>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</si>
  <si>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</si>
  <si>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</si>
  <si>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</si>
  <si>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</si>
  <si>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</si>
  <si>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</si>
  <si>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</si>
  <si>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</si>
  <si>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</si>
  <si>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</si>
  <si>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</si>
  <si>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</si>
  <si>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</si>
  <si>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</si>
  <si>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</si>
  <si>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</si>
  <si>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</si>
  <si>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朝阳</t>
  </si>
  <si>
    <t>朝阳区东坝边缘集团剩余可开发区域土地储备项目南区21-2、21-4、22-1、22-2、22-3、23-1地块</t>
  </si>
  <si>
    <t>商业金融用地
居住用地</t>
  </si>
  <si>
    <t>市政建设程度为项目红线范围内城市支路的五通（通路、通上水（自来水、中水）、通下水（雨水、污水）、通电（管沟）、通燃气）和场地自然平整，以上工作由北京市土地整理储备中心朝阳分中心负责于二级竣工验收前完成。</t>
  </si>
  <si>
    <t>一、经朝阳区政府审核，东坝边缘集团南区土地储备项目土地开发成本为2478806.09万元，其中，前期费用11200.37万元，征地补偿及相关税费416762.14万元，拆迁补偿费及相关税费1347794.55万元，市政基础设施建设费72520.80万元，其他费用6405.80万元，财务费用584752.45万元，管理费37093.67万元，审计费、委托入市交易费、地价评估费2276.31万元。
二、扣除已收回成本1051948.60万元，剩余土地开发成本1426857.49万元。
三、本次审核地块的总成本为1248192万元，其中，21-2地块成本为182822.14万元（其中，商业用地成本为179200万元，养老用地成本为3622.14万元）；21-4地块成本为256454.92万元（其中，居住用地成本254278.11万元，小学用地成本为2176.82万元）；22-1地块成本为58075.86万元；22-2地块成本为11670.65万元；22-3地块成本为409670.29万元；23-1地块成本为179498.14万元。</t>
  </si>
  <si>
    <t xml:space="preserve">本次审核地块已取得征地批复、征地结案，正在进行拆迁扫尾工作。
</t>
  </si>
  <si>
    <t>石景山区东下庄土地一级开发项目</t>
  </si>
  <si>
    <t>石景山区分中心</t>
  </si>
  <si>
    <t>市政建设程度为项目红线范围内城市支路的六通（通路、通上水（自来水、中水）、通下水（雨水、污水）、通电（管沟）、通燃气、通热力）和场地自然平整，以上工作由北京市土地整理储备中心石景山区分中心负责于二级竣工验收前完成。</t>
  </si>
  <si>
    <t xml:space="preserve">一、经石景山区政府审核，石景山东下庄土地一级开发项目土地开发成本为117979.22万元，其中，前期费用409.52万元，征地补偿及相关税费8,061.67万元，拆迁补偿费及相关税费72,243.68万元，市政基础设施建设费12,304.80万元，其他费用392.23万元，财务费用22,563.04万元，管理费1,868.24万元，审计费、委托入市交易费、地价评估费136.04万元。
二、扣除已收回成本0万元，本次审核的剩余地块土地开发总成本117979.228万元。
</t>
  </si>
  <si>
    <t>本次审核地块已取得征地批复、征地结案，拆迁工作已完成。</t>
  </si>
  <si>
    <t>朝阳区孙河乡土地储备项目U、V、M、T、O地块</t>
  </si>
  <si>
    <t>朝阳分中心</t>
  </si>
  <si>
    <t>居住用地、商业金融用地、住宅混合公建用地</t>
  </si>
  <si>
    <t>一、经朝阳区政府审核，孙河乡土地储备项目土地开发成本为3324636.13万元，其中，前期费用6918.00万元，征地补偿及相关税费484654.13万元，拆迁补偿费及相关税费1926717.74万元，市政基础设施建设费88568.04万元，其他费用4546.31万元，财务费用759996.78万元，管理费用50228.08万元，审计费、委托入市交易费、地价评估费3007.05万元。
二、扣除已收回成本1776969.40万元，剩余地块土地开发成本1547666.73 万元。
三、本次审核的U、V、M、T、O地块土地开发成本为1292358.35万元，其中，U地块土地开发成本为276408.20万元；V地块土地开发成本为462215.92万元；M地块土地开发成本为146750.00万元；T地块土地开发成本为203211.21万元，O地块土地开发成本为203773.02万元。</t>
  </si>
  <si>
    <t xml:space="preserve">本次审核地块已完成征地，剩余一个卫生站、少量线杆未拆除，其他拆迁工作已完成。
</t>
  </si>
  <si>
    <t>前期费用</t>
    <phoneticPr fontId="238" type="noConversion"/>
  </si>
  <si>
    <t>市政基础设施建设费</t>
    <phoneticPr fontId="238" type="noConversion"/>
  </si>
  <si>
    <t>其他费用</t>
    <phoneticPr fontId="238" type="noConversion"/>
  </si>
  <si>
    <t>财务费用</t>
    <phoneticPr fontId="238" type="noConversion"/>
  </si>
  <si>
    <t>审计费、委托入市交易费、地价评估费</t>
    <phoneticPr fontId="238" type="noConversion"/>
  </si>
  <si>
    <t>两税两费</t>
    <phoneticPr fontId="238" type="noConversion"/>
  </si>
  <si>
    <t>征地+拆迁</t>
    <phoneticPr fontId="238" type="noConversion"/>
  </si>
  <si>
    <t>管理费/利润</t>
    <phoneticPr fontId="238" type="noConversion"/>
  </si>
  <si>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38" type="noConversion"/>
  </si>
  <si>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38" type="noConversion"/>
  </si>
  <si>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38" type="noConversion"/>
  </si>
  <si>
    <t>海淀区四季青镇中坞重点村资金平衡用地土地一级开发项目</t>
    <phoneticPr fontId="238" type="noConversion"/>
  </si>
  <si>
    <t>首钢</t>
    <phoneticPr fontId="238" type="noConversion"/>
  </si>
  <si>
    <t>中坞村</t>
    <phoneticPr fontId="238" type="noConversion"/>
  </si>
  <si>
    <t>刘娘府</t>
    <phoneticPr fontId="238" type="noConversion"/>
  </si>
  <si>
    <t>中关村</t>
    <phoneticPr fontId="238" type="noConversion"/>
  </si>
  <si>
    <t>豆各庄</t>
    <phoneticPr fontId="238" type="noConversion"/>
  </si>
  <si>
    <t>青龙湖</t>
    <phoneticPr fontId="238" type="noConversion"/>
  </si>
  <si>
    <t>万泉寺</t>
    <phoneticPr fontId="238" type="noConversion"/>
  </si>
  <si>
    <t>周庄子</t>
    <phoneticPr fontId="238" type="noConversion"/>
  </si>
  <si>
    <t>石景山区</t>
    <phoneticPr fontId="238" type="noConversion"/>
  </si>
  <si>
    <t>朝阳区</t>
    <phoneticPr fontId="238" type="noConversion"/>
  </si>
  <si>
    <t>丰台区</t>
    <phoneticPr fontId="238" type="noConversion"/>
  </si>
  <si>
    <t>四季青镇中坞重点村资金平衡用地土地一级开发项目</t>
    <phoneticPr fontId="238" type="noConversion"/>
  </si>
  <si>
    <t>石景山区刘娘府综合改造项目1604-663等地块</t>
    <phoneticPr fontId="238" type="noConversion"/>
  </si>
  <si>
    <t>石景山区中关村科技园石景山园北Ⅱ区西井地块土地一级开发项目1606-605、1606-034地块</t>
    <phoneticPr fontId="238" type="noConversion"/>
  </si>
  <si>
    <t>刘娘府综合改造项目1604-663等地块</t>
    <phoneticPr fontId="238" type="noConversion"/>
  </si>
  <si>
    <t>中关村科技园石景山园北Ⅱ区西井地块土地一级开发项目1606-605、1606-034地块</t>
    <phoneticPr fontId="238" type="noConversion"/>
  </si>
  <si>
    <t xml:space="preserve">朝阳区豆各庄乡剩余土地储备项目1306-638等地块（DE、A及H地块） </t>
    <phoneticPr fontId="238" type="noConversion"/>
  </si>
  <si>
    <t xml:space="preserve">豆各庄乡剩余土地储备项目1306-638等地块（DE、A及H地块） </t>
    <phoneticPr fontId="238" type="noConversion"/>
  </si>
  <si>
    <t>丰台区万泉寺住宅小区土地一级开发项目A地块</t>
    <phoneticPr fontId="238" type="noConversion"/>
  </si>
  <si>
    <t>万泉寺住宅小区土地一级开发项目A地块</t>
    <phoneticPr fontId="238" type="noConversion"/>
  </si>
  <si>
    <t xml:space="preserve">丰台区城乡一体化周庄子村旧村改造项目二期（ZZZ-06等地块） </t>
    <phoneticPr fontId="238" type="noConversion"/>
  </si>
  <si>
    <t xml:space="preserve">城乡一体化周庄子村旧村改造项目二期（ZZZ-06等地块） </t>
    <phoneticPr fontId="238" type="noConversion"/>
  </si>
  <si>
    <t>五通一平</t>
    <phoneticPr fontId="238" type="noConversion"/>
  </si>
  <si>
    <t>六通一平</t>
    <phoneticPr fontId="238" type="noConversion"/>
  </si>
  <si>
    <t>平均价格</t>
    <phoneticPr fontId="238" type="noConversion"/>
  </si>
  <si>
    <r>
      <rPr>
        <sz val="12"/>
        <color rgb="FF000000"/>
        <rFont val="仿宋_GB2312"/>
        <family val="3"/>
        <charset val="134"/>
      </rPr>
      <t>年度</t>
    </r>
    <phoneticPr fontId="238" type="noConversion"/>
  </si>
  <si>
    <r>
      <rPr>
        <sz val="12"/>
        <color rgb="FF000000"/>
        <rFont val="仿宋_GB2312"/>
        <family val="3"/>
        <charset val="134"/>
      </rPr>
      <t>期次</t>
    </r>
    <phoneticPr fontId="238" type="noConversion"/>
  </si>
  <si>
    <r>
      <rPr>
        <sz val="12"/>
        <color rgb="FF000000"/>
        <rFont val="仿宋_GB2312"/>
        <family val="3"/>
        <charset val="134"/>
      </rPr>
      <t>单位面积成本（元</t>
    </r>
    <r>
      <rPr>
        <sz val="12"/>
        <color rgb="FF000000"/>
        <rFont val="Arial"/>
        <family val="2"/>
      </rPr>
      <t>/</t>
    </r>
    <r>
      <rPr>
        <sz val="12"/>
        <color rgb="FF000000"/>
        <rFont val="仿宋_GB2312"/>
        <family val="3"/>
        <charset val="134"/>
      </rPr>
      <t>㎡）</t>
    </r>
    <phoneticPr fontId="238" type="noConversion"/>
  </si>
  <si>
    <r>
      <rPr>
        <sz val="12"/>
        <color theme="1"/>
        <rFont val="仿宋_GB2312"/>
        <family val="3"/>
        <charset val="134"/>
      </rPr>
      <t>序号</t>
    </r>
    <phoneticPr fontId="238" type="noConversion"/>
  </si>
  <si>
    <r>
      <rPr>
        <sz val="12"/>
        <color rgb="FF000000"/>
        <rFont val="仿宋_GB2312"/>
        <family val="3"/>
        <charset val="134"/>
      </rPr>
      <t>区县</t>
    </r>
    <phoneticPr fontId="238" type="noConversion"/>
  </si>
  <si>
    <r>
      <rPr>
        <sz val="12"/>
        <color rgb="FF000000"/>
        <rFont val="仿宋_GB2312"/>
        <family val="3"/>
        <charset val="134"/>
      </rPr>
      <t>项目名称</t>
    </r>
    <phoneticPr fontId="238" type="noConversion"/>
  </si>
  <si>
    <r>
      <rPr>
        <sz val="12"/>
        <color rgb="FF000000"/>
        <rFont val="仿宋_GB2312"/>
        <family val="3"/>
        <charset val="134"/>
      </rPr>
      <t>市政条件</t>
    </r>
    <phoneticPr fontId="238" type="noConversion"/>
  </si>
  <si>
    <t>年度</t>
  </si>
  <si>
    <t>月份</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</si>
  <si>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</si>
  <si>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</si>
  <si>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</si>
  <si>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</si>
  <si>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</si>
  <si>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东坝南区土地一级开发项目21-2、21-4、22-3、23-1、22-1、22-2地块</t>
  </si>
  <si>
    <t>东至首都机场第二通道、西至东五环、南至姚家园路、北至坝河。项目拆迁范围涉及七棵树村、东风村、驹子房村、单店村、三岔河村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</si>
  <si>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</si>
  <si>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</si>
  <si>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</si>
  <si>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东下庄土地一级开发项目</t>
  </si>
  <si>
    <t>东至规划东下庄北路，西至八大处路，南至规划疗养院北路，北至规划东下庄北路</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</si>
  <si>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</si>
  <si>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序号</t>
    <phoneticPr fontId="238" type="noConversion"/>
  </si>
  <si>
    <t>权利人</t>
  </si>
  <si>
    <t>土地用途</t>
  </si>
  <si>
    <t>土地性质</t>
  </si>
  <si>
    <t>时间</t>
  </si>
  <si>
    <t>土地面积（平方米）</t>
  </si>
  <si>
    <t>收购补偿价格</t>
    <phoneticPr fontId="238" type="noConversion"/>
  </si>
  <si>
    <t>土地使用权总价（万元）</t>
    <phoneticPr fontId="238" type="noConversion"/>
  </si>
  <si>
    <t>土地使用权单价（元/平方米）</t>
    <phoneticPr fontId="238" type="noConversion"/>
  </si>
  <si>
    <t>土地性质修正</t>
    <phoneticPr fontId="238" type="noConversion"/>
  </si>
  <si>
    <t>剩余土地使用年限</t>
    <phoneticPr fontId="238" type="noConversion"/>
  </si>
  <si>
    <t>土地年期修正</t>
    <phoneticPr fontId="238" type="noConversion"/>
  </si>
  <si>
    <t>修正后价格</t>
    <phoneticPr fontId="238" type="noConversion"/>
  </si>
  <si>
    <t>北京市朝阳区广渠路36号地块(原北京吉普车厂项目)剩余用地</t>
    <phoneticPr fontId="238" type="noConversion"/>
  </si>
  <si>
    <t>——</t>
    <phoneticPr fontId="238" type="noConversion"/>
  </si>
  <si>
    <t>工业</t>
    <phoneticPr fontId="238" type="noConversion"/>
  </si>
  <si>
    <t>市中心</t>
    <phoneticPr fontId="238" type="noConversion"/>
  </si>
  <si>
    <t>北京市海淀区西三旗建材城</t>
    <phoneticPr fontId="238" type="noConversion"/>
  </si>
  <si>
    <t>北京西三旗高新建材城经营开发有限公司</t>
    <phoneticPr fontId="238" type="noConversion"/>
  </si>
  <si>
    <t>住宅</t>
    <phoneticPr fontId="238" type="noConversion"/>
  </si>
  <si>
    <t>评估报告，无地上物，海淀</t>
    <phoneticPr fontId="238" type="noConversion"/>
  </si>
  <si>
    <t>北京市朝阳区化工路5号</t>
    <phoneticPr fontId="238" type="noConversion"/>
  </si>
  <si>
    <t>兆峰陶瓷（北京）洁具有限公司</t>
  </si>
  <si>
    <t>评估报告</t>
    <phoneticPr fontId="238" type="noConversion"/>
  </si>
  <si>
    <t>北京市海淀区兴安工业公司</t>
  </si>
  <si>
    <t>海淀</t>
    <phoneticPr fontId="238" type="noConversion"/>
  </si>
  <si>
    <t>商业服务业</t>
  </si>
  <si>
    <t>西三旗中路</t>
  </si>
  <si>
    <t>——</t>
    <phoneticPr fontId="23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</si>
  <si>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</si>
  <si>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t>案例A名称</t>
    <phoneticPr fontId="8" type="noConversion"/>
  </si>
  <si>
    <t>安宁庄钢材市场及周边地区改造收储项目</t>
    <phoneticPr fontId="238" type="noConversion"/>
  </si>
  <si>
    <r>
      <t>1吨</t>
    </r>
    <r>
      <rPr>
        <sz val="11"/>
        <color theme="1"/>
        <rFont val="宋体"/>
        <family val="3"/>
        <charset val="134"/>
        <scheme val="minor"/>
      </rPr>
      <t>=1000公斤</t>
    </r>
    <phoneticPr fontId="238" type="noConversion"/>
  </si>
  <si>
    <t>双合盛</t>
    <phoneticPr fontId="238" type="noConversion"/>
  </si>
  <si>
    <t>总</t>
    <phoneticPr fontId="238" type="noConversion"/>
  </si>
  <si>
    <t>五星</t>
    <phoneticPr fontId="238" type="noConversion"/>
  </si>
  <si>
    <t>重量（kg/延米）</t>
    <phoneticPr fontId="238" type="noConversion"/>
  </si>
  <si>
    <t>单价（元/吨）</t>
    <phoneticPr fontId="238" type="noConversion"/>
  </si>
  <si>
    <t>总价（元）</t>
    <phoneticPr fontId="238" type="noConversion"/>
  </si>
  <si>
    <t>工业</t>
    <phoneticPr fontId="238" type="noConversion"/>
  </si>
  <si>
    <t>出让</t>
    <phoneticPr fontId="238" type="noConversion"/>
  </si>
  <si>
    <t>——</t>
    <phoneticPr fontId="238" type="noConversion"/>
  </si>
  <si>
    <t>A</t>
    <phoneticPr fontId="238" type="noConversion"/>
  </si>
  <si>
    <t>B</t>
    <phoneticPr fontId="238" type="noConversion"/>
  </si>
  <si>
    <t>C</t>
    <phoneticPr fontId="238" type="noConversion"/>
  </si>
  <si>
    <t>D</t>
    <phoneticPr fontId="238" type="noConversion"/>
  </si>
  <si>
    <t>E</t>
    <phoneticPr fontId="238" type="noConversion"/>
  </si>
  <si>
    <t>北京市海淀区西三旗建材城中路18号院(养鸡场)国有建设用地使用权收购
补偿项目</t>
    <phoneticPr fontId="238" type="noConversion"/>
  </si>
  <si>
    <t>比较法-工业</t>
  </si>
  <si>
    <t>较不规则</t>
    <phoneticPr fontId="33" type="noConversion"/>
  </si>
  <si>
    <t>铁路</t>
    <phoneticPr fontId="238" type="noConversion"/>
  </si>
  <si>
    <t>期日修正</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</si>
</sst>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 numFmtId="198" formatCode="0.00_);\(0.00\)"/>
  </numFmts>
  <fonts count="313">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theme="1"/>
      <name val="宋体"/>
      <family val="3"/>
      <charset val="134"/>
      <scheme val="minor"/>
    </font>
    <font>
      <sz val="11"/>
      <color rgb="FF000000"/>
      <name val="Times New Roman"/>
      <family val="1"/>
    </font>
    <font>
      <sz val="12"/>
      <color rgb="FF000000"/>
      <name val="仿宋_GB2312"/>
      <family val="3"/>
      <charset val="134"/>
    </font>
    <font>
      <b/>
      <vertAlign val="superscript"/>
      <sz val="9"/>
      <name val="宋体"/>
      <family val="3"/>
      <charset val="134"/>
    </font>
    <font>
      <sz val="11"/>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7">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6" fillId="0" borderId="0"/>
    <xf numFmtId="0" fontId="5" fillId="0" borderId="0">
      <alignment vertical="center"/>
    </xf>
    <xf numFmtId="0" fontId="285" fillId="0" borderId="0" applyNumberFormat="0" applyFill="0" applyBorder="0" applyAlignment="0" applyProtection="0">
      <alignment vertical="center"/>
    </xf>
    <xf numFmtId="0" fontId="4" fillId="0" borderId="0">
      <alignment vertical="center"/>
    </xf>
    <xf numFmtId="0" fontId="286" fillId="0" borderId="0" applyNumberFormat="0" applyFill="0" applyBorder="0" applyAlignment="0" applyProtection="0">
      <alignment vertical="top"/>
      <protection locked="0"/>
    </xf>
    <xf numFmtId="0" fontId="3" fillId="0" borderId="0">
      <alignment vertical="center"/>
    </xf>
    <xf numFmtId="0" fontId="290" fillId="0" borderId="0"/>
    <xf numFmtId="0" fontId="290" fillId="0" borderId="0"/>
    <xf numFmtId="0" fontId="37" fillId="0" borderId="0">
      <alignment vertical="center"/>
    </xf>
    <xf numFmtId="0" fontId="300" fillId="0" borderId="0" applyNumberFormat="0" applyFill="0" applyBorder="0" applyAlignment="0" applyProtection="0"/>
    <xf numFmtId="0" fontId="239" fillId="0" borderId="0" applyNumberFormat="0" applyFill="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43" fontId="308" fillId="0" borderId="0" applyFont="0" applyFill="0" applyBorder="0" applyAlignment="0" applyProtection="0">
      <alignment vertical="center"/>
    </xf>
    <xf numFmtId="0" fontId="86" fillId="0" borderId="0">
      <alignment vertical="center"/>
    </xf>
    <xf numFmtId="0" fontId="2" fillId="0" borderId="0"/>
    <xf numFmtId="9" fontId="312" fillId="0" borderId="0" applyFont="0" applyFill="0" applyBorder="0" applyAlignment="0" applyProtection="0">
      <alignment vertical="center"/>
    </xf>
  </cellStyleXfs>
  <cellXfs count="4124">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91" fillId="0" borderId="44" xfId="3" applyFont="1" applyFill="1" applyBorder="1" applyAlignment="1" applyProtection="1">
      <alignment horizontal="center" vertical="center" wrapText="1"/>
      <protection locked="0"/>
    </xf>
    <xf numFmtId="0" fontId="91" fillId="0" borderId="46" xfId="3" applyFont="1" applyFill="1" applyBorder="1" applyAlignment="1" applyProtection="1">
      <alignment horizontal="center" vertical="center" wrapText="1"/>
      <protection locked="0"/>
    </xf>
    <xf numFmtId="0" fontId="100" fillId="5" borderId="6"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52"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170" fillId="5" borderId="55" xfId="3" applyFont="1" applyFill="1" applyBorder="1" applyAlignment="1" applyProtection="1">
      <alignment horizontal="left" vertical="center" wrapText="1"/>
    </xf>
    <xf numFmtId="0" fontId="45" fillId="5" borderId="27" xfId="3" applyFont="1" applyFill="1" applyBorder="1" applyAlignment="1" applyProtection="1">
      <alignment horizontal="left" vertical="center" wrapText="1"/>
    </xf>
    <xf numFmtId="0" fontId="45" fillId="6" borderId="27" xfId="3" applyFont="1" applyFill="1" applyBorder="1" applyAlignment="1" applyProtection="1">
      <alignment horizontal="center" vertical="center" wrapText="1"/>
      <protection locked="0"/>
    </xf>
    <xf numFmtId="0" fontId="45" fillId="6" borderId="6" xfId="3" applyFont="1" applyFill="1" applyBorder="1" applyAlignment="1" applyProtection="1">
      <alignment horizontal="right" vertical="center" wrapText="1"/>
      <protection locked="0"/>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0" fontId="45" fillId="5" borderId="10" xfId="3" applyFont="1" applyFill="1" applyBorder="1" applyAlignment="1" applyProtection="1">
      <alignment horizontal="left" vertical="center"/>
    </xf>
    <xf numFmtId="0" fontId="45" fillId="5" borderId="3" xfId="3" applyFont="1" applyFill="1" applyBorder="1" applyAlignment="1" applyProtection="1">
      <alignment horizontal="center" vertical="center" wrapText="1"/>
    </xf>
    <xf numFmtId="0" fontId="45" fillId="5" borderId="10" xfId="3" applyFont="1" applyFill="1" applyBorder="1" applyAlignment="1" applyProtection="1">
      <alignment vertical="center" wrapText="1"/>
    </xf>
    <xf numFmtId="0" fontId="45" fillId="5" borderId="10" xfId="0"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3" fillId="5" borderId="43" xfId="3" applyFont="1" applyFill="1" applyBorder="1" applyAlignment="1" applyProtection="1">
      <alignment horizontal="center"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10" fontId="89" fillId="0" borderId="47"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10" fontId="91" fillId="5" borderId="0" xfId="3" applyNumberFormat="1"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14" fontId="191" fillId="0" borderId="0" xfId="7" applyNumberFormat="1" applyFont="1" applyAlignment="1">
      <alignment horizontal="left" vertical="center"/>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0" fontId="83" fillId="8" borderId="19" xfId="0" applyFont="1" applyFill="1" applyBorder="1" applyAlignment="1" applyProtection="1">
      <alignment vertical="center" wrapText="1"/>
      <protection locked="0"/>
    </xf>
    <xf numFmtId="49" fontId="83" fillId="5" borderId="21" xfId="0" applyNumberFormat="1" applyFont="1" applyFill="1" applyBorder="1" applyAlignment="1" applyProtection="1">
      <alignment horizontal="left" vertical="center" wrapText="1"/>
    </xf>
    <xf numFmtId="49" fontId="192" fillId="0" borderId="17" xfId="0" applyNumberFormat="1" applyFont="1" applyFill="1" applyBorder="1" applyAlignment="1" applyProtection="1">
      <alignment horizontal="left" vertical="center"/>
      <protection locked="0"/>
    </xf>
    <xf numFmtId="0" fontId="83" fillId="8" borderId="8" xfId="0" applyFont="1" applyFill="1" applyBorder="1" applyAlignment="1" applyProtection="1">
      <alignment vertical="center" wrapText="1"/>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3"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2"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2" fillId="0" borderId="12" xfId="0" applyNumberFormat="1" applyFont="1" applyFill="1" applyBorder="1" applyAlignment="1" applyProtection="1">
      <alignment horizontal="left" vertical="center" shrinkToFit="1"/>
      <protection locked="0"/>
    </xf>
    <xf numFmtId="184" fontId="192" fillId="0" borderId="57" xfId="0" applyNumberFormat="1" applyFont="1" applyFill="1" applyBorder="1" applyAlignment="1" applyProtection="1">
      <alignment horizontal="left" vertical="center" shrinkToFit="1"/>
      <protection locked="0"/>
    </xf>
    <xf numFmtId="0" fontId="192" fillId="0" borderId="12" xfId="0" applyFont="1" applyFill="1" applyBorder="1" applyAlignment="1" applyProtection="1">
      <alignment horizontal="left" vertical="center" wrapText="1"/>
      <protection locked="0"/>
    </xf>
    <xf numFmtId="0" fontId="192" fillId="0" borderId="16" xfId="0" applyFont="1" applyFill="1" applyBorder="1" applyAlignment="1" applyProtection="1">
      <alignment horizontal="left" vertical="center" wrapText="1"/>
      <protection locked="0"/>
    </xf>
    <xf numFmtId="0" fontId="192" fillId="0" borderId="72" xfId="0" applyFont="1" applyFill="1" applyBorder="1" applyAlignment="1" applyProtection="1">
      <alignment horizontal="left" vertical="center" wrapText="1"/>
      <protection locked="0"/>
    </xf>
    <xf numFmtId="0" fontId="192"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4" fillId="5" borderId="0" xfId="0" applyFont="1" applyFill="1" applyProtection="1">
      <alignment vertical="center"/>
    </xf>
    <xf numFmtId="0" fontId="16" fillId="5" borderId="0" xfId="0" applyFont="1" applyFill="1" applyProtection="1">
      <alignment vertical="center"/>
    </xf>
    <xf numFmtId="0" fontId="195"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6"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0" fontId="199" fillId="0" borderId="0" xfId="0" applyFont="1" applyAlignment="1" applyProtection="1">
      <alignment horizontal="left" vertical="center"/>
    </xf>
    <xf numFmtId="0" fontId="165"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0" fillId="0" borderId="0" xfId="0" applyFont="1" applyAlignment="1">
      <alignment horizontal="right" vertical="center" wrapText="1"/>
    </xf>
    <xf numFmtId="0" fontId="0" fillId="0" borderId="0" xfId="0" applyFont="1" applyAlignment="1">
      <alignment vertical="center" wrapText="1"/>
    </xf>
    <xf numFmtId="0" fontId="200"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1" fillId="0" borderId="0" xfId="0" applyFont="1">
      <alignment vertical="center"/>
    </xf>
    <xf numFmtId="0" fontId="202" fillId="0" borderId="0" xfId="0" applyFont="1">
      <alignment vertical="center"/>
    </xf>
    <xf numFmtId="0" fontId="201" fillId="0" borderId="0" xfId="0" applyFont="1" applyAlignment="1">
      <alignment horizontal="right" vertical="center"/>
    </xf>
    <xf numFmtId="0" fontId="201"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4" fillId="0" borderId="2" xfId="0" applyFont="1" applyBorder="1" applyAlignment="1">
      <alignment horizontal="center" vertical="center" wrapText="1"/>
    </xf>
    <xf numFmtId="0" fontId="201"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5"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1"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6"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6"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7"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8"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3"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5" fillId="5" borderId="9" xfId="0" applyFont="1" applyFill="1" applyBorder="1" applyAlignment="1" applyProtection="1">
      <alignment horizontal="right" vertical="center"/>
    </xf>
    <xf numFmtId="0" fontId="216" fillId="5" borderId="5" xfId="0" applyFont="1" applyFill="1" applyBorder="1" applyAlignment="1" applyProtection="1">
      <alignment horizontal="left" vertical="center"/>
    </xf>
    <xf numFmtId="0" fontId="217"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91" fillId="0" borderId="0" xfId="7" applyFont="1" applyAlignment="1">
      <alignment horizontal="center" vertical="center"/>
    </xf>
    <xf numFmtId="0" fontId="218" fillId="0" borderId="0" xfId="7" applyFont="1" applyAlignment="1">
      <alignment horizontal="center" vertical="center"/>
    </xf>
    <xf numFmtId="0" fontId="218" fillId="0" borderId="0" xfId="7" applyFont="1">
      <alignment vertical="center"/>
    </xf>
    <xf numFmtId="0" fontId="185" fillId="0" borderId="0" xfId="7" applyFont="1">
      <alignment vertical="center"/>
    </xf>
    <xf numFmtId="0" fontId="219" fillId="0" borderId="10" xfId="7" applyFont="1" applyFill="1" applyBorder="1" applyAlignment="1">
      <alignment vertical="center"/>
    </xf>
    <xf numFmtId="0" fontId="219" fillId="0" borderId="2" xfId="7" applyFont="1" applyFill="1" applyBorder="1" applyAlignment="1">
      <alignment horizontal="center" vertical="center"/>
    </xf>
    <xf numFmtId="0" fontId="219" fillId="0" borderId="5" xfId="7" applyFont="1" applyFill="1" applyBorder="1" applyAlignment="1">
      <alignment horizontal="center" vertical="center"/>
    </xf>
    <xf numFmtId="0" fontId="219" fillId="0" borderId="10" xfId="7" applyFont="1" applyFill="1" applyBorder="1" applyAlignment="1">
      <alignment horizontal="center" vertical="center"/>
    </xf>
    <xf numFmtId="184" fontId="219" fillId="0" borderId="10" xfId="7" applyNumberFormat="1" applyFont="1" applyFill="1" applyBorder="1" applyAlignment="1">
      <alignment horizontal="center" vertical="center"/>
    </xf>
    <xf numFmtId="0" fontId="185" fillId="0" borderId="0" xfId="7" applyFont="1" applyFill="1">
      <alignment vertical="center"/>
    </xf>
    <xf numFmtId="0" fontId="220" fillId="0" borderId="2" xfId="7" applyFont="1" applyFill="1" applyBorder="1" applyAlignment="1">
      <alignment vertical="center"/>
    </xf>
    <xf numFmtId="0" fontId="219" fillId="0" borderId="2" xfId="7" applyFont="1" applyBorder="1" applyAlignment="1">
      <alignment horizontal="right" vertical="center"/>
    </xf>
    <xf numFmtId="0" fontId="219" fillId="0" borderId="2" xfId="7" applyFont="1" applyFill="1" applyBorder="1" applyAlignment="1">
      <alignment horizontal="right" vertical="center"/>
    </xf>
    <xf numFmtId="0" fontId="191" fillId="0" borderId="0" xfId="7" applyFont="1">
      <alignment vertical="center"/>
    </xf>
    <xf numFmtId="0" fontId="191" fillId="0" borderId="2" xfId="7" applyFont="1" applyBorder="1">
      <alignment vertical="center"/>
    </xf>
    <xf numFmtId="184" fontId="219" fillId="0" borderId="2" xfId="7" applyNumberFormat="1" applyFont="1" applyFill="1" applyBorder="1" applyAlignment="1">
      <alignment horizontal="right" vertical="center"/>
    </xf>
    <xf numFmtId="184" fontId="219" fillId="0" borderId="2" xfId="0" applyNumberFormat="1" applyFont="1" applyFill="1" applyBorder="1" applyAlignment="1">
      <alignment horizontal="right" vertical="center"/>
    </xf>
    <xf numFmtId="14" fontId="191" fillId="0" borderId="2" xfId="7" applyNumberFormat="1" applyFont="1" applyBorder="1">
      <alignment vertical="center"/>
    </xf>
    <xf numFmtId="0" fontId="221" fillId="0" borderId="2" xfId="7" applyFont="1" applyBorder="1">
      <alignment vertical="center"/>
    </xf>
    <xf numFmtId="184" fontId="221" fillId="0" borderId="2" xfId="0" applyNumberFormat="1" applyFont="1" applyFill="1" applyBorder="1" applyAlignment="1">
      <alignment horizontal="right" vertical="center"/>
    </xf>
    <xf numFmtId="14" fontId="185" fillId="0" borderId="0" xfId="7" applyNumberFormat="1" applyFont="1">
      <alignment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22"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23"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59" fillId="5" borderId="82" xfId="0" applyFont="1" applyFill="1" applyBorder="1" applyAlignment="1" applyProtection="1">
      <alignment horizontal="center" vertical="center"/>
      <protection locked="0"/>
    </xf>
    <xf numFmtId="0" fontId="137" fillId="5" borderId="1" xfId="0" applyFont="1" applyFill="1" applyBorder="1" applyAlignment="1" applyProtection="1">
      <alignment vertical="center"/>
      <protection locked="0"/>
    </xf>
    <xf numFmtId="0" fontId="137" fillId="5" borderId="11" xfId="0" applyFont="1" applyFill="1" applyBorder="1" applyAlignment="1" applyProtection="1">
      <alignment vertical="center"/>
      <protection locked="0"/>
    </xf>
    <xf numFmtId="49" fontId="137" fillId="5" borderId="11" xfId="0" applyNumberFormat="1" applyFont="1" applyFill="1" applyBorder="1" applyAlignment="1" applyProtection="1">
      <alignment horizontal="left" vertical="center"/>
      <protection locked="0"/>
    </xf>
    <xf numFmtId="0" fontId="137" fillId="5" borderId="43" xfId="0" applyFont="1" applyFill="1" applyBorder="1" applyAlignment="1" applyProtection="1">
      <alignment vertical="center"/>
      <protection locked="0"/>
    </xf>
    <xf numFmtId="0" fontId="137" fillId="5" borderId="33" xfId="0" applyFont="1" applyFill="1" applyBorder="1" applyAlignment="1" applyProtection="1">
      <alignment vertical="center" wrapText="1"/>
      <protection locked="0"/>
    </xf>
    <xf numFmtId="0" fontId="137" fillId="6" borderId="7" xfId="0" applyFont="1" applyFill="1" applyBorder="1" applyAlignment="1" applyProtection="1">
      <alignment horizontal="center" vertical="center"/>
      <protection locked="0"/>
    </xf>
    <xf numFmtId="0" fontId="137" fillId="5" borderId="1" xfId="0" applyFont="1" applyFill="1" applyBorder="1" applyAlignment="1" applyProtection="1">
      <alignment horizontal="left" vertical="center"/>
      <protection locked="0"/>
    </xf>
    <xf numFmtId="0" fontId="111" fillId="5"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53" fillId="5" borderId="11" xfId="0" applyFont="1" applyFill="1" applyBorder="1" applyAlignment="1" applyProtection="1">
      <alignment horizontal="left"/>
      <protection locked="0"/>
    </xf>
    <xf numFmtId="0" fontId="111" fillId="5" borderId="12" xfId="0" applyFont="1" applyFill="1" applyBorder="1" applyAlignment="1" applyProtection="1">
      <alignment horizontal="center" vertical="center"/>
      <protection locked="0"/>
    </xf>
    <xf numFmtId="0" fontId="111" fillId="8" borderId="12" xfId="0" applyFont="1" applyFill="1" applyBorder="1" applyAlignment="1" applyProtection="1">
      <alignment horizontal="center" vertical="center"/>
      <protection locked="0"/>
    </xf>
    <xf numFmtId="0" fontId="164" fillId="5" borderId="11" xfId="0" applyFont="1" applyFill="1" applyBorder="1" applyAlignment="1" applyProtection="1">
      <alignment horizontal="left"/>
      <protection locked="0"/>
    </xf>
    <xf numFmtId="0" fontId="111" fillId="0" borderId="12" xfId="0" applyFont="1" applyFill="1" applyBorder="1" applyAlignment="1" applyProtection="1">
      <alignment horizontal="center" vertical="center"/>
      <protection locked="0"/>
    </xf>
    <xf numFmtId="0" fontId="181" fillId="5" borderId="12" xfId="0" applyFont="1" applyFill="1" applyBorder="1" applyAlignment="1" applyProtection="1">
      <alignment horizontal="center"/>
      <protection locked="0"/>
    </xf>
    <xf numFmtId="0" fontId="111" fillId="5" borderId="12" xfId="0" applyNumberFormat="1" applyFont="1" applyFill="1" applyBorder="1" applyAlignment="1" applyProtection="1">
      <alignment horizontal="center" vertical="center"/>
      <protection locked="0"/>
    </xf>
    <xf numFmtId="193" fontId="111" fillId="5" borderId="12" xfId="0" applyNumberFormat="1"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5" borderId="83" xfId="0" applyFont="1" applyFill="1" applyBorder="1" applyAlignment="1" applyProtection="1">
      <alignment horizontal="center" vertical="center"/>
      <protection locked="0"/>
    </xf>
    <xf numFmtId="0" fontId="224" fillId="5" borderId="26" xfId="0"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0" fontId="137" fillId="5" borderId="50" xfId="0" applyFont="1" applyFill="1" applyBorder="1" applyAlignment="1" applyProtection="1">
      <alignment vertical="center" wrapText="1"/>
      <protection locked="0"/>
    </xf>
    <xf numFmtId="0" fontId="137" fillId="5" borderId="11" xfId="0" applyFont="1" applyFill="1" applyBorder="1" applyAlignment="1" applyProtection="1">
      <alignment vertical="center" wrapText="1"/>
      <protection locked="0"/>
    </xf>
    <xf numFmtId="49" fontId="224" fillId="5" borderId="43" xfId="0" applyNumberFormat="1" applyFont="1" applyFill="1" applyBorder="1" applyAlignment="1" applyProtection="1">
      <alignment horizontal="left" vertical="center"/>
      <protection locked="0"/>
    </xf>
    <xf numFmtId="0" fontId="111" fillId="5" borderId="5" xfId="0" applyFont="1" applyFill="1" applyBorder="1" applyAlignment="1" applyProtection="1">
      <alignment horizontal="center" vertical="center"/>
      <protection locked="0"/>
    </xf>
    <xf numFmtId="0" fontId="111" fillId="5" borderId="46" xfId="0" applyFont="1" applyFill="1" applyBorder="1" applyAlignment="1" applyProtection="1">
      <alignment horizontal="center" vertical="center"/>
      <protection locked="0"/>
    </xf>
    <xf numFmtId="0" fontId="224" fillId="5" borderId="43" xfId="0" applyFont="1" applyFill="1" applyBorder="1" applyAlignment="1" applyProtection="1">
      <alignment horizontal="center" vertical="center"/>
      <protection locked="0"/>
    </xf>
    <xf numFmtId="0" fontId="137" fillId="5" borderId="2" xfId="0" applyFont="1" applyFill="1" applyBorder="1" applyAlignment="1" applyProtection="1">
      <protection locked="0"/>
    </xf>
    <xf numFmtId="0" fontId="137" fillId="5" borderId="2" xfId="0" applyFont="1" applyFill="1" applyBorder="1" applyAlignment="1" applyProtection="1">
      <alignment horizont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5"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30"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6"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9"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9"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10" fillId="5" borderId="30" xfId="3" applyFont="1" applyFill="1" applyBorder="1" applyAlignment="1" applyProtection="1">
      <alignment vertical="center"/>
    </xf>
    <xf numFmtId="0" fontId="210" fillId="5" borderId="57" xfId="3" applyFont="1" applyFill="1" applyBorder="1" applyAlignment="1" applyProtection="1">
      <alignment horizontal="center" vertical="center"/>
    </xf>
    <xf numFmtId="0" fontId="209"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6"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1"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32" fillId="5" borderId="5" xfId="2" applyFont="1" applyFill="1" applyBorder="1" applyAlignment="1" applyProtection="1">
      <alignment vertical="center"/>
    </xf>
    <xf numFmtId="49" fontId="231"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34"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6"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6"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40" fillId="0" borderId="2" xfId="0" applyFont="1" applyFill="1" applyBorder="1" applyAlignment="1">
      <alignment horizontal="center" vertical="center"/>
    </xf>
    <xf numFmtId="9" fontId="231" fillId="0" borderId="2" xfId="0" applyNumberFormat="1" applyFont="1" applyFill="1" applyBorder="1" applyAlignment="1">
      <alignment horizontal="center" vertical="center"/>
    </xf>
    <xf numFmtId="178" fontId="231" fillId="0" borderId="2" xfId="0" applyNumberFormat="1" applyFont="1" applyFill="1" applyBorder="1" applyAlignment="1">
      <alignment horizontal="center" vertical="center"/>
    </xf>
    <xf numFmtId="0" fontId="231"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40" fillId="0" borderId="12" xfId="0" applyFont="1" applyFill="1" applyBorder="1" applyAlignment="1">
      <alignment horizontal="center" vertical="center"/>
    </xf>
    <xf numFmtId="0" fontId="206" fillId="0" borderId="2" xfId="0" applyFont="1" applyFill="1" applyBorder="1" applyAlignment="1">
      <alignment horizontal="center" vertical="center" wrapText="1"/>
    </xf>
    <xf numFmtId="0" fontId="37" fillId="0" borderId="2" xfId="0" applyFont="1" applyFill="1" applyBorder="1" applyAlignment="1">
      <alignment vertical="center"/>
    </xf>
    <xf numFmtId="0" fontId="206" fillId="0" borderId="12" xfId="0" applyFont="1" applyFill="1" applyBorder="1" applyAlignment="1">
      <alignment horizontal="center" vertical="center"/>
    </xf>
    <xf numFmtId="9" fontId="240" fillId="0" borderId="2" xfId="0" applyNumberFormat="1" applyFont="1" applyFill="1" applyBorder="1" applyAlignment="1">
      <alignment horizontal="center" vertical="center"/>
    </xf>
    <xf numFmtId="0" fontId="206" fillId="0" borderId="2" xfId="0" applyFont="1" applyBorder="1" applyAlignment="1">
      <alignment horizontal="center" vertical="center"/>
    </xf>
    <xf numFmtId="9" fontId="206" fillId="0" borderId="2" xfId="0" applyNumberFormat="1" applyFont="1" applyBorder="1" applyAlignment="1">
      <alignment horizontal="center" vertical="center"/>
    </xf>
    <xf numFmtId="0" fontId="240" fillId="0" borderId="44" xfId="0" applyFont="1" applyFill="1" applyBorder="1" applyAlignment="1">
      <alignment horizontal="center" vertical="center"/>
    </xf>
    <xf numFmtId="9" fontId="240" fillId="0" borderId="44" xfId="0" applyNumberFormat="1" applyFont="1" applyFill="1" applyBorder="1" applyAlignment="1">
      <alignment horizontal="center" vertical="center"/>
    </xf>
    <xf numFmtId="178" fontId="240" fillId="0" borderId="44" xfId="0" applyNumberFormat="1" applyFont="1" applyFill="1" applyBorder="1" applyAlignment="1">
      <alignment horizontal="center" vertical="center"/>
    </xf>
    <xf numFmtId="0" fontId="231" fillId="0" borderId="46" xfId="0" applyFont="1" applyFill="1" applyBorder="1" applyAlignment="1">
      <alignment horizontal="center" vertical="center"/>
    </xf>
    <xf numFmtId="0" fontId="240"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6"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1" fillId="0" borderId="2" xfId="0" applyFont="1" applyBorder="1" applyAlignment="1" applyProtection="1">
      <alignment horizontal="center" vertical="center" wrapText="1"/>
      <protection locked="0"/>
    </xf>
    <xf numFmtId="0" fontId="203"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6" fillId="12" borderId="120" xfId="10" applyFont="1" applyFill="1" applyBorder="1" applyAlignment="1" applyProtection="1">
      <alignment horizontal="center" vertical="center" wrapText="1"/>
    </xf>
    <xf numFmtId="0" fontId="246" fillId="12" borderId="121" xfId="10" applyFont="1" applyFill="1" applyBorder="1" applyAlignment="1" applyProtection="1">
      <alignment horizontal="center" vertical="center" wrapText="1"/>
    </xf>
    <xf numFmtId="0" fontId="162" fillId="0" borderId="122" xfId="10" applyFont="1" applyBorder="1" applyAlignment="1">
      <alignment horizontal="center" vertical="center"/>
    </xf>
    <xf numFmtId="0" fontId="246" fillId="13" borderId="124" xfId="10" applyFont="1" applyFill="1" applyBorder="1" applyAlignment="1" applyProtection="1">
      <alignment horizontal="center" vertical="center" wrapText="1"/>
    </xf>
    <xf numFmtId="0" fontId="246"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6" fillId="13" borderId="128" xfId="10" applyFont="1" applyFill="1" applyBorder="1" applyAlignment="1" applyProtection="1">
      <alignment horizontal="center" vertical="center" wrapText="1"/>
    </xf>
    <xf numFmtId="0" fontId="246"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6" fillId="12" borderId="130" xfId="10" applyFont="1" applyFill="1" applyBorder="1" applyAlignment="1" applyProtection="1">
      <alignment horizontal="center" vertical="center" wrapText="1"/>
    </xf>
    <xf numFmtId="0" fontId="246"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6" fillId="13" borderId="120" xfId="10" applyFont="1" applyFill="1" applyBorder="1" applyAlignment="1" applyProtection="1">
      <alignment horizontal="center" vertical="center" wrapText="1"/>
    </xf>
    <xf numFmtId="0" fontId="246"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6" fillId="13" borderId="135" xfId="10" applyFont="1" applyFill="1" applyBorder="1" applyAlignment="1" applyProtection="1">
      <alignment horizontal="center" vertical="center" wrapText="1"/>
    </xf>
    <xf numFmtId="0" fontId="246"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6" fillId="12" borderId="138" xfId="10" applyFont="1" applyFill="1" applyBorder="1" applyAlignment="1" applyProtection="1">
      <alignment horizontal="center" vertical="center" wrapText="1"/>
    </xf>
    <xf numFmtId="0" fontId="246"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6"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6"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6"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6" fillId="13" borderId="145" xfId="10" applyFont="1" applyFill="1" applyBorder="1" applyAlignment="1">
      <alignment horizontal="center" vertical="center" wrapText="1"/>
    </xf>
    <xf numFmtId="0" fontId="246" fillId="13" borderId="120" xfId="10" applyFont="1" applyFill="1" applyBorder="1" applyAlignment="1">
      <alignment horizontal="center" vertical="center" wrapText="1"/>
    </xf>
    <xf numFmtId="0" fontId="246" fillId="12" borderId="146" xfId="10" applyFont="1" applyFill="1" applyBorder="1" applyAlignment="1">
      <alignment horizontal="center" vertical="center" wrapText="1"/>
    </xf>
    <xf numFmtId="0" fontId="246" fillId="12" borderId="124" xfId="10" applyFont="1" applyFill="1" applyBorder="1" applyAlignment="1">
      <alignment horizontal="center" vertical="center" wrapText="1"/>
    </xf>
    <xf numFmtId="0" fontId="246" fillId="13" borderId="124" xfId="10" applyFont="1" applyFill="1" applyBorder="1" applyAlignment="1">
      <alignment horizontal="center" vertical="center" wrapText="1"/>
    </xf>
    <xf numFmtId="0" fontId="246" fillId="13" borderId="146" xfId="10" applyFont="1" applyFill="1" applyBorder="1" applyAlignment="1">
      <alignment horizontal="center" vertical="center" wrapText="1"/>
    </xf>
    <xf numFmtId="0" fontId="246" fillId="12" borderId="147" xfId="10" applyFont="1" applyFill="1" applyBorder="1" applyAlignment="1">
      <alignment horizontal="center" vertical="center" wrapText="1"/>
    </xf>
    <xf numFmtId="0" fontId="246"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8" fillId="14" borderId="0" xfId="10" applyFont="1" applyFill="1">
      <alignment vertical="center"/>
    </xf>
    <xf numFmtId="10" fontId="248" fillId="14" borderId="126" xfId="10" applyNumberFormat="1" applyFont="1" applyFill="1" applyBorder="1" applyAlignment="1">
      <alignment vertical="center"/>
    </xf>
    <xf numFmtId="0" fontId="206"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6" fillId="0" borderId="0" xfId="10" applyFont="1">
      <alignment vertical="center"/>
    </xf>
    <xf numFmtId="10" fontId="91" fillId="5" borderId="12" xfId="3" applyNumberFormat="1" applyFont="1" applyFill="1" applyBorder="1" applyAlignment="1" applyProtection="1">
      <alignment horizontal="center" vertical="center" wrapText="1"/>
    </xf>
    <xf numFmtId="0" fontId="63" fillId="5" borderId="28" xfId="3" applyFont="1" applyFill="1" applyBorder="1" applyAlignment="1" applyProtection="1">
      <alignment vertical="center" wrapText="1"/>
    </xf>
    <xf numFmtId="0" fontId="91" fillId="5" borderId="68" xfId="3" applyFont="1" applyFill="1" applyBorder="1" applyAlignment="1" applyProtection="1">
      <alignment horizontal="center" vertical="center" wrapText="1"/>
    </xf>
    <xf numFmtId="0" fontId="62" fillId="5" borderId="27" xfId="3" applyFont="1" applyFill="1" applyBorder="1" applyAlignment="1" applyProtection="1">
      <alignment horizontal="left" vertical="center" wrapText="1"/>
    </xf>
    <xf numFmtId="0" fontId="88" fillId="5" borderId="40" xfId="3" applyFont="1" applyFill="1" applyBorder="1" applyAlignment="1" applyProtection="1">
      <alignment horizontal="center" vertical="center" wrapText="1"/>
    </xf>
    <xf numFmtId="0" fontId="45" fillId="5" borderId="40" xfId="3" applyFont="1" applyFill="1" applyBorder="1" applyAlignment="1" applyProtection="1">
      <alignment vertical="center"/>
    </xf>
    <xf numFmtId="0" fontId="62"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xf>
    <xf numFmtId="0" fontId="63" fillId="5" borderId="39" xfId="3" applyFont="1" applyFill="1" applyBorder="1" applyAlignment="1" applyProtection="1">
      <alignment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8"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149" fillId="5" borderId="0" xfId="3" applyFont="1" applyFill="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1" fillId="0" borderId="2" xfId="0" applyNumberFormat="1" applyFont="1" applyBorder="1" applyAlignment="1" applyProtection="1">
      <alignment horizontal="center" vertical="center" wrapText="1"/>
      <protection locked="0"/>
    </xf>
    <xf numFmtId="0" fontId="200" fillId="0" borderId="0" xfId="0" applyFont="1" applyAlignment="1">
      <alignment horizontal="center" vertical="center" wrapText="1"/>
    </xf>
    <xf numFmtId="0" fontId="200" fillId="0" borderId="0" xfId="0" applyFont="1" applyAlignment="1">
      <alignment horizontal="right" vertical="center"/>
    </xf>
    <xf numFmtId="0" fontId="200" fillId="0" borderId="19" xfId="0" applyFont="1" applyBorder="1" applyAlignment="1">
      <alignment vertical="center" wrapText="1"/>
    </xf>
    <xf numFmtId="0" fontId="192"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6"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6"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6"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6"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6"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6"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6"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6" fillId="5" borderId="0" xfId="4" applyFont="1" applyFill="1" applyAlignment="1"/>
    <xf numFmtId="0" fontId="240" fillId="5" borderId="10" xfId="4" applyFont="1" applyFill="1" applyBorder="1" applyAlignment="1">
      <alignment horizontal="center" vertical="center"/>
    </xf>
    <xf numFmtId="0" fontId="240" fillId="5" borderId="10" xfId="4" applyFont="1" applyFill="1" applyBorder="1" applyAlignment="1">
      <alignment vertical="center"/>
    </xf>
    <xf numFmtId="0" fontId="240" fillId="5" borderId="5" xfId="4" applyFont="1" applyFill="1" applyBorder="1" applyAlignment="1">
      <alignment vertical="center"/>
    </xf>
    <xf numFmtId="0" fontId="240" fillId="5" borderId="9" xfId="4" applyFont="1" applyFill="1" applyBorder="1" applyAlignment="1">
      <alignment vertical="center"/>
    </xf>
    <xf numFmtId="0" fontId="240" fillId="5" borderId="8" xfId="4" applyFont="1" applyFill="1" applyBorder="1" applyAlignment="1">
      <alignment vertical="center"/>
    </xf>
    <xf numFmtId="0" fontId="206" fillId="0" borderId="0" xfId="4" applyFont="1" applyAlignment="1"/>
    <xf numFmtId="0" fontId="206" fillId="5" borderId="0" xfId="4" applyFont="1" applyFill="1"/>
    <xf numFmtId="0" fontId="240" fillId="5" borderId="21" xfId="4" applyFont="1" applyFill="1" applyBorder="1" applyAlignment="1">
      <alignment horizontal="center" vertical="center" wrapText="1"/>
    </xf>
    <xf numFmtId="0" fontId="240" fillId="5" borderId="21" xfId="4" applyFont="1" applyFill="1" applyBorder="1" applyAlignment="1">
      <alignment vertical="center" wrapText="1"/>
    </xf>
    <xf numFmtId="0" fontId="132" fillId="5" borderId="2" xfId="4" applyFont="1" applyFill="1" applyBorder="1"/>
    <xf numFmtId="0" fontId="240" fillId="5" borderId="2" xfId="4" applyFont="1" applyFill="1" applyBorder="1" applyAlignment="1">
      <alignment horizontal="center" vertical="center" wrapText="1"/>
    </xf>
    <xf numFmtId="0" fontId="206" fillId="0" borderId="0" xfId="4" applyFont="1"/>
    <xf numFmtId="0" fontId="225" fillId="5" borderId="0" xfId="4" applyFont="1" applyFill="1" applyAlignment="1">
      <alignment vertical="center"/>
    </xf>
    <xf numFmtId="0" fontId="225" fillId="5" borderId="2" xfId="4" applyFont="1" applyFill="1" applyBorder="1" applyAlignment="1">
      <alignment horizontal="left" vertical="center" wrapText="1"/>
    </xf>
    <xf numFmtId="194" fontId="225" fillId="5" borderId="2" xfId="4" applyNumberFormat="1" applyFont="1" applyFill="1" applyBorder="1" applyAlignment="1">
      <alignment horizontal="center" vertical="center" wrapText="1"/>
    </xf>
    <xf numFmtId="0" fontId="225" fillId="5" borderId="2" xfId="4" applyFont="1" applyFill="1" applyBorder="1" applyAlignment="1">
      <alignment horizontal="center" vertical="center" wrapText="1"/>
    </xf>
    <xf numFmtId="14" fontId="225" fillId="5" borderId="2" xfId="4" applyNumberFormat="1" applyFont="1" applyFill="1" applyBorder="1" applyAlignment="1">
      <alignment horizontal="center" vertical="center" wrapText="1"/>
    </xf>
    <xf numFmtId="0" fontId="225" fillId="6" borderId="0" xfId="4" applyFont="1" applyFill="1" applyAlignment="1">
      <alignment vertical="center"/>
    </xf>
    <xf numFmtId="0" fontId="263"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6"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31" fillId="5" borderId="2" xfId="4" applyFont="1" applyFill="1" applyBorder="1" applyAlignment="1">
      <alignment horizontal="center"/>
    </xf>
    <xf numFmtId="0" fontId="231" fillId="5" borderId="21" xfId="4" applyFont="1" applyFill="1" applyBorder="1" applyAlignment="1">
      <alignment horizontal="center"/>
    </xf>
    <xf numFmtId="0" fontId="209" fillId="5" borderId="2" xfId="0" applyFont="1" applyFill="1" applyBorder="1" applyAlignment="1">
      <alignment horizontal="center"/>
    </xf>
    <xf numFmtId="10" fontId="234" fillId="5" borderId="2" xfId="4" applyNumberFormat="1" applyFont="1" applyFill="1" applyBorder="1" applyAlignment="1">
      <alignment horizontal="center"/>
    </xf>
    <xf numFmtId="14" fontId="234" fillId="5" borderId="2" xfId="4" applyNumberFormat="1" applyFont="1" applyFill="1" applyBorder="1" applyAlignment="1" applyProtection="1">
      <alignment horizontal="center"/>
    </xf>
    <xf numFmtId="0" fontId="234" fillId="5" borderId="21" xfId="4" applyFont="1" applyFill="1" applyBorder="1" applyAlignment="1" applyProtection="1">
      <alignment horizontal="center"/>
    </xf>
    <xf numFmtId="191" fontId="219" fillId="0" borderId="2" xfId="7" applyNumberFormat="1" applyFont="1" applyFill="1" applyBorder="1" applyAlignment="1">
      <alignment horizontal="right" vertical="center"/>
    </xf>
    <xf numFmtId="184" fontId="219" fillId="0" borderId="2" xfId="7" applyNumberFormat="1" applyFont="1" applyFill="1" applyBorder="1" applyAlignment="1">
      <alignment horizontal="center" vertical="center"/>
    </xf>
    <xf numFmtId="191" fontId="219" fillId="0" borderId="10" xfId="7" applyNumberFormat="1" applyFont="1" applyFill="1" applyBorder="1" applyAlignment="1">
      <alignment horizontal="center" vertic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111"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7" fillId="0" borderId="2" xfId="14" applyFont="1" applyBorder="1" applyAlignment="1" applyProtection="1">
      <alignment horizontal="left" vertical="center" wrapText="1"/>
      <protection locked="0"/>
    </xf>
    <xf numFmtId="0" fontId="266" fillId="5" borderId="2" xfId="14" applyFill="1" applyBorder="1" applyAlignment="1">
      <alignment vertical="center"/>
    </xf>
    <xf numFmtId="0" fontId="150" fillId="5" borderId="2" xfId="14" applyFont="1" applyFill="1" applyBorder="1" applyAlignment="1">
      <alignment vertical="center"/>
    </xf>
    <xf numFmtId="0" fontId="266"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0" fontId="224" fillId="5" borderId="59" xfId="0" applyFont="1" applyFill="1" applyBorder="1" applyAlignment="1" applyProtection="1">
      <alignment horizontal="left" vertical="center" wrapText="1"/>
      <protection locked="0"/>
    </xf>
    <xf numFmtId="182" fontId="111" fillId="5" borderId="5" xfId="0" applyNumberFormat="1" applyFont="1" applyFill="1" applyBorder="1" applyAlignment="1" applyProtection="1">
      <alignment horizontal="center" vertical="center"/>
    </xf>
    <xf numFmtId="0" fontId="137" fillId="5" borderId="2" xfId="0" applyFont="1" applyFill="1" applyBorder="1" applyAlignment="1" applyProtection="1">
      <alignment horizontal="center" vertical="center"/>
      <protection locked="0"/>
    </xf>
    <xf numFmtId="9" fontId="111" fillId="5" borderId="2" xfId="0" applyNumberFormat="1"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6"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182" fontId="111" fillId="5" borderId="6" xfId="0" applyNumberFormat="1" applyFont="1" applyFill="1" applyBorder="1" applyAlignment="1" applyProtection="1">
      <alignment horizontal="center" vertical="center"/>
      <protection locked="0"/>
    </xf>
    <xf numFmtId="182" fontId="111" fillId="5" borderId="5" xfId="0" applyNumberFormat="1" applyFont="1" applyFill="1" applyBorder="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8"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246" fillId="12" borderId="123" xfId="10" applyFont="1" applyFill="1" applyBorder="1" applyAlignment="1" applyProtection="1">
      <alignment horizontal="center" vertical="center" wrapText="1"/>
    </xf>
    <xf numFmtId="0" fontId="246" fillId="12" borderId="123" xfId="10" applyFont="1" applyFill="1" applyBorder="1" applyAlignment="1" applyProtection="1">
      <alignment vertical="center" wrapText="1"/>
    </xf>
    <xf numFmtId="0" fontId="246" fillId="12" borderId="152" xfId="10" applyFont="1" applyFill="1" applyBorder="1" applyAlignment="1" applyProtection="1">
      <alignment vertical="center" wrapText="1"/>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40"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8" fillId="16" borderId="0" xfId="13" applyFont="1" applyFill="1" applyBorder="1" applyAlignment="1" applyProtection="1">
      <alignment horizontal="center" vertical="center"/>
      <protection locked="0"/>
    </xf>
    <xf numFmtId="0" fontId="234"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178" fontId="86" fillId="0" borderId="2" xfId="2" applyNumberFormat="1" applyFont="1" applyFill="1" applyBorder="1" applyAlignment="1" applyProtection="1">
      <alignment vertical="center"/>
      <protection locked="0"/>
    </xf>
    <xf numFmtId="0" fontId="37" fillId="8" borderId="0" xfId="0" applyFont="1" applyFill="1" applyAlignment="1" applyProtection="1">
      <alignment horizontal="left" vertical="center"/>
      <protection locked="0"/>
    </xf>
    <xf numFmtId="0" fontId="159" fillId="0" borderId="2" xfId="15" applyFont="1" applyBorder="1" applyAlignment="1">
      <alignment horizontal="center" vertical="center"/>
    </xf>
    <xf numFmtId="0" fontId="181" fillId="0" borderId="0" xfId="15" applyFont="1" applyAlignment="1">
      <alignment horizontal="center" vertical="center"/>
    </xf>
    <xf numFmtId="0" fontId="181" fillId="0" borderId="2" xfId="15" applyFont="1" applyBorder="1" applyAlignment="1">
      <alignment horizontal="center" vertical="center"/>
    </xf>
    <xf numFmtId="0" fontId="181" fillId="0" borderId="0" xfId="15" applyFont="1">
      <alignment vertical="center"/>
    </xf>
    <xf numFmtId="0" fontId="154" fillId="0" borderId="0" xfId="0" applyFont="1" applyAlignment="1">
      <alignment horizontal="center" vertical="center"/>
    </xf>
    <xf numFmtId="49" fontId="154" fillId="0" borderId="0" xfId="0" applyNumberFormat="1" applyFont="1" applyAlignment="1">
      <alignment horizontal="center" vertical="center"/>
    </xf>
    <xf numFmtId="0" fontId="150" fillId="0" borderId="0" xfId="0" applyFont="1">
      <alignment vertical="center"/>
    </xf>
    <xf numFmtId="0" fontId="154" fillId="0" borderId="2" xfId="0" applyFont="1" applyBorder="1" applyAlignment="1">
      <alignment horizontal="center" vertical="center"/>
    </xf>
    <xf numFmtId="49" fontId="154" fillId="0" borderId="2" xfId="0" applyNumberFormat="1" applyFont="1" applyBorder="1" applyAlignment="1">
      <alignment horizontal="center" vertical="center"/>
    </xf>
    <xf numFmtId="2" fontId="154" fillId="0" borderId="2" xfId="0" applyNumberFormat="1" applyFont="1" applyBorder="1" applyAlignment="1">
      <alignment horizontal="center" vertical="center"/>
    </xf>
    <xf numFmtId="9" fontId="154" fillId="0" borderId="2" xfId="0" applyNumberFormat="1" applyFont="1" applyBorder="1" applyAlignment="1">
      <alignment horizontal="center" vertical="center"/>
    </xf>
    <xf numFmtId="0" fontId="154" fillId="18" borderId="2" xfId="0" applyFont="1" applyFill="1" applyBorder="1" applyAlignment="1">
      <alignment horizontal="center" vertical="center"/>
    </xf>
    <xf numFmtId="49" fontId="154" fillId="18" borderId="2" xfId="0" applyNumberFormat="1" applyFont="1" applyFill="1" applyBorder="1" applyAlignment="1">
      <alignment horizontal="center" vertical="center"/>
    </xf>
    <xf numFmtId="2" fontId="154" fillId="18" borderId="2" xfId="0" applyNumberFormat="1" applyFont="1" applyFill="1" applyBorder="1" applyAlignment="1">
      <alignment horizontal="center" vertical="center"/>
    </xf>
    <xf numFmtId="9" fontId="154" fillId="18" borderId="2" xfId="0" applyNumberFormat="1" applyFont="1" applyFill="1" applyBorder="1" applyAlignment="1">
      <alignment horizontal="center"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 fontId="154" fillId="0" borderId="10" xfId="0" applyNumberFormat="1" applyFont="1" applyBorder="1" applyAlignment="1">
      <alignment horizontal="center" vertical="center"/>
    </xf>
    <xf numFmtId="9" fontId="154" fillId="0" borderId="10" xfId="0" applyNumberFormat="1" applyFont="1" applyBorder="1" applyAlignment="1">
      <alignment horizontal="center" vertical="center"/>
    </xf>
    <xf numFmtId="0" fontId="172" fillId="0" borderId="11" xfId="0" applyFont="1" applyBorder="1" applyAlignment="1">
      <alignment horizontal="center" vertical="center"/>
    </xf>
    <xf numFmtId="2" fontId="154" fillId="0" borderId="12" xfId="0" applyNumberFormat="1" applyFont="1" applyBorder="1" applyAlignment="1">
      <alignment horizontal="center" vertical="center"/>
    </xf>
    <xf numFmtId="0" fontId="172" fillId="18" borderId="11" xfId="0" applyFont="1" applyFill="1" applyBorder="1" applyAlignment="1">
      <alignment horizontal="center" vertical="center"/>
    </xf>
    <xf numFmtId="2" fontId="154" fillId="18" borderId="12" xfId="0" applyNumberFormat="1" applyFont="1" applyFill="1" applyBorder="1" applyAlignment="1">
      <alignment horizontal="center" vertical="center"/>
    </xf>
    <xf numFmtId="0" fontId="154" fillId="0" borderId="11" xfId="0" applyFont="1" applyBorder="1" applyAlignment="1">
      <alignment horizontal="center" vertical="center"/>
    </xf>
    <xf numFmtId="0" fontId="154" fillId="18" borderId="11" xfId="0" applyFont="1" applyFill="1" applyBorder="1" applyAlignment="1">
      <alignment horizontal="center" vertical="center"/>
    </xf>
    <xf numFmtId="0" fontId="172" fillId="0" borderId="22" xfId="0" applyFont="1" applyBorder="1" applyAlignment="1">
      <alignment horizontal="center" vertical="center"/>
    </xf>
    <xf numFmtId="2" fontId="154" fillId="0" borderId="25" xfId="0" applyNumberFormat="1" applyFont="1" applyBorder="1" applyAlignment="1">
      <alignment horizontal="center" vertical="center"/>
    </xf>
    <xf numFmtId="0" fontId="172" fillId="19" borderId="153" xfId="0" applyFont="1" applyFill="1" applyBorder="1" applyAlignment="1">
      <alignment horizontal="center" vertical="center"/>
    </xf>
    <xf numFmtId="0" fontId="154" fillId="19" borderId="154" xfId="0" applyFont="1" applyFill="1" applyBorder="1" applyAlignment="1">
      <alignment horizontal="center" vertical="center"/>
    </xf>
    <xf numFmtId="49" fontId="154" fillId="19" borderId="154" xfId="0" applyNumberFormat="1" applyFont="1" applyFill="1" applyBorder="1" applyAlignment="1">
      <alignment horizontal="center" vertical="center"/>
    </xf>
    <xf numFmtId="2" fontId="154" fillId="19" borderId="154" xfId="0" applyNumberFormat="1" applyFont="1" applyFill="1" applyBorder="1" applyAlignment="1">
      <alignment horizontal="center" vertical="center"/>
    </xf>
    <xf numFmtId="2" fontId="154" fillId="19" borderId="155" xfId="0" applyNumberFormat="1" applyFont="1" applyFill="1" applyBorder="1" applyAlignment="1">
      <alignment horizontal="center" vertical="center"/>
    </xf>
    <xf numFmtId="0" fontId="172" fillId="0" borderId="50" xfId="0" applyFont="1" applyBorder="1" applyAlignment="1">
      <alignment horizontal="center" vertical="center"/>
    </xf>
    <xf numFmtId="0" fontId="154" fillId="0" borderId="21" xfId="0" applyFont="1" applyBorder="1" applyAlignment="1">
      <alignment horizontal="center" vertical="center"/>
    </xf>
    <xf numFmtId="49" fontId="154" fillId="0" borderId="21" xfId="0" applyNumberFormat="1" applyFont="1" applyBorder="1" applyAlignment="1">
      <alignment horizontal="center" vertical="center"/>
    </xf>
    <xf numFmtId="2" fontId="154" fillId="0" borderId="21" xfId="0" applyNumberFormat="1" applyFont="1" applyBorder="1" applyAlignment="1">
      <alignment horizontal="center" vertical="center"/>
    </xf>
    <xf numFmtId="1" fontId="154" fillId="0" borderId="21" xfId="0" applyNumberFormat="1" applyFont="1" applyBorder="1" applyAlignment="1">
      <alignment horizontal="center" vertical="center"/>
    </xf>
    <xf numFmtId="9" fontId="154" fillId="0" borderId="21" xfId="0" applyNumberFormat="1" applyFont="1" applyBorder="1" applyAlignment="1">
      <alignment horizontal="center" vertical="center"/>
    </xf>
    <xf numFmtId="2" fontId="154" fillId="0" borderId="51" xfId="0" applyNumberFormat="1" applyFont="1" applyBorder="1" applyAlignment="1">
      <alignment horizontal="center" vertical="center"/>
    </xf>
    <xf numFmtId="0" fontId="283" fillId="0" borderId="2" xfId="15" applyFont="1" applyBorder="1" applyAlignment="1">
      <alignment horizontal="center" vertical="center"/>
    </xf>
    <xf numFmtId="0" fontId="285" fillId="0" borderId="0" xfId="16">
      <alignment vertical="center"/>
    </xf>
    <xf numFmtId="0" fontId="0" fillId="0" borderId="2" xfId="0" applyBorder="1" applyAlignment="1">
      <alignment horizontal="center" vertical="center"/>
    </xf>
    <xf numFmtId="0" fontId="150" fillId="0" borderId="2" xfId="0" applyFont="1" applyBorder="1">
      <alignment vertical="center"/>
    </xf>
    <xf numFmtId="0" fontId="150" fillId="0" borderId="2" xfId="0" applyFont="1" applyBorder="1" applyAlignment="1">
      <alignment horizontal="center" vertical="center"/>
    </xf>
    <xf numFmtId="2" fontId="150"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1" fillId="6" borderId="0" xfId="0" applyFont="1"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172" fillId="0" borderId="2" xfId="0" applyFont="1" applyBorder="1" applyAlignment="1">
      <alignment horizontal="center" vertical="center"/>
    </xf>
    <xf numFmtId="0" fontId="150"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4" fillId="16" borderId="0" xfId="0" applyNumberFormat="1" applyFont="1" applyFill="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48" fillId="0" borderId="0" xfId="19" applyFont="1" applyAlignment="1">
      <alignment horizontal="center" vertical="center" wrapText="1"/>
    </xf>
    <xf numFmtId="0" fontId="48" fillId="0" borderId="0" xfId="19" applyFont="1" applyAlignment="1">
      <alignment vertical="center"/>
    </xf>
    <xf numFmtId="0" fontId="289" fillId="0" borderId="0" xfId="19" applyFont="1" applyAlignment="1">
      <alignment vertical="center"/>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0" borderId="0" xfId="19" applyNumberFormat="1" applyFont="1" applyAlignment="1">
      <alignment horizontal="right" vertical="center"/>
    </xf>
    <xf numFmtId="0" fontId="48" fillId="0" borderId="0" xfId="19" applyFont="1" applyAlignment="1">
      <alignment horizontal="right" vertical="center"/>
    </xf>
    <xf numFmtId="0" fontId="132" fillId="0" borderId="0" xfId="19" applyFont="1" applyAlignment="1">
      <alignment horizontal="right" vertical="center"/>
    </xf>
    <xf numFmtId="0" fontId="48" fillId="0" borderId="0" xfId="19" applyFont="1" applyAlignment="1">
      <alignment horizontal="center" vertical="center"/>
    </xf>
    <xf numFmtId="0" fontId="132" fillId="0" borderId="2" xfId="19" applyFont="1" applyBorder="1" applyAlignment="1">
      <alignment horizontal="center" vertical="center"/>
    </xf>
    <xf numFmtId="0" fontId="132" fillId="0" borderId="157" xfId="19" applyFont="1" applyBorder="1" applyAlignment="1">
      <alignment horizontal="center" vertical="center"/>
    </xf>
    <xf numFmtId="0" fontId="132" fillId="0" borderId="9" xfId="19" applyFont="1" applyBorder="1" applyAlignment="1">
      <alignment horizontal="center" vertical="center"/>
    </xf>
    <xf numFmtId="0" fontId="48" fillId="0" borderId="2" xfId="19" applyFont="1" applyBorder="1" applyAlignment="1">
      <alignment horizontal="center" vertical="center"/>
    </xf>
    <xf numFmtId="14" fontId="8" fillId="0" borderId="158" xfId="19" applyNumberFormat="1" applyFont="1" applyBorder="1" applyAlignment="1">
      <alignment horizontal="right" vertical="center" wrapText="1"/>
    </xf>
    <xf numFmtId="4" fontId="8" fillId="0" borderId="158" xfId="19" applyNumberFormat="1" applyFont="1" applyBorder="1" applyAlignment="1">
      <alignment horizontal="right" vertical="center" wrapText="1"/>
    </xf>
    <xf numFmtId="0" fontId="48" fillId="8" borderId="2" xfId="19" applyFont="1" applyFill="1" applyBorder="1" applyAlignment="1">
      <alignment horizontal="center" vertical="center"/>
    </xf>
    <xf numFmtId="0" fontId="8" fillId="8" borderId="158" xfId="19" applyFont="1" applyFill="1" applyBorder="1" applyAlignment="1">
      <alignment vertical="center" wrapText="1"/>
    </xf>
    <xf numFmtId="4" fontId="8" fillId="8" borderId="2" xfId="19" applyNumberFormat="1" applyFont="1" applyFill="1" applyBorder="1" applyAlignment="1">
      <alignment horizontal="right" vertical="center" wrapText="1"/>
    </xf>
    <xf numFmtId="0" fontId="132" fillId="8" borderId="2" xfId="19" applyFont="1" applyFill="1" applyBorder="1" applyAlignment="1">
      <alignment horizontal="center" vertical="center"/>
    </xf>
    <xf numFmtId="0" fontId="48" fillId="8" borderId="0" xfId="19" applyFont="1" applyFill="1" applyAlignment="1">
      <alignment horizontal="center" vertical="center"/>
    </xf>
    <xf numFmtId="2" fontId="8" fillId="0" borderId="158" xfId="19" applyNumberFormat="1" applyFont="1" applyBorder="1" applyAlignment="1">
      <alignment horizontal="right" vertical="center" wrapText="1"/>
    </xf>
    <xf numFmtId="2" fontId="8" fillId="8" borderId="158" xfId="19" applyNumberFormat="1" applyFont="1" applyFill="1" applyBorder="1" applyAlignment="1">
      <alignment horizontal="right" vertical="center" wrapText="1"/>
    </xf>
    <xf numFmtId="4" fontId="8" fillId="8" borderId="158" xfId="19" applyNumberFormat="1" applyFont="1" applyFill="1" applyBorder="1" applyAlignment="1">
      <alignment horizontal="right" vertical="center" wrapText="1"/>
    </xf>
    <xf numFmtId="0" fontId="48" fillId="0" borderId="10" xfId="19" applyFont="1" applyBorder="1" applyAlignment="1">
      <alignment horizontal="center" vertical="center"/>
    </xf>
    <xf numFmtId="14" fontId="8" fillId="0" borderId="159" xfId="19" applyNumberFormat="1" applyFont="1" applyBorder="1" applyAlignment="1">
      <alignment horizontal="right" vertical="center" wrapText="1"/>
    </xf>
    <xf numFmtId="4" fontId="8" fillId="0" borderId="159" xfId="19" applyNumberFormat="1" applyFont="1" applyBorder="1" applyAlignment="1">
      <alignment horizontal="right" vertical="center" wrapText="1"/>
    </xf>
    <xf numFmtId="0" fontId="132" fillId="0" borderId="10" xfId="19" applyFont="1" applyBorder="1" applyAlignment="1">
      <alignment horizontal="center" vertical="center"/>
    </xf>
    <xf numFmtId="0" fontId="48" fillId="0" borderId="2" xfId="19" applyFont="1" applyFill="1" applyBorder="1" applyAlignment="1">
      <alignment horizontal="center" vertical="center"/>
    </xf>
    <xf numFmtId="14" fontId="8" fillId="0" borderId="2" xfId="19" applyNumberFormat="1" applyFont="1" applyFill="1" applyBorder="1" applyAlignment="1">
      <alignment horizontal="right" vertical="center" wrapText="1"/>
    </xf>
    <xf numFmtId="4" fontId="8" fillId="0" borderId="2" xfId="19" applyNumberFormat="1" applyFont="1" applyFill="1" applyBorder="1" applyAlignment="1">
      <alignment horizontal="right" vertical="center" wrapText="1"/>
    </xf>
    <xf numFmtId="0" fontId="132" fillId="0" borderId="2" xfId="19" applyFont="1" applyFill="1" applyBorder="1" applyAlignment="1">
      <alignment horizontal="center" vertical="center"/>
    </xf>
    <xf numFmtId="0" fontId="48" fillId="0" borderId="0" xfId="19" applyFont="1" applyFill="1" applyAlignment="1">
      <alignment horizontal="center" vertical="center"/>
    </xf>
    <xf numFmtId="14" fontId="48" fillId="0" borderId="0" xfId="19" applyNumberFormat="1" applyFont="1" applyFill="1" applyAlignment="1">
      <alignment horizontal="center" vertical="center"/>
    </xf>
    <xf numFmtId="14" fontId="48" fillId="0" borderId="2" xfId="19" applyNumberFormat="1" applyFont="1" applyFill="1" applyBorder="1" applyAlignment="1">
      <alignment horizontal="center" vertical="center" shrinkToFit="1"/>
    </xf>
    <xf numFmtId="43" fontId="48" fillId="0" borderId="2" xfId="19" applyNumberFormat="1" applyFont="1" applyFill="1" applyBorder="1" applyAlignment="1">
      <alignment horizontal="right" vertical="center"/>
    </xf>
    <xf numFmtId="0" fontId="48" fillId="0" borderId="2" xfId="19" applyFont="1" applyFill="1" applyBorder="1" applyAlignment="1">
      <alignment vertical="center"/>
    </xf>
    <xf numFmtId="0" fontId="48" fillId="0" borderId="0" xfId="19" applyFont="1" applyFill="1" applyAlignment="1">
      <alignment vertical="center"/>
    </xf>
    <xf numFmtId="14" fontId="48" fillId="0" borderId="2" xfId="19" applyNumberFormat="1" applyFont="1" applyBorder="1" applyAlignment="1">
      <alignment horizontal="center" vertical="center" shrinkToFit="1"/>
    </xf>
    <xf numFmtId="43" fontId="48" fillId="0" borderId="2" xfId="19" applyNumberFormat="1" applyFont="1" applyBorder="1" applyAlignment="1">
      <alignment horizontal="right" vertical="center"/>
    </xf>
    <xf numFmtId="0" fontId="48" fillId="0" borderId="2" xfId="19" applyNumberFormat="1" applyFont="1" applyBorder="1" applyAlignment="1">
      <alignment horizontal="center" vertical="center"/>
    </xf>
    <xf numFmtId="0" fontId="48" fillId="0" borderId="2" xfId="19" applyFont="1" applyBorder="1" applyAlignment="1">
      <alignment vertical="center"/>
    </xf>
    <xf numFmtId="43" fontId="48" fillId="0" borderId="9" xfId="19" applyNumberFormat="1" applyFont="1" applyBorder="1" applyAlignment="1">
      <alignment horizontal="right" vertical="center"/>
    </xf>
    <xf numFmtId="43" fontId="48" fillId="0" borderId="157" xfId="19" applyNumberFormat="1" applyFont="1" applyBorder="1" applyAlignment="1">
      <alignment horizontal="right" vertical="center"/>
    </xf>
    <xf numFmtId="43" fontId="48" fillId="0" borderId="0" xfId="19" applyNumberFormat="1" applyFont="1" applyAlignment="1">
      <alignment vertical="center"/>
    </xf>
    <xf numFmtId="195" fontId="287" fillId="8" borderId="0" xfId="18" applyNumberFormat="1" applyFont="1" applyFill="1" applyAlignment="1" applyProtection="1">
      <alignment horizontal="left" vertical="center" shrinkToFit="1"/>
      <protection locked="0" hidden="1"/>
    </xf>
    <xf numFmtId="0" fontId="287" fillId="8" borderId="0" xfId="18" applyFont="1" applyFill="1" applyAlignment="1" applyProtection="1">
      <alignment horizontal="left" vertical="center" wrapText="1"/>
    </xf>
    <xf numFmtId="0" fontId="48" fillId="8" borderId="0" xfId="19" applyFont="1" applyFill="1" applyAlignment="1">
      <alignment horizontal="center" vertical="center" wrapText="1"/>
    </xf>
    <xf numFmtId="177" fontId="48" fillId="8" borderId="0" xfId="19" applyNumberFormat="1" applyFont="1" applyFill="1" applyAlignment="1">
      <alignment horizontal="center" vertical="center"/>
    </xf>
    <xf numFmtId="177" fontId="48" fillId="8" borderId="0" xfId="19" applyNumberFormat="1" applyFont="1" applyFill="1" applyAlignment="1">
      <alignment vertical="center"/>
    </xf>
    <xf numFmtId="0" fontId="48" fillId="8" borderId="0" xfId="19" applyFont="1" applyFill="1" applyAlignment="1">
      <alignment vertical="center"/>
    </xf>
    <xf numFmtId="0" fontId="48" fillId="8" borderId="0" xfId="19" applyFont="1" applyFill="1" applyAlignment="1">
      <alignment horizontal="right" vertical="center"/>
    </xf>
    <xf numFmtId="0" fontId="132" fillId="8" borderId="2" xfId="20" applyFont="1" applyFill="1" applyBorder="1" applyAlignment="1">
      <alignment horizontal="center" vertical="center"/>
    </xf>
    <xf numFmtId="0" fontId="48" fillId="8" borderId="10" xfId="19" applyFont="1" applyFill="1" applyBorder="1" applyAlignment="1">
      <alignment horizontal="center" vertical="center"/>
    </xf>
    <xf numFmtId="0" fontId="8" fillId="8" borderId="159" xfId="19" applyFont="1" applyFill="1" applyBorder="1" applyAlignment="1">
      <alignment vertical="center" wrapText="1"/>
    </xf>
    <xf numFmtId="0" fontId="132" fillId="8" borderId="10" xfId="20" applyFont="1" applyFill="1" applyBorder="1" applyAlignment="1">
      <alignment horizontal="center" vertical="center"/>
    </xf>
    <xf numFmtId="0" fontId="8" fillId="8" borderId="2" xfId="19" applyFont="1" applyFill="1" applyBorder="1" applyAlignment="1">
      <alignment vertical="center" wrapText="1"/>
    </xf>
    <xf numFmtId="0" fontId="48" fillId="8" borderId="2" xfId="20" applyFont="1" applyFill="1" applyBorder="1" applyAlignment="1">
      <alignment horizontal="center" vertical="center"/>
    </xf>
    <xf numFmtId="0" fontId="48" fillId="8" borderId="0" xfId="19" applyNumberFormat="1" applyFont="1" applyFill="1" applyAlignment="1">
      <alignment vertical="center"/>
    </xf>
    <xf numFmtId="43" fontId="48" fillId="8" borderId="0" xfId="19" applyNumberFormat="1" applyFont="1" applyFill="1" applyAlignment="1">
      <alignment vertical="center"/>
    </xf>
    <xf numFmtId="0" fontId="48" fillId="23" borderId="2" xfId="19" applyFont="1" applyFill="1" applyBorder="1" applyAlignment="1">
      <alignment horizontal="center" vertical="center"/>
    </xf>
    <xf numFmtId="0" fontId="8" fillId="23" borderId="158" xfId="19" applyFont="1" applyFill="1" applyBorder="1" applyAlignment="1">
      <alignment vertical="center" wrapText="1"/>
    </xf>
    <xf numFmtId="0" fontId="132" fillId="23" borderId="2" xfId="20" applyFont="1" applyFill="1" applyBorder="1" applyAlignment="1">
      <alignment horizontal="center" vertical="center"/>
    </xf>
    <xf numFmtId="14" fontId="8" fillId="23" borderId="158" xfId="19" applyNumberFormat="1" applyFont="1" applyFill="1" applyBorder="1" applyAlignment="1">
      <alignment horizontal="right" vertical="center" wrapText="1"/>
    </xf>
    <xf numFmtId="4" fontId="8" fillId="23" borderId="158" xfId="19" applyNumberFormat="1" applyFont="1" applyFill="1" applyBorder="1" applyAlignment="1">
      <alignment horizontal="right" vertical="center" wrapText="1"/>
    </xf>
    <xf numFmtId="0" fontId="132" fillId="23" borderId="2" xfId="19" applyFont="1" applyFill="1" applyBorder="1" applyAlignment="1">
      <alignment horizontal="center" vertical="center"/>
    </xf>
    <xf numFmtId="0" fontId="48" fillId="23" borderId="0" xfId="19" applyFont="1" applyFill="1" applyAlignment="1">
      <alignment horizontal="center" vertical="center"/>
    </xf>
    <xf numFmtId="0" fontId="48" fillId="21" borderId="2" xfId="19" applyFont="1" applyFill="1" applyBorder="1" applyAlignment="1">
      <alignment horizontal="center" vertical="center"/>
    </xf>
    <xf numFmtId="0" fontId="8" fillId="21" borderId="158" xfId="19" applyFont="1" applyFill="1" applyBorder="1" applyAlignment="1">
      <alignment vertical="center" wrapText="1"/>
    </xf>
    <xf numFmtId="0" fontId="132" fillId="21" borderId="2" xfId="20" applyFont="1" applyFill="1" applyBorder="1" applyAlignment="1">
      <alignment horizontal="center" vertical="center"/>
    </xf>
    <xf numFmtId="14" fontId="8" fillId="21" borderId="158" xfId="19" applyNumberFormat="1" applyFont="1" applyFill="1" applyBorder="1" applyAlignment="1">
      <alignment horizontal="right" vertical="center" wrapText="1"/>
    </xf>
    <xf numFmtId="4" fontId="8" fillId="21" borderId="158" xfId="19" applyNumberFormat="1" applyFont="1" applyFill="1" applyBorder="1" applyAlignment="1">
      <alignment horizontal="right" vertical="center" wrapText="1"/>
    </xf>
    <xf numFmtId="0" fontId="132" fillId="21" borderId="2" xfId="19" applyFont="1" applyFill="1" applyBorder="1" applyAlignment="1">
      <alignment horizontal="center" vertical="center"/>
    </xf>
    <xf numFmtId="0" fontId="48" fillId="21" borderId="0" xfId="19" applyFont="1" applyFill="1" applyAlignment="1">
      <alignment horizontal="center" vertical="center"/>
    </xf>
    <xf numFmtId="2" fontId="8" fillId="21" borderId="158" xfId="19" applyNumberFormat="1" applyFont="1" applyFill="1" applyBorder="1" applyAlignment="1">
      <alignment horizontal="right" vertical="center" wrapText="1"/>
    </xf>
    <xf numFmtId="0" fontId="48" fillId="19" borderId="2" xfId="19" applyFont="1" applyFill="1" applyBorder="1" applyAlignment="1">
      <alignment horizontal="center" vertical="center"/>
    </xf>
    <xf numFmtId="0" fontId="8" fillId="19" borderId="158" xfId="19" applyFont="1" applyFill="1" applyBorder="1" applyAlignment="1">
      <alignment vertical="center" wrapText="1"/>
    </xf>
    <xf numFmtId="0" fontId="132" fillId="19" borderId="2" xfId="20" applyFont="1" applyFill="1" applyBorder="1" applyAlignment="1">
      <alignment horizontal="center" vertical="center"/>
    </xf>
    <xf numFmtId="14" fontId="8" fillId="19" borderId="158" xfId="19" applyNumberFormat="1" applyFont="1" applyFill="1" applyBorder="1" applyAlignment="1">
      <alignment horizontal="right" vertical="center" wrapText="1"/>
    </xf>
    <xf numFmtId="4" fontId="8" fillId="19" borderId="2" xfId="19" applyNumberFormat="1" applyFont="1" applyFill="1" applyBorder="1" applyAlignment="1">
      <alignment horizontal="right" vertical="center" wrapText="1"/>
    </xf>
    <xf numFmtId="0" fontId="132" fillId="19" borderId="2" xfId="19" applyFont="1" applyFill="1" applyBorder="1" applyAlignment="1">
      <alignment horizontal="center" vertical="center"/>
    </xf>
    <xf numFmtId="0" fontId="48" fillId="19" borderId="0" xfId="19" applyFont="1" applyFill="1" applyAlignment="1">
      <alignment horizontal="center" vertical="center"/>
    </xf>
    <xf numFmtId="4" fontId="8" fillId="19" borderId="158" xfId="19" applyNumberFormat="1" applyFont="1" applyFill="1" applyBorder="1" applyAlignment="1">
      <alignment horizontal="right" vertical="center" wrapText="1"/>
    </xf>
    <xf numFmtId="0" fontId="48" fillId="20" borderId="2" xfId="19" applyFont="1" applyFill="1" applyBorder="1" applyAlignment="1">
      <alignment horizontal="center" vertical="center"/>
    </xf>
    <xf numFmtId="0" fontId="8" fillId="20" borderId="158" xfId="19" applyFont="1" applyFill="1" applyBorder="1" applyAlignment="1">
      <alignment vertical="center" wrapText="1"/>
    </xf>
    <xf numFmtId="0" fontId="132" fillId="20" borderId="2" xfId="20" applyFont="1" applyFill="1" applyBorder="1" applyAlignment="1">
      <alignment horizontal="center" vertical="center"/>
    </xf>
    <xf numFmtId="14" fontId="8" fillId="20" borderId="158" xfId="19" applyNumberFormat="1" applyFont="1" applyFill="1" applyBorder="1" applyAlignment="1">
      <alignment horizontal="right" vertical="center" wrapText="1"/>
    </xf>
    <xf numFmtId="4" fontId="8" fillId="20" borderId="158" xfId="19" applyNumberFormat="1" applyFont="1" applyFill="1" applyBorder="1" applyAlignment="1">
      <alignment horizontal="right" vertical="center" wrapText="1"/>
    </xf>
    <xf numFmtId="0" fontId="132" fillId="20" borderId="2" xfId="19" applyFont="1" applyFill="1" applyBorder="1" applyAlignment="1">
      <alignment horizontal="center" vertical="center"/>
    </xf>
    <xf numFmtId="0" fontId="48" fillId="20" borderId="0" xfId="19" applyFont="1" applyFill="1" applyAlignment="1">
      <alignment horizontal="center" vertical="center"/>
    </xf>
    <xf numFmtId="0" fontId="48" fillId="14" borderId="2" xfId="19" applyFont="1" applyFill="1" applyBorder="1" applyAlignment="1">
      <alignment horizontal="center" vertical="center"/>
    </xf>
    <xf numFmtId="0" fontId="8" fillId="14" borderId="158" xfId="19" applyFont="1" applyFill="1" applyBorder="1" applyAlignment="1">
      <alignment vertical="center" wrapText="1"/>
    </xf>
    <xf numFmtId="0" fontId="132" fillId="14" borderId="2" xfId="20" applyFont="1" applyFill="1" applyBorder="1" applyAlignment="1">
      <alignment horizontal="center" vertical="center"/>
    </xf>
    <xf numFmtId="14" fontId="8" fillId="14" borderId="158" xfId="19" applyNumberFormat="1" applyFont="1" applyFill="1" applyBorder="1" applyAlignment="1">
      <alignment horizontal="right" vertical="center" wrapText="1"/>
    </xf>
    <xf numFmtId="4" fontId="8" fillId="14" borderId="158" xfId="19" applyNumberFormat="1" applyFont="1" applyFill="1" applyBorder="1" applyAlignment="1">
      <alignment horizontal="right" vertical="center" wrapText="1"/>
    </xf>
    <xf numFmtId="0" fontId="132" fillId="14" borderId="2" xfId="19" applyFont="1" applyFill="1" applyBorder="1" applyAlignment="1">
      <alignment horizontal="center" vertical="center"/>
    </xf>
    <xf numFmtId="0" fontId="48" fillId="14" borderId="0" xfId="19" applyFont="1" applyFill="1" applyAlignment="1">
      <alignment horizontal="center" vertical="center"/>
    </xf>
    <xf numFmtId="0" fontId="48" fillId="15" borderId="2" xfId="19" applyFont="1" applyFill="1" applyBorder="1" applyAlignment="1">
      <alignment horizontal="center" vertical="center"/>
    </xf>
    <xf numFmtId="0" fontId="8" fillId="15" borderId="158" xfId="19" applyFont="1" applyFill="1" applyBorder="1" applyAlignment="1">
      <alignment vertical="center" wrapText="1"/>
    </xf>
    <xf numFmtId="0" fontId="132" fillId="15" borderId="2" xfId="20" applyFont="1" applyFill="1" applyBorder="1" applyAlignment="1">
      <alignment horizontal="center" vertical="center"/>
    </xf>
    <xf numFmtId="14" fontId="8" fillId="15" borderId="158" xfId="19" applyNumberFormat="1" applyFont="1" applyFill="1" applyBorder="1" applyAlignment="1">
      <alignment horizontal="right" vertical="center" wrapText="1"/>
    </xf>
    <xf numFmtId="4" fontId="8" fillId="15" borderId="158" xfId="19" applyNumberFormat="1" applyFont="1" applyFill="1" applyBorder="1" applyAlignment="1">
      <alignment horizontal="right" vertical="center" wrapText="1"/>
    </xf>
    <xf numFmtId="0" fontId="132" fillId="15" borderId="2" xfId="19" applyFont="1" applyFill="1" applyBorder="1" applyAlignment="1">
      <alignment horizontal="center" vertical="center"/>
    </xf>
    <xf numFmtId="0" fontId="48" fillId="15" borderId="0" xfId="19" applyFont="1" applyFill="1" applyAlignment="1">
      <alignment horizontal="center" vertical="center"/>
    </xf>
    <xf numFmtId="0" fontId="150" fillId="0" borderId="0" xfId="0" applyFont="1" applyAlignment="1">
      <alignment horizontal="left" vertical="center"/>
    </xf>
    <xf numFmtId="0" fontId="150" fillId="0" borderId="2" xfId="0" applyFont="1" applyBorder="1" applyAlignment="1">
      <alignment horizontal="left" vertical="center"/>
    </xf>
    <xf numFmtId="0" fontId="0" fillId="0" borderId="2" xfId="0" applyBorder="1" applyAlignment="1">
      <alignment horizontal="left" vertical="center"/>
    </xf>
    <xf numFmtId="0" fontId="150" fillId="19" borderId="2" xfId="0" applyFont="1" applyFill="1" applyBorder="1" applyAlignment="1">
      <alignment horizontal="left" vertical="center"/>
    </xf>
    <xf numFmtId="0" fontId="150" fillId="3" borderId="0" xfId="1" applyFill="1" applyAlignment="1">
      <alignment horizontal="center" vertical="center"/>
    </xf>
    <xf numFmtId="177" fontId="291" fillId="3" borderId="2" xfId="3" applyNumberFormat="1" applyFont="1" applyFill="1" applyBorder="1" applyAlignment="1">
      <alignment horizontal="center" vertical="center" wrapText="1" readingOrder="1"/>
    </xf>
    <xf numFmtId="177" fontId="291" fillId="9" borderId="2" xfId="3" applyNumberFormat="1" applyFont="1" applyFill="1" applyBorder="1" applyAlignment="1">
      <alignment horizontal="center" vertical="center" wrapText="1" readingOrder="1"/>
    </xf>
    <xf numFmtId="0" fontId="291" fillId="3" borderId="10" xfId="3" applyFont="1" applyFill="1" applyBorder="1" applyAlignment="1">
      <alignment vertical="center" wrapText="1" readingOrder="1"/>
    </xf>
    <xf numFmtId="0" fontId="206" fillId="0" borderId="0" xfId="1" applyFont="1" applyFill="1" applyAlignment="1">
      <alignment horizontal="center" vertical="center"/>
    </xf>
    <xf numFmtId="0" fontId="206"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center" vertical="center" wrapText="1" readingOrder="1"/>
    </xf>
    <xf numFmtId="177" fontId="87" fillId="0" borderId="5" xfId="1" applyNumberFormat="1" applyFont="1" applyFill="1" applyBorder="1" applyAlignment="1">
      <alignment horizontal="left" vertical="center" wrapText="1" readingOrder="1"/>
    </xf>
    <xf numFmtId="177" fontId="132" fillId="0" borderId="2" xfId="1" applyNumberFormat="1" applyFont="1" applyFill="1" applyBorder="1" applyAlignment="1">
      <alignment horizontal="center" vertical="center" wrapText="1" readingOrder="1"/>
    </xf>
    <xf numFmtId="177" fontId="132" fillId="0" borderId="2" xfId="1" applyNumberFormat="1" applyFont="1" applyFill="1" applyBorder="1" applyAlignment="1">
      <alignment horizontal="left" vertical="center" wrapText="1" readingOrder="1"/>
    </xf>
    <xf numFmtId="0" fontId="206" fillId="0" borderId="2" xfId="1" applyFont="1" applyFill="1" applyBorder="1" applyAlignment="1">
      <alignment horizontal="center" vertical="center"/>
    </xf>
    <xf numFmtId="177" fontId="206" fillId="0" borderId="2" xfId="1" applyNumberFormat="1" applyFont="1" applyFill="1" applyBorder="1" applyAlignment="1">
      <alignment horizontal="center" vertical="center"/>
    </xf>
    <xf numFmtId="0" fontId="132" fillId="9" borderId="0" xfId="1" applyFont="1" applyFill="1" applyAlignment="1">
      <alignment horizontal="center" vertical="center"/>
    </xf>
    <xf numFmtId="0" fontId="132" fillId="9" borderId="2" xfId="1" applyFont="1" applyFill="1" applyBorder="1" applyAlignment="1">
      <alignment horizontal="center" vertical="center" wrapText="1" readingOrder="1"/>
    </xf>
    <xf numFmtId="177" fontId="132" fillId="9" borderId="2" xfId="1" applyNumberFormat="1" applyFont="1" applyFill="1" applyBorder="1" applyAlignment="1">
      <alignment horizontal="center" vertical="center" wrapText="1" readingOrder="1"/>
    </xf>
    <xf numFmtId="177" fontId="132" fillId="9" borderId="5" xfId="1" applyNumberFormat="1" applyFont="1" applyFill="1" applyBorder="1" applyAlignment="1">
      <alignment horizontal="left" vertical="center" wrapText="1" readingOrder="1"/>
    </xf>
    <xf numFmtId="177" fontId="132" fillId="9" borderId="2" xfId="1" applyNumberFormat="1" applyFont="1" applyFill="1" applyBorder="1" applyAlignment="1">
      <alignment horizontal="left" vertical="center" wrapText="1" readingOrder="1"/>
    </xf>
    <xf numFmtId="0" fontId="132" fillId="9" borderId="2" xfId="1" applyFont="1" applyFill="1" applyBorder="1" applyAlignment="1">
      <alignment horizontal="center" vertical="center"/>
    </xf>
    <xf numFmtId="177" fontId="132" fillId="9" borderId="2" xfId="1" applyNumberFormat="1" applyFont="1" applyFill="1" applyBorder="1" applyAlignment="1">
      <alignment horizontal="center" vertical="center"/>
    </xf>
    <xf numFmtId="0" fontId="206" fillId="6" borderId="0" xfId="1" applyFont="1" applyFill="1" applyAlignment="1">
      <alignment horizontal="center" vertical="center"/>
    </xf>
    <xf numFmtId="0" fontId="206" fillId="6" borderId="2" xfId="1" applyFont="1" applyFill="1" applyBorder="1" applyAlignment="1">
      <alignment horizontal="center" vertical="center" wrapText="1" readingOrder="1"/>
    </xf>
    <xf numFmtId="177" fontId="87" fillId="6" borderId="2" xfId="1" applyNumberFormat="1" applyFont="1" applyFill="1" applyBorder="1" applyAlignment="1">
      <alignment horizontal="center" vertical="center" wrapText="1" readingOrder="1"/>
    </xf>
    <xf numFmtId="177" fontId="87" fillId="6" borderId="5" xfId="1" applyNumberFormat="1" applyFont="1" applyFill="1" applyBorder="1" applyAlignment="1">
      <alignment horizontal="left" vertical="center" wrapText="1" readingOrder="1"/>
    </xf>
    <xf numFmtId="177" fontId="132" fillId="6" borderId="2" xfId="1" applyNumberFormat="1" applyFont="1" applyFill="1" applyBorder="1" applyAlignment="1">
      <alignment horizontal="center" vertical="center" wrapText="1" readingOrder="1"/>
    </xf>
    <xf numFmtId="177" fontId="87" fillId="9" borderId="2" xfId="1" applyNumberFormat="1" applyFont="1" applyFill="1" applyBorder="1" applyAlignment="1">
      <alignment horizontal="center" vertical="center" wrapText="1" readingOrder="1"/>
    </xf>
    <xf numFmtId="177" fontId="87" fillId="6" borderId="2" xfId="1" applyNumberFormat="1" applyFont="1" applyFill="1" applyBorder="1" applyAlignment="1">
      <alignment horizontal="left" vertical="center" wrapText="1" readingOrder="1"/>
    </xf>
    <xf numFmtId="0" fontId="206" fillId="6" borderId="2" xfId="1" applyFont="1" applyFill="1" applyBorder="1" applyAlignment="1">
      <alignment horizontal="center" vertical="center"/>
    </xf>
    <xf numFmtId="177" fontId="206" fillId="6" borderId="2" xfId="1" applyNumberFormat="1" applyFont="1" applyFill="1" applyBorder="1" applyAlignment="1">
      <alignment horizontal="center" vertical="center"/>
    </xf>
    <xf numFmtId="0" fontId="206" fillId="3" borderId="0" xfId="1" applyFont="1" applyFill="1" applyAlignment="1">
      <alignment horizontal="center" vertical="center"/>
    </xf>
    <xf numFmtId="0" fontId="132" fillId="3" borderId="2" xfId="1" applyFont="1" applyFill="1" applyBorder="1" applyAlignment="1">
      <alignment horizontal="center" vertical="center" wrapText="1" readingOrder="1"/>
    </xf>
    <xf numFmtId="177" fontId="87" fillId="3" borderId="2" xfId="1" applyNumberFormat="1" applyFont="1" applyFill="1" applyBorder="1" applyAlignment="1">
      <alignment horizontal="center" vertical="center" wrapText="1" readingOrder="1"/>
    </xf>
    <xf numFmtId="177" fontId="132" fillId="3" borderId="2" xfId="1" applyNumberFormat="1" applyFont="1" applyFill="1" applyBorder="1" applyAlignment="1">
      <alignment horizontal="left" vertical="center" wrapText="1" readingOrder="1"/>
    </xf>
    <xf numFmtId="177" fontId="132" fillId="3" borderId="2" xfId="1" applyNumberFormat="1" applyFont="1" applyFill="1" applyBorder="1" applyAlignment="1">
      <alignment horizontal="center" vertical="center" wrapText="1" readingOrder="1"/>
    </xf>
    <xf numFmtId="177" fontId="87" fillId="3" borderId="2" xfId="1" applyNumberFormat="1" applyFont="1" applyFill="1" applyBorder="1" applyAlignment="1">
      <alignment horizontal="left" vertical="center" wrapText="1" readingOrder="1"/>
    </xf>
    <xf numFmtId="0" fontId="206" fillId="3" borderId="2" xfId="1" applyFont="1" applyFill="1" applyBorder="1" applyAlignment="1">
      <alignment horizontal="center" vertical="center"/>
    </xf>
    <xf numFmtId="177" fontId="132" fillId="3" borderId="21" xfId="1" applyNumberFormat="1" applyFont="1" applyFill="1" applyBorder="1" applyAlignment="1">
      <alignment horizontal="center" vertical="center" wrapText="1" readingOrder="1"/>
    </xf>
    <xf numFmtId="0" fontId="132"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left" vertical="center" wrapText="1" readingOrder="1"/>
    </xf>
    <xf numFmtId="177" fontId="206" fillId="9" borderId="2" xfId="1" applyNumberFormat="1" applyFont="1" applyFill="1" applyBorder="1" applyAlignment="1">
      <alignment horizontal="center" vertical="center"/>
    </xf>
    <xf numFmtId="0" fontId="132" fillId="6" borderId="2" xfId="1" applyFont="1" applyFill="1" applyBorder="1" applyAlignment="1">
      <alignment horizontal="center" vertical="center" wrapText="1" readingOrder="1"/>
    </xf>
    <xf numFmtId="196" fontId="87" fillId="6" borderId="2" xfId="1" applyNumberFormat="1" applyFont="1" applyFill="1" applyBorder="1" applyAlignment="1">
      <alignment horizontal="left" vertical="center" wrapText="1" readingOrder="1"/>
    </xf>
    <xf numFmtId="0" fontId="150" fillId="0" borderId="0" xfId="1">
      <alignment vertical="center"/>
    </xf>
    <xf numFmtId="0" fontId="150" fillId="19" borderId="0" xfId="1" applyFill="1">
      <alignment vertical="center"/>
    </xf>
    <xf numFmtId="0" fontId="0" fillId="0" borderId="0" xfId="0" applyAlignment="1">
      <alignment horizontal="center" vertical="center" wrapText="1"/>
    </xf>
    <xf numFmtId="0" fontId="91"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1"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9" fillId="0" borderId="2" xfId="0" applyFont="1" applyBorder="1" applyAlignment="1">
      <alignment horizontal="center" vertical="center" wrapText="1"/>
    </xf>
    <xf numFmtId="0" fontId="169" fillId="17" borderId="2" xfId="0" applyFont="1" applyFill="1" applyBorder="1" applyAlignment="1">
      <alignment horizontal="center" vertical="center" wrapText="1"/>
    </xf>
    <xf numFmtId="0" fontId="149" fillId="0" borderId="6" xfId="0" applyNumberFormat="1" applyFont="1" applyFill="1" applyBorder="1" applyAlignment="1" applyProtection="1">
      <alignment horizontal="center" vertical="center" wrapText="1"/>
      <protection locked="0"/>
    </xf>
    <xf numFmtId="0" fontId="271" fillId="0" borderId="51"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NumberFormat="1" applyFont="1" applyFill="1" applyBorder="1" applyAlignment="1" applyProtection="1">
      <alignment horizontal="center" vertical="center" wrapText="1"/>
      <protection locked="0"/>
    </xf>
    <xf numFmtId="49" fontId="149" fillId="0" borderId="18" xfId="0" applyNumberFormat="1" applyFont="1" applyFill="1" applyBorder="1" applyAlignment="1" applyProtection="1">
      <alignment horizontal="center" vertical="center" wrapText="1"/>
      <protection locked="0"/>
    </xf>
    <xf numFmtId="49" fontId="149" fillId="0" borderId="24" xfId="0" applyNumberFormat="1" applyFont="1" applyFill="1" applyBorder="1" applyAlignment="1" applyProtection="1">
      <alignment horizontal="center" vertical="center" wrapText="1"/>
      <protection locked="0"/>
    </xf>
    <xf numFmtId="0" fontId="86" fillId="0" borderId="74"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91" fillId="5" borderId="9" xfId="3" applyFont="1" applyFill="1" applyBorder="1" applyAlignment="1" applyProtection="1">
      <alignment horizontal="center" vertical="center" wrapText="1"/>
      <protection locked="0"/>
    </xf>
    <xf numFmtId="0" fontId="150" fillId="0" borderId="0" xfId="0" applyFont="1" applyFill="1" applyBorder="1">
      <alignment vertical="center"/>
    </xf>
    <xf numFmtId="180" fontId="0" fillId="0" borderId="0" xfId="0" applyNumberFormat="1">
      <alignment vertical="center"/>
    </xf>
    <xf numFmtId="0" fontId="172" fillId="18" borderId="2" xfId="0" applyFont="1" applyFill="1" applyBorder="1" applyAlignment="1">
      <alignment horizontal="center" vertical="center"/>
    </xf>
    <xf numFmtId="2" fontId="154" fillId="18" borderId="21" xfId="0" applyNumberFormat="1" applyFont="1" applyFill="1" applyBorder="1" applyAlignment="1">
      <alignment horizontal="center" vertical="center"/>
    </xf>
    <xf numFmtId="9" fontId="154" fillId="18" borderId="21" xfId="0" applyNumberFormat="1" applyFont="1" applyFill="1" applyBorder="1" applyAlignment="1">
      <alignment horizontal="center" vertical="center"/>
    </xf>
    <xf numFmtId="2" fontId="154" fillId="18" borderId="51" xfId="0" applyNumberFormat="1" applyFont="1" applyFill="1" applyBorder="1" applyAlignment="1">
      <alignment horizontal="center" vertical="center"/>
    </xf>
    <xf numFmtId="0" fontId="154" fillId="18" borderId="0" xfId="0" applyFont="1" applyFill="1" applyAlignment="1">
      <alignment horizontal="center" vertical="center"/>
    </xf>
    <xf numFmtId="0" fontId="0" fillId="18" borderId="0" xfId="0" applyFill="1">
      <alignment vertical="center"/>
    </xf>
    <xf numFmtId="0" fontId="172" fillId="18" borderId="22" xfId="0" applyFont="1" applyFill="1" applyBorder="1" applyAlignment="1">
      <alignment horizontal="center" vertical="center"/>
    </xf>
    <xf numFmtId="0" fontId="154" fillId="18" borderId="10" xfId="0" applyFont="1" applyFill="1" applyBorder="1" applyAlignment="1">
      <alignment horizontal="center" vertical="center"/>
    </xf>
    <xf numFmtId="49" fontId="154" fillId="18" borderId="10" xfId="0" applyNumberFormat="1" applyFont="1" applyFill="1" applyBorder="1" applyAlignment="1">
      <alignment horizontal="center" vertical="center"/>
    </xf>
    <xf numFmtId="2" fontId="154" fillId="18" borderId="10" xfId="0" applyNumberFormat="1" applyFont="1" applyFill="1" applyBorder="1" applyAlignment="1">
      <alignment horizontal="center" vertical="center"/>
    </xf>
    <xf numFmtId="9" fontId="154" fillId="18" borderId="10" xfId="0" applyNumberFormat="1" applyFont="1" applyFill="1" applyBorder="1" applyAlignment="1">
      <alignment horizontal="center" vertical="center"/>
    </xf>
    <xf numFmtId="2" fontId="154"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50" fillId="18" borderId="2" xfId="0" applyFont="1" applyFill="1" applyBorder="1" applyAlignment="1">
      <alignment horizontal="left" vertical="center"/>
    </xf>
    <xf numFmtId="0" fontId="237" fillId="8" borderId="2" xfId="15" applyFont="1" applyFill="1" applyBorder="1" applyAlignment="1">
      <alignment horizontal="center" vertical="center"/>
    </xf>
    <xf numFmtId="0" fontId="181" fillId="8" borderId="2" xfId="15" applyFont="1" applyFill="1" applyBorder="1" applyAlignment="1">
      <alignment horizontal="center" vertical="center"/>
    </xf>
    <xf numFmtId="0" fontId="181" fillId="8" borderId="0" xfId="15" applyFont="1" applyFill="1" applyAlignment="1">
      <alignment horizontal="center" vertical="center"/>
    </xf>
    <xf numFmtId="0" fontId="159" fillId="8" borderId="2" xfId="15" applyFont="1" applyFill="1" applyBorder="1" applyAlignment="1">
      <alignment horizontal="center" vertical="center"/>
    </xf>
    <xf numFmtId="0" fontId="150" fillId="6" borderId="0" xfId="1" applyFill="1">
      <alignment vertical="center"/>
    </xf>
    <xf numFmtId="0" fontId="150" fillId="6" borderId="0" xfId="1" applyFont="1" applyFill="1" applyAlignment="1">
      <alignment horizontal="right" vertical="center"/>
    </xf>
    <xf numFmtId="0" fontId="150" fillId="6" borderId="0" xfId="1" applyFill="1" applyAlignment="1">
      <alignment horizontal="left" vertical="center"/>
    </xf>
    <xf numFmtId="0" fontId="150" fillId="6" borderId="0" xfId="1" applyFont="1" applyFill="1">
      <alignment vertical="center"/>
    </xf>
    <xf numFmtId="0" fontId="150" fillId="6" borderId="0" xfId="1" applyFill="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50" fillId="19" borderId="2" xfId="0" applyFont="1" applyFill="1" applyBorder="1" applyAlignment="1">
      <alignment horizontal="center" vertical="center" wrapText="1"/>
    </xf>
    <xf numFmtId="0" fontId="0" fillId="0" borderId="2" xfId="0" applyBorder="1">
      <alignment vertical="center"/>
    </xf>
    <xf numFmtId="0" fontId="150" fillId="0" borderId="0" xfId="0" applyFont="1" applyFill="1" applyBorder="1" applyAlignment="1">
      <alignment horizontal="center" vertical="center"/>
    </xf>
    <xf numFmtId="0" fontId="172" fillId="19" borderId="154" xfId="0" applyFont="1" applyFill="1" applyBorder="1" applyAlignment="1">
      <alignment horizontal="center" vertical="center"/>
    </xf>
    <xf numFmtId="0" fontId="178" fillId="19" borderId="35"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283" fillId="0" borderId="5" xfId="15" applyFont="1" applyBorder="1" applyAlignment="1">
      <alignment vertical="center"/>
    </xf>
    <xf numFmtId="0" fontId="283" fillId="0" borderId="8" xfId="15" applyFont="1" applyBorder="1" applyAlignment="1">
      <alignment vertical="center"/>
    </xf>
    <xf numFmtId="0" fontId="283" fillId="0" borderId="9" xfId="15" applyFont="1" applyBorder="1" applyAlignment="1">
      <alignment vertical="center"/>
    </xf>
    <xf numFmtId="180" fontId="154" fillId="0" borderId="0" xfId="0" applyNumberFormat="1" applyFont="1" applyAlignment="1">
      <alignment horizontal="center" vertical="center"/>
    </xf>
    <xf numFmtId="0" fontId="178" fillId="19" borderId="26" xfId="0" applyFont="1" applyFill="1" applyBorder="1" applyAlignment="1">
      <alignment horizontal="center" vertical="center" wrapText="1"/>
    </xf>
    <xf numFmtId="0" fontId="172" fillId="0" borderId="87" xfId="0" applyFont="1" applyBorder="1" applyAlignment="1">
      <alignment horizontal="center" vertical="center"/>
    </xf>
    <xf numFmtId="0" fontId="172" fillId="18" borderId="64" xfId="0" applyFont="1" applyFill="1" applyBorder="1" applyAlignment="1">
      <alignment horizontal="center" vertical="center"/>
    </xf>
    <xf numFmtId="0" fontId="178" fillId="19" borderId="39" xfId="0" applyFont="1" applyFill="1" applyBorder="1" applyAlignment="1">
      <alignment horizontal="center" vertical="center" wrapText="1"/>
    </xf>
    <xf numFmtId="1" fontId="154" fillId="0" borderId="20" xfId="0" applyNumberFormat="1" applyFont="1" applyBorder="1" applyAlignment="1">
      <alignment horizontal="center" vertical="center"/>
    </xf>
    <xf numFmtId="0" fontId="154" fillId="18" borderId="9" xfId="0" applyFont="1" applyFill="1" applyBorder="1" applyAlignment="1">
      <alignment horizontal="center" vertical="center"/>
    </xf>
    <xf numFmtId="0" fontId="154" fillId="18" borderId="2" xfId="0" applyFont="1" applyFill="1" applyBorder="1" applyAlignment="1">
      <alignment horizontal="center" vertical="center" wrapText="1"/>
    </xf>
    <xf numFmtId="177" fontId="296" fillId="8" borderId="2" xfId="1" applyNumberFormat="1" applyFont="1" applyFill="1" applyBorder="1" applyAlignment="1">
      <alignment horizontal="center" vertical="center" wrapText="1" readingOrder="1"/>
    </xf>
    <xf numFmtId="177" fontId="297" fillId="8" borderId="2" xfId="3" applyNumberFormat="1" applyFont="1" applyFill="1" applyBorder="1" applyAlignment="1">
      <alignment horizontal="center" vertical="center" wrapText="1" readingOrder="1"/>
    </xf>
    <xf numFmtId="0" fontId="295" fillId="8" borderId="2" xfId="1" applyFont="1" applyFill="1" applyBorder="1" applyAlignment="1">
      <alignment horizontal="center" vertical="center"/>
    </xf>
    <xf numFmtId="0" fontId="297" fillId="8" borderId="2" xfId="3" applyFont="1" applyFill="1" applyBorder="1" applyAlignment="1">
      <alignment horizontal="center" vertical="center" wrapText="1" readingOrder="1"/>
    </xf>
    <xf numFmtId="0" fontId="178" fillId="19" borderId="160" xfId="0" applyFont="1" applyFill="1" applyBorder="1" applyAlignment="1">
      <alignment horizontal="center" vertical="center" wrapText="1"/>
    </xf>
    <xf numFmtId="0" fontId="178" fillId="19" borderId="161" xfId="0" applyFont="1" applyFill="1" applyBorder="1" applyAlignment="1">
      <alignment horizontal="center" vertical="center" wrapText="1"/>
    </xf>
    <xf numFmtId="49" fontId="178" fillId="19" borderId="161" xfId="0" applyNumberFormat="1" applyFont="1" applyFill="1" applyBorder="1" applyAlignment="1">
      <alignment horizontal="center" vertical="center" wrapText="1"/>
    </xf>
    <xf numFmtId="0" fontId="178" fillId="19" borderId="162" xfId="0" applyFont="1" applyFill="1" applyBorder="1" applyAlignment="1">
      <alignment horizontal="center" vertical="center" wrapText="1"/>
    </xf>
    <xf numFmtId="0" fontId="154" fillId="0" borderId="44" xfId="0" applyFont="1" applyBorder="1" applyAlignment="1">
      <alignment horizontal="center" vertical="center" wrapText="1"/>
    </xf>
    <xf numFmtId="0" fontId="154" fillId="0" borderId="50" xfId="0" applyFont="1" applyBorder="1" applyAlignment="1">
      <alignment horizontal="center" vertical="center" wrapText="1"/>
    </xf>
    <xf numFmtId="49" fontId="154" fillId="0" borderId="21" xfId="0" applyNumberFormat="1" applyFont="1" applyBorder="1" applyAlignment="1">
      <alignment horizontal="center" vertical="center" wrapText="1"/>
    </xf>
    <xf numFmtId="0" fontId="154" fillId="0" borderId="51" xfId="0" applyFont="1" applyBorder="1" applyAlignment="1">
      <alignment horizontal="center" vertical="center" wrapText="1"/>
    </xf>
    <xf numFmtId="0" fontId="154" fillId="18" borderId="11" xfId="0" applyFont="1" applyFill="1" applyBorder="1" applyAlignment="1">
      <alignment horizontal="center" vertical="center" wrapText="1"/>
    </xf>
    <xf numFmtId="49" fontId="154" fillId="18" borderId="2" xfId="0" applyNumberFormat="1" applyFont="1" applyFill="1" applyBorder="1" applyAlignment="1">
      <alignment horizontal="center" vertical="center" wrapText="1"/>
    </xf>
    <xf numFmtId="0" fontId="154" fillId="18" borderId="12" xfId="0" applyFont="1" applyFill="1" applyBorder="1" applyAlignment="1">
      <alignment horizontal="center" vertical="center" wrapText="1"/>
    </xf>
    <xf numFmtId="0" fontId="154" fillId="0" borderId="43" xfId="0" applyFont="1" applyBorder="1" applyAlignment="1">
      <alignment horizontal="center" vertical="center" wrapText="1"/>
    </xf>
    <xf numFmtId="49" fontId="154" fillId="0" borderId="44" xfId="0" applyNumberFormat="1" applyFont="1" applyBorder="1" applyAlignment="1">
      <alignment horizontal="center" vertical="center" wrapText="1"/>
    </xf>
    <xf numFmtId="0" fontId="154" fillId="0" borderId="46" xfId="0" applyFont="1" applyBorder="1" applyAlignment="1">
      <alignment horizontal="center" vertical="center" wrapText="1"/>
    </xf>
    <xf numFmtId="0" fontId="298" fillId="0" borderId="66" xfId="0" applyFont="1" applyBorder="1" applyAlignment="1">
      <alignment horizontal="center" vertical="center" wrapText="1"/>
    </xf>
    <xf numFmtId="0" fontId="298" fillId="0" borderId="38" xfId="0" applyFont="1" applyBorder="1" applyAlignment="1">
      <alignment horizontal="center" vertical="center" wrapText="1"/>
    </xf>
    <xf numFmtId="14" fontId="181" fillId="0" borderId="80" xfId="0" applyNumberFormat="1" applyFont="1" applyBorder="1" applyAlignment="1">
      <alignment horizontal="center" vertical="center" wrapText="1"/>
    </xf>
    <xf numFmtId="0" fontId="200" fillId="0" borderId="66" xfId="0" applyFont="1" applyBorder="1" applyAlignment="1">
      <alignment horizontal="center" vertical="center" wrapText="1"/>
    </xf>
    <xf numFmtId="0" fontId="181" fillId="0" borderId="66" xfId="0" applyFont="1" applyBorder="1" applyAlignment="1">
      <alignment horizontal="center" vertical="center" wrapText="1"/>
    </xf>
    <xf numFmtId="0" fontId="181" fillId="0" borderId="44" xfId="0" applyFont="1" applyBorder="1" applyAlignment="1">
      <alignment horizontal="center" vertical="center" wrapText="1"/>
    </xf>
    <xf numFmtId="0" fontId="181" fillId="0" borderId="46" xfId="0" applyFont="1" applyBorder="1" applyAlignment="1">
      <alignment horizontal="center" vertical="center" wrapText="1"/>
    </xf>
    <xf numFmtId="0" fontId="181" fillId="0" borderId="21" xfId="0" applyFont="1" applyBorder="1" applyAlignment="1">
      <alignment horizontal="center" vertical="center" wrapText="1"/>
    </xf>
    <xf numFmtId="0" fontId="181" fillId="0" borderId="5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47" xfId="0" applyFont="1" applyBorder="1" applyAlignment="1">
      <alignment horizontal="center" vertical="center" wrapText="1"/>
    </xf>
    <xf numFmtId="0" fontId="200" fillId="0" borderId="77" xfId="0" applyFont="1" applyBorder="1" applyAlignment="1">
      <alignment horizontal="center" vertical="center" wrapText="1"/>
    </xf>
    <xf numFmtId="0" fontId="200" fillId="0" borderId="116" xfId="0" applyFont="1" applyBorder="1" applyAlignment="1">
      <alignment horizontal="center" vertical="center" wrapText="1"/>
    </xf>
    <xf numFmtId="0" fontId="298" fillId="5" borderId="47" xfId="0" applyFont="1" applyFill="1" applyBorder="1" applyAlignment="1">
      <alignment horizontal="center" vertical="center" wrapText="1"/>
    </xf>
    <xf numFmtId="0" fontId="298" fillId="5" borderId="44" xfId="0" applyFont="1" applyFill="1" applyBorder="1" applyAlignment="1">
      <alignment horizontal="center" vertical="center" wrapText="1"/>
    </xf>
    <xf numFmtId="0" fontId="298" fillId="5" borderId="46" xfId="0" applyFont="1" applyFill="1" applyBorder="1" applyAlignment="1">
      <alignment horizontal="center" vertical="center" wrapText="1"/>
    </xf>
    <xf numFmtId="0" fontId="299" fillId="0" borderId="0" xfId="22" applyFont="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7" borderId="2" xfId="22" applyFont="1" applyFill="1" applyBorder="1" applyAlignment="1">
      <alignment horizontal="center" vertical="center" wrapText="1"/>
    </xf>
    <xf numFmtId="0" fontId="299" fillId="0" borderId="2" xfId="22" applyFont="1" applyBorder="1" applyAlignment="1">
      <alignment horizontal="center" vertical="center" wrapText="1"/>
    </xf>
    <xf numFmtId="0" fontId="299" fillId="0" borderId="2" xfId="22" applyNumberFormat="1" applyFont="1" applyBorder="1" applyAlignment="1">
      <alignment horizontal="center" vertical="center" wrapText="1"/>
    </xf>
    <xf numFmtId="197" fontId="299" fillId="0" borderId="2" xfId="22" applyNumberFormat="1" applyFont="1" applyBorder="1" applyAlignment="1">
      <alignment horizontal="center" vertical="center" wrapText="1"/>
    </xf>
    <xf numFmtId="1" fontId="299" fillId="2" borderId="2" xfId="22" applyNumberFormat="1" applyFont="1" applyFill="1" applyBorder="1" applyAlignment="1">
      <alignment horizontal="center" vertical="center" wrapText="1"/>
    </xf>
    <xf numFmtId="1" fontId="299" fillId="24" borderId="2" xfId="22" applyNumberFormat="1" applyFont="1" applyFill="1" applyBorder="1" applyAlignment="1">
      <alignment horizontal="center" vertical="center" wrapText="1"/>
    </xf>
    <xf numFmtId="0" fontId="299" fillId="0" borderId="0" xfId="22" applyNumberFormat="1" applyFont="1" applyAlignment="1">
      <alignment horizontal="center" vertical="center" wrapText="1"/>
    </xf>
    <xf numFmtId="0" fontId="299" fillId="7" borderId="10" xfId="22" applyFont="1" applyFill="1" applyBorder="1" applyAlignment="1">
      <alignment horizontal="center" vertical="center" wrapText="1"/>
    </xf>
    <xf numFmtId="0" fontId="299" fillId="0" borderId="10" xfId="22" applyFont="1" applyBorder="1" applyAlignment="1">
      <alignment horizontal="center" vertical="center" wrapText="1"/>
    </xf>
    <xf numFmtId="197" fontId="299" fillId="0" borderId="10" xfId="22" applyNumberFormat="1" applyFont="1" applyBorder="1" applyAlignment="1">
      <alignment horizontal="center" vertical="center" wrapText="1"/>
    </xf>
    <xf numFmtId="0" fontId="299" fillId="6" borderId="3" xfId="22" applyFont="1" applyFill="1" applyBorder="1" applyAlignment="1">
      <alignment horizontal="center" vertical="center" wrapText="1"/>
    </xf>
    <xf numFmtId="0" fontId="299" fillId="0" borderId="3" xfId="22" applyFont="1" applyBorder="1" applyAlignment="1">
      <alignment horizontal="center" vertical="center" wrapText="1"/>
    </xf>
    <xf numFmtId="0" fontId="299" fillId="6" borderId="10" xfId="22" applyFont="1" applyFill="1" applyBorder="1" applyAlignment="1">
      <alignment horizontal="center" vertical="center" wrapText="1"/>
    </xf>
    <xf numFmtId="0" fontId="299" fillId="25" borderId="21" xfId="22" applyFont="1" applyFill="1" applyBorder="1" applyAlignment="1">
      <alignment horizontal="center" vertical="center" wrapText="1"/>
    </xf>
    <xf numFmtId="0" fontId="299" fillId="0" borderId="21" xfId="22" applyFont="1" applyBorder="1" applyAlignment="1">
      <alignment horizontal="center" vertical="center" wrapText="1"/>
    </xf>
    <xf numFmtId="0" fontId="299" fillId="25" borderId="2" xfId="22" applyFont="1" applyFill="1" applyBorder="1" applyAlignment="1">
      <alignment horizontal="center" vertical="center" wrapText="1"/>
    </xf>
    <xf numFmtId="0" fontId="299" fillId="0" borderId="8" xfId="22" applyFont="1" applyBorder="1" applyAlignment="1">
      <alignment horizontal="center" vertical="center" wrapText="1"/>
    </xf>
    <xf numFmtId="0" fontId="299" fillId="0" borderId="8" xfId="22" applyNumberFormat="1" applyFont="1" applyBorder="1" applyAlignment="1">
      <alignment horizontal="center" vertical="center" wrapText="1"/>
    </xf>
    <xf numFmtId="0" fontId="178" fillId="19" borderId="0" xfId="0" applyFont="1" applyFill="1" applyBorder="1" applyAlignment="1">
      <alignment horizontal="center" vertical="center" wrapText="1"/>
    </xf>
    <xf numFmtId="0" fontId="154" fillId="0" borderId="0" xfId="0" applyFont="1" applyBorder="1" applyAlignment="1">
      <alignment horizontal="center" vertical="center" wrapText="1"/>
    </xf>
    <xf numFmtId="0" fontId="154" fillId="18" borderId="0" xfId="0" applyFont="1" applyFill="1" applyBorder="1" applyAlignment="1">
      <alignment horizontal="center" vertical="center" wrapText="1"/>
    </xf>
    <xf numFmtId="0" fontId="178" fillId="19" borderId="163" xfId="0" applyFont="1" applyFill="1" applyBorder="1" applyAlignment="1">
      <alignment horizontal="center" vertical="center" wrapText="1"/>
    </xf>
    <xf numFmtId="2" fontId="154" fillId="0" borderId="63" xfId="0" applyNumberFormat="1" applyFont="1" applyBorder="1" applyAlignment="1">
      <alignment horizontal="center" vertical="center"/>
    </xf>
    <xf numFmtId="2" fontId="154" fillId="18" borderId="16" xfId="0" applyNumberFormat="1" applyFont="1" applyFill="1" applyBorder="1" applyAlignment="1">
      <alignment horizontal="center" vertical="center" wrapText="1"/>
    </xf>
    <xf numFmtId="2" fontId="154" fillId="0" borderId="63" xfId="0" applyNumberFormat="1" applyFont="1" applyBorder="1" applyAlignment="1">
      <alignment horizontal="center" vertical="center" wrapText="1"/>
    </xf>
    <xf numFmtId="2" fontId="154" fillId="18" borderId="90" xfId="0" applyNumberFormat="1" applyFont="1" applyFill="1" applyBorder="1" applyAlignment="1">
      <alignment horizontal="center" vertical="center" wrapText="1"/>
    </xf>
    <xf numFmtId="2" fontId="154" fillId="19" borderId="66" xfId="0" applyNumberFormat="1" applyFont="1" applyFill="1" applyBorder="1" applyAlignment="1">
      <alignment horizontal="center" vertical="center"/>
    </xf>
    <xf numFmtId="0" fontId="178" fillId="19" borderId="2" xfId="0" applyFont="1" applyFill="1" applyBorder="1" applyAlignment="1">
      <alignment horizontal="center" vertical="center" wrapText="1"/>
    </xf>
    <xf numFmtId="49" fontId="178" fillId="19" borderId="2" xfId="0" applyNumberFormat="1" applyFont="1" applyFill="1" applyBorder="1" applyAlignment="1">
      <alignment horizontal="center" vertical="center" wrapText="1"/>
    </xf>
    <xf numFmtId="0" fontId="284" fillId="19" borderId="2" xfId="0" applyFont="1" applyFill="1" applyBorder="1" applyAlignment="1">
      <alignment horizontal="center" vertical="center" wrapText="1"/>
    </xf>
    <xf numFmtId="0" fontId="172" fillId="0" borderId="2" xfId="0" applyFont="1" applyBorder="1" applyAlignment="1">
      <alignment horizontal="center" vertical="center" wrapText="1"/>
    </xf>
    <xf numFmtId="0" fontId="154" fillId="0" borderId="2" xfId="0" applyNumberFormat="1" applyFont="1" applyBorder="1" applyAlignment="1">
      <alignment horizontal="center" vertical="center"/>
    </xf>
    <xf numFmtId="0" fontId="154" fillId="0" borderId="2" xfId="0" applyFont="1" applyBorder="1" applyAlignment="1">
      <alignment horizontal="center" vertical="center" wrapText="1"/>
    </xf>
    <xf numFmtId="0" fontId="154" fillId="19" borderId="2" xfId="0" applyFont="1" applyFill="1" applyBorder="1" applyAlignment="1">
      <alignment horizontal="center" vertical="center"/>
    </xf>
    <xf numFmtId="0" fontId="154" fillId="19" borderId="2" xfId="0" applyFont="1" applyFill="1" applyBorder="1" applyAlignment="1">
      <alignment horizontal="center" vertical="center" wrapText="1"/>
    </xf>
    <xf numFmtId="49" fontId="154" fillId="19" borderId="2" xfId="0" applyNumberFormat="1" applyFont="1" applyFill="1" applyBorder="1" applyAlignment="1">
      <alignment horizontal="center" vertical="center"/>
    </xf>
    <xf numFmtId="197" fontId="299" fillId="0" borderId="0" xfId="22" applyNumberFormat="1" applyFont="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57" fillId="0" borderId="19" xfId="2" applyFont="1" applyBorder="1" applyAlignment="1">
      <alignment horizontal="center" vertical="center" wrapText="1"/>
    </xf>
    <xf numFmtId="0" fontId="138" fillId="0" borderId="2" xfId="3" applyFont="1" applyBorder="1" applyAlignment="1">
      <alignment horizontal="center" vertical="center" wrapText="1"/>
    </xf>
    <xf numFmtId="0" fontId="304" fillId="0" borderId="2" xfId="0" applyFont="1" applyBorder="1" applyAlignment="1">
      <alignment horizontal="center" vertical="center" wrapText="1"/>
    </xf>
    <xf numFmtId="185" fontId="304" fillId="0" borderId="2" xfId="0" applyNumberFormat="1" applyFont="1" applyBorder="1" applyAlignment="1">
      <alignment horizontal="center" vertical="center" wrapText="1"/>
    </xf>
    <xf numFmtId="185" fontId="149" fillId="0" borderId="2" xfId="0" applyNumberFormat="1" applyFont="1" applyBorder="1" applyAlignment="1">
      <alignment horizontal="center" vertical="center" wrapText="1"/>
    </xf>
    <xf numFmtId="177" fontId="149" fillId="0" borderId="2" xfId="0" applyNumberFormat="1" applyFont="1" applyBorder="1" applyAlignment="1">
      <alignment horizontal="center" vertical="center" wrapText="1"/>
    </xf>
    <xf numFmtId="185" fontId="86" fillId="0" borderId="2" xfId="0" applyNumberFormat="1" applyFont="1" applyBorder="1" applyAlignment="1">
      <alignment horizontal="center" vertical="center" wrapText="1"/>
    </xf>
    <xf numFmtId="177" fontId="86" fillId="0" borderId="2" xfId="0" applyNumberFormat="1" applyFont="1" applyBorder="1" applyAlignment="1">
      <alignment horizontal="center" vertical="center" wrapText="1"/>
    </xf>
    <xf numFmtId="0" fontId="86" fillId="0" borderId="2" xfId="3" applyFont="1" applyBorder="1" applyAlignment="1">
      <alignment horizontal="center" vertical="center" wrapText="1"/>
    </xf>
    <xf numFmtId="177" fontId="86" fillId="0" borderId="2" xfId="3" applyNumberFormat="1" applyFont="1" applyBorder="1" applyAlignment="1">
      <alignment horizontal="center" vertical="center" wrapText="1"/>
    </xf>
    <xf numFmtId="185" fontId="86" fillId="0" borderId="2" xfId="3" applyNumberFormat="1" applyFont="1" applyBorder="1" applyAlignment="1">
      <alignment horizontal="center" vertical="center" wrapText="1"/>
    </xf>
    <xf numFmtId="198" fontId="149" fillId="0" borderId="2" xfId="3" applyNumberFormat="1" applyFont="1" applyBorder="1" applyAlignment="1">
      <alignment horizontal="center" vertical="center" wrapText="1"/>
    </xf>
    <xf numFmtId="0" fontId="149" fillId="0" borderId="2" xfId="3" applyFont="1" applyBorder="1" applyAlignment="1">
      <alignment horizontal="center" vertical="center" wrapText="1"/>
    </xf>
    <xf numFmtId="0" fontId="305" fillId="0" borderId="2" xfId="3" applyFont="1" applyBorder="1" applyAlignment="1">
      <alignment horizontal="center" vertical="center" wrapText="1"/>
    </xf>
    <xf numFmtId="0" fontId="86" fillId="6" borderId="2" xfId="3" applyFont="1" applyFill="1" applyBorder="1" applyAlignment="1">
      <alignment horizontal="center" vertical="center" wrapText="1"/>
    </xf>
    <xf numFmtId="185" fontId="86" fillId="6" borderId="2" xfId="3" applyNumberFormat="1" applyFont="1" applyFill="1" applyBorder="1" applyAlignment="1">
      <alignment horizontal="center" vertical="center" wrapText="1"/>
    </xf>
    <xf numFmtId="185" fontId="86" fillId="6" borderId="2" xfId="0" applyNumberFormat="1" applyFont="1" applyFill="1" applyBorder="1" applyAlignment="1">
      <alignment horizontal="center" vertical="center" wrapText="1"/>
    </xf>
    <xf numFmtId="177" fontId="86" fillId="6" borderId="2" xfId="0" applyNumberFormat="1" applyFont="1" applyFill="1" applyBorder="1" applyAlignment="1">
      <alignment horizontal="center" vertical="center" wrapText="1"/>
    </xf>
    <xf numFmtId="177" fontId="172"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center" vertical="center" wrapText="1"/>
    </xf>
    <xf numFmtId="0" fontId="149" fillId="6" borderId="2" xfId="3" applyFont="1" applyFill="1" applyBorder="1" applyAlignment="1">
      <alignment horizontal="center" vertical="center" wrapText="1"/>
    </xf>
    <xf numFmtId="198" fontId="86" fillId="6" borderId="2" xfId="3" applyNumberFormat="1" applyFont="1" applyFill="1" applyBorder="1" applyAlignment="1">
      <alignment horizontal="center" vertical="center" wrapText="1"/>
    </xf>
    <xf numFmtId="177" fontId="307" fillId="0" borderId="2" xfId="0" applyNumberFormat="1" applyFont="1" applyBorder="1" applyAlignment="1">
      <alignment horizontal="center" vertical="center" wrapText="1"/>
    </xf>
    <xf numFmtId="0" fontId="305" fillId="6" borderId="2" xfId="3" applyFont="1" applyFill="1" applyBorder="1" applyAlignment="1">
      <alignment horizontal="center" vertical="center" wrapText="1"/>
    </xf>
    <xf numFmtId="198" fontId="86" fillId="0" borderId="2" xfId="3" applyNumberFormat="1" applyFont="1" applyBorder="1" applyAlignment="1">
      <alignment horizontal="center" vertical="center" wrapText="1"/>
    </xf>
    <xf numFmtId="185" fontId="0" fillId="0" borderId="2" xfId="0" applyNumberFormat="1" applyBorder="1" applyAlignment="1">
      <alignment horizontal="center" vertical="center" wrapText="1"/>
    </xf>
    <xf numFmtId="180" fontId="305" fillId="0" borderId="2" xfId="0" applyNumberFormat="1" applyFont="1" applyBorder="1" applyAlignment="1">
      <alignment horizontal="center" vertical="center" wrapText="1"/>
    </xf>
    <xf numFmtId="180" fontId="304" fillId="0" borderId="2" xfId="0" applyNumberFormat="1" applyFont="1" applyBorder="1" applyAlignment="1">
      <alignment horizontal="center" vertical="center" wrapText="1"/>
    </xf>
    <xf numFmtId="0" fontId="0" fillId="6" borderId="2" xfId="0" applyFill="1" applyBorder="1" applyAlignment="1">
      <alignment horizontal="center" vertical="center" wrapText="1"/>
    </xf>
    <xf numFmtId="180" fontId="305" fillId="6" borderId="2" xfId="0" applyNumberFormat="1" applyFont="1" applyFill="1" applyBorder="1" applyAlignment="1">
      <alignment horizontal="center" vertical="center" wrapText="1"/>
    </xf>
    <xf numFmtId="185" fontId="0" fillId="6" borderId="2" xfId="0" applyNumberFormat="1" applyFill="1" applyBorder="1" applyAlignment="1">
      <alignment horizontal="center" vertical="center" wrapText="1"/>
    </xf>
    <xf numFmtId="1" fontId="86" fillId="0" borderId="2" xfId="0" applyNumberFormat="1" applyFont="1" applyBorder="1" applyAlignment="1">
      <alignment horizontal="center" vertical="center" wrapText="1"/>
    </xf>
    <xf numFmtId="180" fontId="172" fillId="0" borderId="2" xfId="0" applyNumberFormat="1" applyFont="1" applyBorder="1" applyAlignment="1">
      <alignment horizontal="center" vertical="center" wrapText="1"/>
    </xf>
    <xf numFmtId="178" fontId="172" fillId="0" borderId="2" xfId="0" applyNumberFormat="1" applyFont="1" applyBorder="1" applyAlignment="1">
      <alignment horizontal="center" vertical="center" wrapText="1"/>
    </xf>
    <xf numFmtId="0" fontId="86" fillId="0" borderId="0" xfId="0" applyFont="1" applyAlignment="1">
      <alignment horizontal="center" vertical="center" wrapText="1"/>
    </xf>
    <xf numFmtId="0" fontId="0" fillId="6" borderId="0" xfId="0" applyFill="1" applyAlignment="1">
      <alignment horizontal="center" vertical="center" wrapText="1"/>
    </xf>
    <xf numFmtId="0" fontId="257" fillId="0" borderId="19" xfId="2" applyFont="1" applyBorder="1" applyAlignment="1">
      <alignment horizontal="center" vertical="center" wrapText="1"/>
    </xf>
    <xf numFmtId="177" fontId="149" fillId="0" borderId="2" xfId="0" applyNumberFormat="1" applyFont="1" applyBorder="1" applyAlignment="1">
      <alignment horizontal="center" vertical="center" wrapText="1" readingOrder="1"/>
    </xf>
    <xf numFmtId="177" fontId="86" fillId="6" borderId="2" xfId="0" applyNumberFormat="1" applyFont="1" applyFill="1" applyBorder="1" applyAlignment="1">
      <alignment horizontal="center" vertical="center" wrapText="1" readingOrder="1"/>
    </xf>
    <xf numFmtId="177" fontId="172" fillId="6" borderId="2" xfId="0" applyNumberFormat="1" applyFont="1" applyFill="1" applyBorder="1" applyAlignment="1">
      <alignment horizontal="center" vertical="center" wrapText="1" readingOrder="1"/>
    </xf>
    <xf numFmtId="180" fontId="172" fillId="0" borderId="2" xfId="0" applyNumberFormat="1" applyFont="1" applyBorder="1" applyAlignment="1">
      <alignment horizontal="center" vertical="center" wrapText="1" readingOrder="1"/>
    </xf>
    <xf numFmtId="0" fontId="150" fillId="0" borderId="0" xfId="0" applyFont="1" applyAlignment="1">
      <alignment horizontal="center" vertical="center" wrapText="1"/>
    </xf>
    <xf numFmtId="0" fontId="208" fillId="0" borderId="2" xfId="3" applyFont="1" applyBorder="1" applyAlignment="1">
      <alignment horizontal="center" vertical="center" wrapText="1"/>
    </xf>
    <xf numFmtId="0" fontId="86" fillId="6" borderId="2" xfId="3" applyFont="1" applyFill="1" applyBorder="1" applyAlignment="1">
      <alignment vertical="center" wrapText="1"/>
    </xf>
    <xf numFmtId="185" fontId="149"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left" vertical="center" wrapText="1"/>
    </xf>
    <xf numFmtId="0" fontId="149" fillId="6" borderId="2" xfId="3" applyFont="1" applyFill="1" applyBorder="1" applyAlignment="1">
      <alignment horizontal="justify" vertical="center" wrapText="1"/>
    </xf>
    <xf numFmtId="1"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horizontal="left" vertical="center" wrapText="1"/>
    </xf>
    <xf numFmtId="180" fontId="149" fillId="6" borderId="2" xfId="0" applyNumberFormat="1" applyFont="1" applyFill="1" applyBorder="1" applyAlignment="1">
      <alignment horizontal="center" vertical="center" wrapText="1" readingOrder="1"/>
    </xf>
    <xf numFmtId="177" fontId="149" fillId="0" borderId="2" xfId="0" applyNumberFormat="1" applyFont="1" applyBorder="1" applyAlignment="1">
      <alignment horizontal="left" vertical="center" wrapText="1"/>
    </xf>
    <xf numFmtId="0" fontId="305" fillId="0" borderId="2" xfId="0" applyFont="1" applyBorder="1" applyAlignment="1">
      <alignment horizontal="center" vertical="center" wrapText="1" readingOrder="1"/>
    </xf>
    <xf numFmtId="180" fontId="149" fillId="0" borderId="2" xfId="0" applyNumberFormat="1" applyFont="1" applyBorder="1" applyAlignment="1">
      <alignment horizontal="center" vertical="center" wrapText="1" readingOrder="1"/>
    </xf>
    <xf numFmtId="0" fontId="86" fillId="0" borderId="2" xfId="3" applyFont="1" applyBorder="1" applyAlignment="1">
      <alignment horizontal="left" vertical="center" wrapText="1"/>
    </xf>
    <xf numFmtId="180" fontId="86" fillId="6" borderId="2" xfId="33" applyNumberFormat="1" applyFont="1" applyFill="1" applyBorder="1" applyAlignment="1">
      <alignment horizontal="center" vertical="center" wrapText="1"/>
    </xf>
    <xf numFmtId="0" fontId="86" fillId="6" borderId="2" xfId="3" applyFont="1" applyFill="1" applyBorder="1" applyAlignment="1">
      <alignment horizontal="justify" vertical="center" wrapText="1"/>
    </xf>
    <xf numFmtId="180" fontId="149" fillId="0" borderId="2" xfId="33" applyNumberFormat="1" applyFont="1" applyFill="1" applyBorder="1" applyAlignment="1">
      <alignment horizontal="center" vertical="center" wrapText="1"/>
    </xf>
    <xf numFmtId="177" fontId="86" fillId="0" borderId="2" xfId="0" applyNumberFormat="1" applyFont="1" applyBorder="1" applyAlignment="1">
      <alignment horizontal="left" vertical="center" wrapText="1"/>
    </xf>
    <xf numFmtId="0" fontId="86" fillId="0" borderId="2" xfId="3" applyFont="1" applyBorder="1" applyAlignment="1">
      <alignment horizontal="justify" vertical="center" wrapText="1"/>
    </xf>
    <xf numFmtId="0" fontId="86" fillId="0" borderId="2" xfId="3" applyFont="1" applyBorder="1" applyAlignment="1">
      <alignment vertical="center" wrapText="1"/>
    </xf>
    <xf numFmtId="177" fontId="86" fillId="6" borderId="2" xfId="0" applyNumberFormat="1" applyFont="1" applyFill="1" applyBorder="1" applyAlignment="1">
      <alignment horizontal="left" vertical="center" wrapText="1"/>
    </xf>
    <xf numFmtId="180"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vertical="center" wrapText="1"/>
    </xf>
    <xf numFmtId="177" fontId="305" fillId="0" borderId="2" xfId="0" applyNumberFormat="1" applyFont="1" applyBorder="1" applyAlignment="1">
      <alignment horizontal="center" vertical="center" wrapText="1"/>
    </xf>
    <xf numFmtId="177" fontId="172" fillId="0" borderId="2" xfId="0" applyNumberFormat="1" applyFont="1" applyBorder="1" applyAlignment="1">
      <alignment horizontal="center" vertical="center" wrapText="1"/>
    </xf>
    <xf numFmtId="0" fontId="149" fillId="0" borderId="2" xfId="3" applyFont="1" applyBorder="1" applyAlignment="1">
      <alignment vertical="center" wrapText="1"/>
    </xf>
    <xf numFmtId="0" fontId="305" fillId="0" borderId="2" xfId="3" applyFont="1" applyBorder="1" applyAlignment="1">
      <alignment horizontal="left" vertical="center" wrapText="1"/>
    </xf>
    <xf numFmtId="0" fontId="152" fillId="0" borderId="2" xfId="0" applyFont="1" applyBorder="1" applyAlignment="1">
      <alignment horizontal="center" vertical="center"/>
    </xf>
    <xf numFmtId="0" fontId="152" fillId="0" borderId="2" xfId="0" applyFont="1" applyBorder="1" applyAlignment="1">
      <alignment horizontal="center" vertical="center" wrapText="1"/>
    </xf>
    <xf numFmtId="185" fontId="152" fillId="0" borderId="2" xfId="0" applyNumberFormat="1" applyFont="1" applyBorder="1" applyAlignment="1">
      <alignment horizontal="center" vertical="center" wrapText="1"/>
    </xf>
    <xf numFmtId="177" fontId="152" fillId="0" borderId="2" xfId="0" applyNumberFormat="1" applyFont="1" applyBorder="1" applyAlignment="1">
      <alignment horizontal="center" vertical="center" wrapText="1"/>
    </xf>
    <xf numFmtId="177" fontId="152" fillId="0" borderId="10" xfId="0" applyNumberFormat="1" applyFont="1" applyBorder="1" applyAlignment="1">
      <alignment horizontal="center" vertical="center" wrapText="1"/>
    </xf>
    <xf numFmtId="177" fontId="208" fillId="0" borderId="2" xfId="0" applyNumberFormat="1" applyFont="1" applyBorder="1" applyAlignment="1">
      <alignment horizontal="center" vertical="center" wrapText="1"/>
    </xf>
    <xf numFmtId="177" fontId="304" fillId="0" borderId="2" xfId="0" applyNumberFormat="1" applyFont="1" applyBorder="1" applyAlignment="1">
      <alignment horizontal="center" vertical="center" wrapText="1"/>
    </xf>
    <xf numFmtId="177" fontId="304" fillId="0" borderId="21" xfId="0" applyNumberFormat="1" applyFont="1" applyBorder="1" applyAlignment="1">
      <alignment horizontal="center" vertical="center" wrapText="1"/>
    </xf>
    <xf numFmtId="178"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wrapText="1"/>
    </xf>
    <xf numFmtId="180"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xf>
    <xf numFmtId="0" fontId="152" fillId="0" borderId="0" xfId="0" applyFont="1" applyAlignment="1">
      <alignment horizontal="center" vertical="center"/>
    </xf>
    <xf numFmtId="0" fontId="304" fillId="0" borderId="2" xfId="0" applyFont="1" applyBorder="1" applyAlignment="1">
      <alignment horizontal="center" vertical="center"/>
    </xf>
    <xf numFmtId="0" fontId="0" fillId="6" borderId="0" xfId="0" applyFill="1" applyAlignment="1">
      <alignment horizontal="center" wrapText="1"/>
    </xf>
    <xf numFmtId="0" fontId="0" fillId="0" borderId="0" xfId="0" applyAlignment="1">
      <alignment horizontal="center" wrapText="1"/>
    </xf>
    <xf numFmtId="0" fontId="0" fillId="6" borderId="2" xfId="0" applyFill="1" applyBorder="1" applyAlignment="1">
      <alignment vertical="center" wrapText="1"/>
    </xf>
    <xf numFmtId="0" fontId="0" fillId="6" borderId="0" xfId="0" applyFill="1" applyAlignment="1">
      <alignment wrapText="1"/>
    </xf>
    <xf numFmtId="180" fontId="305" fillId="6" borderId="2" xfId="0" applyNumberFormat="1" applyFont="1" applyFill="1" applyBorder="1" applyAlignment="1">
      <alignment horizontal="center" vertical="center" wrapText="1" readingOrder="1"/>
    </xf>
    <xf numFmtId="0" fontId="0" fillId="0" borderId="0" xfId="0" applyAlignment="1">
      <alignment wrapText="1"/>
    </xf>
    <xf numFmtId="0" fontId="86" fillId="0" borderId="2" xfId="0" applyFont="1" applyBorder="1" applyAlignment="1">
      <alignment horizontal="center" vertical="center" wrapText="1" readingOrder="1"/>
    </xf>
    <xf numFmtId="177" fontId="86" fillId="0" borderId="0" xfId="0" applyNumberFormat="1" applyFont="1" applyAlignment="1">
      <alignment horizontal="center" vertical="center" wrapText="1"/>
    </xf>
    <xf numFmtId="177" fontId="149" fillId="0" borderId="0" xfId="0" applyNumberFormat="1" applyFont="1" applyBorder="1" applyAlignment="1">
      <alignment horizontal="center" vertical="center" wrapText="1"/>
    </xf>
    <xf numFmtId="177" fontId="0" fillId="0" borderId="0" xfId="0" applyNumberFormat="1" applyAlignment="1">
      <alignment horizontal="center" vertical="center" wrapText="1"/>
    </xf>
    <xf numFmtId="0" fontId="0" fillId="6" borderId="0" xfId="0" applyFill="1" applyAlignment="1">
      <alignment vertical="center" wrapText="1"/>
    </xf>
    <xf numFmtId="0" fontId="304" fillId="0" borderId="0" xfId="0" applyFont="1" applyAlignment="1">
      <alignment horizontal="center" vertical="center" wrapText="1"/>
    </xf>
    <xf numFmtId="0" fontId="304" fillId="6" borderId="0" xfId="0" applyFont="1" applyFill="1" applyAlignment="1">
      <alignment horizontal="center" vertical="center" wrapText="1"/>
    </xf>
    <xf numFmtId="0" fontId="149" fillId="0" borderId="0" xfId="0" applyFont="1" applyAlignment="1">
      <alignment horizontal="center" vertical="center" wrapText="1"/>
    </xf>
    <xf numFmtId="0" fontId="304" fillId="6" borderId="0" xfId="0" applyFont="1" applyFill="1" applyAlignment="1">
      <alignment horizontal="center" wrapText="1"/>
    </xf>
    <xf numFmtId="0" fontId="304" fillId="6" borderId="0" xfId="0" applyFont="1" applyFill="1" applyAlignment="1">
      <alignment vertical="center" wrapText="1"/>
    </xf>
    <xf numFmtId="0" fontId="304" fillId="0" borderId="0" xfId="0" applyFont="1" applyAlignment="1">
      <alignment vertical="center" wrapText="1"/>
    </xf>
    <xf numFmtId="177" fontId="149" fillId="0" borderId="0" xfId="0" applyNumberFormat="1" applyFont="1" applyAlignment="1">
      <alignment horizontal="center" vertical="center" wrapText="1"/>
    </xf>
    <xf numFmtId="0" fontId="0" fillId="8" borderId="2" xfId="0" applyFill="1" applyBorder="1" applyAlignment="1">
      <alignment horizontal="center" vertical="center" wrapText="1"/>
    </xf>
    <xf numFmtId="0" fontId="86" fillId="8" borderId="2" xfId="3" applyFont="1" applyFill="1" applyBorder="1" applyAlignment="1">
      <alignment horizontal="center" vertical="center" wrapText="1"/>
    </xf>
    <xf numFmtId="185" fontId="0" fillId="8" borderId="2" xfId="0" applyNumberFormat="1" applyFill="1" applyBorder="1" applyAlignment="1">
      <alignment horizontal="center" vertical="center" wrapText="1"/>
    </xf>
    <xf numFmtId="185" fontId="86" fillId="8" borderId="2" xfId="0" applyNumberFormat="1" applyFont="1" applyFill="1" applyBorder="1" applyAlignment="1">
      <alignment horizontal="center" vertical="center" wrapText="1"/>
    </xf>
    <xf numFmtId="177" fontId="86" fillId="8" borderId="2" xfId="0" applyNumberFormat="1" applyFont="1" applyFill="1" applyBorder="1" applyAlignment="1">
      <alignment horizontal="center" vertical="center" wrapText="1"/>
    </xf>
    <xf numFmtId="177" fontId="149" fillId="8" borderId="2" xfId="0" applyNumberFormat="1" applyFont="1" applyFill="1" applyBorder="1" applyAlignment="1">
      <alignment horizontal="center" vertical="center" wrapText="1"/>
    </xf>
    <xf numFmtId="0" fontId="0" fillId="8" borderId="0" xfId="0" applyFill="1" applyAlignment="1">
      <alignment horizontal="center" wrapText="1"/>
    </xf>
    <xf numFmtId="0" fontId="0" fillId="8" borderId="0" xfId="0" applyFill="1" applyAlignment="1">
      <alignment horizontal="center" vertical="center" wrapText="1"/>
    </xf>
    <xf numFmtId="0" fontId="304" fillId="8" borderId="0" xfId="0" applyFont="1" applyFill="1" applyAlignment="1">
      <alignment horizontal="center" vertical="center" wrapText="1"/>
    </xf>
    <xf numFmtId="177" fontId="0" fillId="8" borderId="0" xfId="0" applyNumberFormat="1" applyFill="1" applyAlignment="1">
      <alignment horizontal="center" vertical="center" wrapText="1"/>
    </xf>
    <xf numFmtId="0" fontId="0" fillId="15" borderId="2" xfId="0" applyFill="1" applyBorder="1" applyAlignment="1">
      <alignment horizontal="center" vertical="center" wrapText="1"/>
    </xf>
    <xf numFmtId="0" fontId="304" fillId="15" borderId="2" xfId="0" applyFont="1" applyFill="1" applyBorder="1" applyAlignment="1">
      <alignment horizontal="center" vertical="center" wrapText="1"/>
    </xf>
    <xf numFmtId="185" fontId="304" fillId="15" borderId="2" xfId="0" applyNumberFormat="1" applyFont="1" applyFill="1" applyBorder="1" applyAlignment="1">
      <alignment horizontal="center" vertical="center" wrapText="1"/>
    </xf>
    <xf numFmtId="185" fontId="149" fillId="15" borderId="2" xfId="0" applyNumberFormat="1" applyFont="1" applyFill="1" applyBorder="1" applyAlignment="1">
      <alignment horizontal="center" vertical="center" wrapText="1"/>
    </xf>
    <xf numFmtId="177" fontId="149" fillId="15" borderId="2" xfId="0" applyNumberFormat="1" applyFont="1" applyFill="1" applyBorder="1" applyAlignment="1">
      <alignment horizontal="center" vertical="center" wrapText="1"/>
    </xf>
    <xf numFmtId="177" fontId="149" fillId="15" borderId="0" xfId="0" applyNumberFormat="1" applyFont="1" applyFill="1" applyBorder="1" applyAlignment="1">
      <alignment horizontal="center" vertical="center" wrapText="1"/>
    </xf>
    <xf numFmtId="0" fontId="0" fillId="15" borderId="0" xfId="0" applyFill="1" applyAlignment="1">
      <alignment horizontal="center" vertical="center" wrapText="1"/>
    </xf>
    <xf numFmtId="0" fontId="304" fillId="15" borderId="0" xfId="0" applyFont="1" applyFill="1" applyAlignment="1">
      <alignment horizontal="center" vertical="center" wrapText="1"/>
    </xf>
    <xf numFmtId="177" fontId="0" fillId="15" borderId="0" xfId="0" applyNumberFormat="1" applyFill="1" applyAlignment="1">
      <alignment horizontal="center" vertical="center" wrapText="1"/>
    </xf>
    <xf numFmtId="0" fontId="0" fillId="0" borderId="2" xfId="0" applyFill="1" applyBorder="1" applyAlignment="1">
      <alignment horizontal="center" vertical="center" wrapText="1"/>
    </xf>
    <xf numFmtId="0" fontId="86" fillId="0" borderId="2" xfId="3" applyFont="1" applyFill="1" applyBorder="1" applyAlignment="1">
      <alignment horizontal="center" vertical="center" wrapText="1"/>
    </xf>
    <xf numFmtId="185" fontId="86" fillId="0" borderId="2" xfId="3" applyNumberFormat="1" applyFont="1" applyFill="1" applyBorder="1" applyAlignment="1">
      <alignment horizontal="center" vertical="center" wrapText="1"/>
    </xf>
    <xf numFmtId="198" fontId="86" fillId="0" borderId="2" xfId="3" applyNumberFormat="1" applyFont="1" applyFill="1" applyBorder="1" applyAlignment="1">
      <alignment horizontal="center" vertical="center" wrapText="1"/>
    </xf>
    <xf numFmtId="0" fontId="305"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304" fillId="0" borderId="0" xfId="0" applyFont="1" applyFill="1" applyAlignment="1">
      <alignment horizontal="center" vertical="center" wrapText="1"/>
    </xf>
    <xf numFmtId="177" fontId="0" fillId="0" borderId="0" xfId="0" applyNumberFormat="1" applyFill="1" applyAlignment="1">
      <alignment horizontal="center" vertical="center" wrapText="1"/>
    </xf>
    <xf numFmtId="0" fontId="150" fillId="15" borderId="0" xfId="0" applyFont="1" applyFill="1" applyAlignment="1">
      <alignment horizontal="center" vertical="center" wrapText="1"/>
    </xf>
    <xf numFmtId="0" fontId="150" fillId="0" borderId="0" xfId="0" applyFont="1" applyFill="1" applyAlignment="1">
      <alignment horizontal="center" vertical="center" wrapText="1"/>
    </xf>
    <xf numFmtId="0" fontId="182" fillId="13" borderId="80" xfId="0"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132" fillId="0" borderId="2" xfId="35" applyNumberFormat="1" applyFont="1" applyBorder="1" applyAlignment="1">
      <alignment horizontal="center" vertical="center" wrapText="1"/>
    </xf>
    <xf numFmtId="49" fontId="87" fillId="0" borderId="2" xfId="35" applyNumberFormat="1" applyFont="1" applyBorder="1" applyAlignment="1">
      <alignment horizontal="center" vertical="center"/>
    </xf>
    <xf numFmtId="177" fontId="132" fillId="0" borderId="2" xfId="35" applyNumberFormat="1" applyFont="1" applyBorder="1" applyAlignment="1">
      <alignment horizontal="center" vertical="center" wrapText="1"/>
    </xf>
    <xf numFmtId="177" fontId="87" fillId="0" borderId="2" xfId="35" applyNumberFormat="1" applyFont="1" applyBorder="1" applyAlignment="1">
      <alignment horizontal="center" vertical="center" wrapText="1"/>
    </xf>
    <xf numFmtId="0" fontId="150" fillId="0" borderId="0" xfId="1" applyAlignment="1"/>
    <xf numFmtId="0" fontId="257" fillId="0" borderId="19" xfId="34" applyFont="1" applyBorder="1" applyAlignment="1">
      <alignment horizontal="center" vertical="center" wrapText="1"/>
    </xf>
    <xf numFmtId="0" fontId="138" fillId="0" borderId="2" xfId="34" applyFont="1" applyBorder="1" applyAlignment="1">
      <alignment horizontal="center" vertical="center" wrapText="1"/>
    </xf>
    <xf numFmtId="0" fontId="150" fillId="0" borderId="2" xfId="1" applyBorder="1" applyAlignment="1">
      <alignment horizontal="center" vertical="center"/>
    </xf>
    <xf numFmtId="0" fontId="304" fillId="0" borderId="2" xfId="1" applyFont="1" applyBorder="1" applyAlignment="1">
      <alignment horizontal="center" vertical="center" wrapText="1"/>
    </xf>
    <xf numFmtId="185" fontId="304" fillId="0" borderId="2" xfId="1" applyNumberFormat="1" applyFont="1" applyBorder="1" applyAlignment="1">
      <alignment horizontal="center" vertical="center" wrapText="1"/>
    </xf>
    <xf numFmtId="178"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wrapText="1"/>
    </xf>
    <xf numFmtId="180"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xf>
    <xf numFmtId="177" fontId="149" fillId="0" borderId="10" xfId="1" applyNumberFormat="1" applyFont="1" applyBorder="1" applyAlignment="1">
      <alignment horizontal="left" vertical="center" wrapText="1"/>
    </xf>
    <xf numFmtId="0" fontId="150" fillId="0" borderId="2" xfId="1" applyBorder="1" applyAlignment="1"/>
    <xf numFmtId="14" fontId="76" fillId="5" borderId="33" xfId="0" applyNumberFormat="1" applyFont="1" applyFill="1" applyBorder="1" applyAlignment="1" applyProtection="1">
      <alignment horizontal="center" vertical="center" wrapText="1"/>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wrapText="1"/>
    </xf>
    <xf numFmtId="0" fontId="150" fillId="0" borderId="0" xfId="4" applyFill="1" applyAlignment="1">
      <alignment horizontal="center" vertical="center"/>
    </xf>
    <xf numFmtId="0" fontId="150" fillId="0" borderId="0" xfId="4" applyFill="1" applyAlignment="1">
      <alignment horizontal="center" vertical="center" wrapText="1"/>
    </xf>
    <xf numFmtId="0" fontId="150" fillId="0" borderId="0" xfId="4" applyAlignment="1">
      <alignment horizontal="center" vertical="center"/>
    </xf>
    <xf numFmtId="0" fontId="150" fillId="0" borderId="2" xfId="4" applyFill="1" applyBorder="1" applyAlignment="1">
      <alignment horizontal="center" vertical="center"/>
    </xf>
    <xf numFmtId="0" fontId="150" fillId="0" borderId="2" xfId="4" applyFont="1" applyFill="1" applyBorder="1" applyAlignment="1">
      <alignment horizontal="center" vertical="center"/>
    </xf>
    <xf numFmtId="14" fontId="150" fillId="0" borderId="2" xfId="4" applyNumberFormat="1" applyFill="1" applyBorder="1" applyAlignment="1">
      <alignment horizontal="center" vertical="center"/>
    </xf>
    <xf numFmtId="0" fontId="150" fillId="0" borderId="0" xfId="4" applyFont="1" applyFill="1" applyAlignment="1">
      <alignment horizontal="center" vertical="center"/>
    </xf>
    <xf numFmtId="0" fontId="150" fillId="0" borderId="0" xfId="4" applyFont="1" applyFill="1" applyAlignment="1">
      <alignment horizontal="center" vertical="center" wrapText="1"/>
    </xf>
    <xf numFmtId="0" fontId="150" fillId="0" borderId="0" xfId="4"/>
    <xf numFmtId="49" fontId="91" fillId="5" borderId="2" xfId="10" applyNumberFormat="1" applyFont="1" applyFill="1" applyBorder="1" applyAlignment="1" applyProtection="1">
      <alignment horizontal="center" vertical="center" wrapText="1"/>
      <protection locked="0"/>
    </xf>
    <xf numFmtId="49" fontId="91" fillId="6" borderId="2" xfId="10" applyNumberFormat="1" applyFont="1" applyFill="1" applyBorder="1" applyAlignment="1" applyProtection="1">
      <alignment horizontal="center" vertical="center" wrapText="1"/>
      <protection locked="0"/>
    </xf>
    <xf numFmtId="185" fontId="89" fillId="3" borderId="2" xfId="0" applyNumberFormat="1" applyFont="1" applyFill="1" applyBorder="1" applyAlignment="1" applyProtection="1">
      <alignment horizontal="center" vertical="center" wrapText="1"/>
    </xf>
    <xf numFmtId="0" fontId="150" fillId="0" borderId="0" xfId="0" applyFont="1" applyAlignment="1">
      <alignment horizontal="center" vertical="center"/>
    </xf>
    <xf numFmtId="0" fontId="0" fillId="0" borderId="0" xfId="0" applyAlignment="1">
      <alignment horizontal="center" vertical="center"/>
    </xf>
    <xf numFmtId="0" fontId="150" fillId="0" borderId="2" xfId="4" applyFill="1" applyBorder="1" applyAlignment="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9" fontId="89" fillId="5" borderId="0" xfId="36" applyFont="1" applyFill="1" applyAlignment="1" applyProtection="1">
      <alignment horizontal="center" vertical="center"/>
      <protection locked="0"/>
    </xf>
    <xf numFmtId="183" fontId="150" fillId="0" borderId="0" xfId="4" applyNumberFormat="1" applyAlignment="1">
      <alignment horizontal="center"/>
    </xf>
    <xf numFmtId="0" fontId="150" fillId="0" borderId="0" xfId="4" applyFill="1" applyBorder="1" applyAlignment="1">
      <alignment horizontal="center" vertical="center"/>
    </xf>
    <xf numFmtId="0" fontId="150" fillId="0" borderId="0" xfId="4" applyFill="1" applyBorder="1" applyAlignment="1">
      <alignment horizontal="center" vertical="center" wrapText="1"/>
    </xf>
    <xf numFmtId="0" fontId="150" fillId="0" borderId="0" xfId="4" applyFont="1" applyFill="1" applyBorder="1" applyAlignment="1">
      <alignment horizontal="center" vertical="center"/>
    </xf>
    <xf numFmtId="14" fontId="150" fillId="0" borderId="0" xfId="4" applyNumberFormat="1" applyFill="1" applyBorder="1" applyAlignment="1">
      <alignment horizontal="center" vertical="center"/>
    </xf>
    <xf numFmtId="0" fontId="150" fillId="0" borderId="2" xfId="4" applyFill="1" applyBorder="1" applyAlignment="1">
      <alignment vertical="center"/>
    </xf>
    <xf numFmtId="0" fontId="150" fillId="0" borderId="0" xfId="4" applyFont="1" applyFill="1" applyBorder="1" applyAlignment="1">
      <alignment horizontal="center" vertical="center" wrapText="1"/>
    </xf>
    <xf numFmtId="0" fontId="190" fillId="0" borderId="0" xfId="7" applyFont="1" applyAlignment="1" applyProtection="1">
      <alignment horizontal="left" vertical="top" wrapText="1"/>
    </xf>
    <xf numFmtId="0" fontId="196" fillId="0" borderId="0" xfId="0" applyFont="1" applyAlignment="1">
      <alignment horizontal="center" vertical="center"/>
    </xf>
    <xf numFmtId="0" fontId="242"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242" fillId="0" borderId="2" xfId="0" applyFont="1" applyFill="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212" fillId="0" borderId="5" xfId="0" applyFont="1" applyBorder="1" applyAlignment="1">
      <alignment horizontal="center" vertical="center" wrapText="1"/>
    </xf>
    <xf numFmtId="0" fontId="212" fillId="0" borderId="8" xfId="0" applyFont="1" applyBorder="1" applyAlignment="1">
      <alignment horizontal="center" vertical="center" wrapText="1"/>
    </xf>
    <xf numFmtId="0" fontId="212" fillId="0" borderId="9" xfId="0" applyFont="1" applyBorder="1" applyAlignment="1">
      <alignment horizontal="center" vertical="center" wrapText="1"/>
    </xf>
    <xf numFmtId="0" fontId="200" fillId="0" borderId="0" xfId="0" applyFont="1" applyAlignment="1">
      <alignment vertical="center" wrapText="1"/>
    </xf>
    <xf numFmtId="49" fontId="192" fillId="0" borderId="0" xfId="0" applyNumberFormat="1" applyFont="1" applyAlignment="1" applyProtection="1">
      <alignment vertical="center" wrapText="1"/>
      <protection locked="0"/>
    </xf>
    <xf numFmtId="0" fontId="200" fillId="0" borderId="0" xfId="0" applyFont="1" applyAlignment="1" applyProtection="1">
      <alignment vertical="center" wrapText="1"/>
    </xf>
    <xf numFmtId="0" fontId="192" fillId="0" borderId="0" xfId="0" applyFont="1" applyAlignment="1" applyProtection="1">
      <alignment vertical="center" wrapText="1"/>
      <protection locked="0"/>
    </xf>
    <xf numFmtId="0" fontId="200" fillId="0" borderId="0" xfId="0"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20" fillId="0" borderId="2" xfId="7" applyFont="1" applyFill="1" applyBorder="1" applyAlignment="1">
      <alignment horizontal="center" vertical="center"/>
    </xf>
    <xf numFmtId="0" fontId="219" fillId="0" borderId="2" xfId="7" applyFont="1" applyBorder="1" applyAlignment="1">
      <alignment horizontal="center" vertical="center"/>
    </xf>
    <xf numFmtId="0" fontId="170" fillId="5" borderId="0" xfId="0" applyFont="1" applyFill="1" applyBorder="1" applyAlignment="1" applyProtection="1">
      <alignment horizontal="center" vertical="center" wrapText="1"/>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192" fillId="8" borderId="5" xfId="0" applyFont="1" applyFill="1" applyBorder="1" applyAlignment="1" applyProtection="1">
      <alignment vertical="center" wrapText="1"/>
      <protection locked="0"/>
    </xf>
    <xf numFmtId="0" fontId="192" fillId="8" borderId="8" xfId="0" applyFont="1" applyFill="1" applyBorder="1" applyAlignment="1" applyProtection="1">
      <alignment vertical="center" wrapText="1"/>
      <protection locked="0"/>
    </xf>
    <xf numFmtId="0" fontId="192"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2" fillId="8" borderId="5" xfId="0" applyNumberFormat="1" applyFont="1" applyFill="1" applyBorder="1" applyAlignment="1" applyProtection="1">
      <alignment horizontal="left" vertical="center"/>
      <protection locked="0"/>
    </xf>
    <xf numFmtId="49" fontId="192" fillId="8" borderId="8" xfId="0" applyNumberFormat="1" applyFont="1" applyFill="1" applyBorder="1" applyAlignment="1" applyProtection="1">
      <alignment horizontal="left" vertical="center"/>
      <protection locked="0"/>
    </xf>
    <xf numFmtId="49" fontId="192"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2" fillId="8" borderId="5" xfId="0" applyFont="1" applyFill="1" applyBorder="1" applyAlignment="1" applyProtection="1">
      <alignment vertical="center"/>
      <protection locked="0"/>
    </xf>
    <xf numFmtId="0" fontId="192" fillId="8" borderId="8" xfId="0" applyFont="1" applyFill="1" applyBorder="1" applyAlignment="1" applyProtection="1">
      <alignment vertical="center"/>
      <protection locked="0"/>
    </xf>
    <xf numFmtId="0" fontId="192"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6" fillId="5" borderId="11" xfId="0"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151" fillId="21" borderId="2" xfId="0" applyFont="1" applyFill="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90" fillId="5" borderId="61" xfId="0" applyFont="1" applyFill="1" applyBorder="1" applyAlignment="1" applyProtection="1">
      <alignment horizontal="center" vertical="center"/>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0" fillId="5" borderId="53" xfId="0" applyFont="1" applyFill="1" applyBorder="1" applyAlignment="1" applyProtection="1">
      <alignment horizontal="left" vertical="center" wrapText="1"/>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1"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6" xfId="0" applyFont="1" applyFill="1" applyBorder="1" applyAlignment="1" applyProtection="1">
      <alignment horizontal="left"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 xfId="0" applyFont="1" applyFill="1" applyBorder="1" applyAlignment="1" applyProtection="1">
      <alignment horizontal="center" vertical="center" wrapText="1"/>
    </xf>
    <xf numFmtId="0" fontId="81" fillId="5" borderId="9"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298" fillId="0" borderId="35" xfId="0" applyFont="1" applyBorder="1" applyAlignment="1">
      <alignment horizontal="center" vertical="center" wrapText="1"/>
    </xf>
    <xf numFmtId="0" fontId="298" fillId="0" borderId="80" xfId="0" applyFont="1" applyBorder="1" applyAlignment="1">
      <alignment horizontal="center" vertical="center" wrapText="1"/>
    </xf>
    <xf numFmtId="0" fontId="298" fillId="0" borderId="36" xfId="0" applyFont="1" applyBorder="1" applyAlignment="1">
      <alignment horizontal="center" vertical="center" wrapText="1"/>
    </xf>
    <xf numFmtId="0" fontId="298" fillId="0" borderId="37" xfId="0" applyFont="1" applyBorder="1" applyAlignment="1">
      <alignment horizontal="center" vertical="center" wrapText="1"/>
    </xf>
    <xf numFmtId="0" fontId="298" fillId="0" borderId="38" xfId="0" applyFont="1" applyBorder="1" applyAlignment="1">
      <alignment horizontal="center" vertical="center" wrapText="1"/>
    </xf>
    <xf numFmtId="0" fontId="298" fillId="5" borderId="115" xfId="0" applyFont="1" applyFill="1" applyBorder="1" applyAlignment="1">
      <alignment horizontal="center" vertical="center" wrapText="1"/>
    </xf>
    <xf numFmtId="0" fontId="298" fillId="5" borderId="116" xfId="0" applyFont="1" applyFill="1" applyBorder="1" applyAlignment="1">
      <alignment horizontal="center" vertical="center" wrapText="1"/>
    </xf>
    <xf numFmtId="0" fontId="298" fillId="5" borderId="42" xfId="0" applyFont="1" applyFill="1" applyBorder="1" applyAlignment="1">
      <alignment horizontal="center" vertical="center" wrapText="1"/>
    </xf>
    <xf numFmtId="0" fontId="298" fillId="5" borderId="6" xfId="0" applyFont="1" applyFill="1" applyBorder="1" applyAlignment="1">
      <alignment horizontal="center" vertical="center" wrapText="1"/>
    </xf>
    <xf numFmtId="0" fontId="298" fillId="5" borderId="7" xfId="0" applyFont="1" applyFill="1" applyBorder="1" applyAlignment="1">
      <alignment horizontal="center" vertical="center" wrapText="1"/>
    </xf>
    <xf numFmtId="0" fontId="299" fillId="0" borderId="2" xfId="22" applyFont="1" applyBorder="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0" borderId="5" xfId="22" applyFont="1" applyBorder="1" applyAlignment="1">
      <alignment horizontal="center" vertical="center" wrapText="1"/>
    </xf>
    <xf numFmtId="0" fontId="299" fillId="0" borderId="8" xfId="22" applyFont="1" applyBorder="1" applyAlignment="1">
      <alignment horizontal="center" vertical="center" wrapText="1"/>
    </xf>
    <xf numFmtId="0" fontId="299" fillId="0" borderId="9" xfId="22" applyFont="1" applyBorder="1" applyAlignment="1">
      <alignment horizontal="center" vertical="center" wrapText="1"/>
    </xf>
    <xf numFmtId="0" fontId="299" fillId="0" borderId="2" xfId="22" applyNumberFormat="1" applyFont="1" applyBorder="1" applyAlignment="1">
      <alignment horizontal="center" vertical="center" wrapText="1"/>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205"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5" fillId="5" borderId="0" xfId="0" applyFont="1" applyFill="1" applyAlignment="1" applyProtection="1">
      <alignment horizontal="center" vertical="center"/>
    </xf>
    <xf numFmtId="0" fontId="127" fillId="5" borderId="0" xfId="0" applyFont="1" applyFill="1" applyAlignment="1" applyProtection="1">
      <alignment horizontal="left" vertical="center"/>
      <protection locked="0"/>
    </xf>
    <xf numFmtId="0" fontId="235" fillId="5" borderId="10" xfId="0" applyFont="1" applyFill="1" applyBorder="1" applyAlignment="1" applyProtection="1">
      <alignment vertical="top" wrapText="1"/>
    </xf>
    <xf numFmtId="0" fontId="235" fillId="5" borderId="18" xfId="0" applyFont="1" applyFill="1" applyBorder="1" applyAlignment="1" applyProtection="1">
      <alignment vertical="top" wrapText="1"/>
    </xf>
    <xf numFmtId="0" fontId="235" fillId="5" borderId="3" xfId="0" applyFont="1" applyFill="1" applyBorder="1" applyAlignment="1" applyProtection="1">
      <alignment vertical="top" wrapText="1"/>
    </xf>
    <xf numFmtId="0" fontId="235"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protection locked="0"/>
    </xf>
    <xf numFmtId="0" fontId="166" fillId="5" borderId="38" xfId="0" applyFont="1" applyFill="1" applyBorder="1" applyAlignment="1" applyProtection="1">
      <alignment horizontal="left" vertical="center" wrapText="1"/>
      <protection locked="0"/>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40" fillId="11" borderId="5" xfId="0" applyFont="1" applyFill="1" applyBorder="1" applyAlignment="1">
      <alignment horizontal="left" vertical="center"/>
    </xf>
    <xf numFmtId="0" fontId="240" fillId="11" borderId="8" xfId="0" applyFont="1" applyFill="1" applyBorder="1" applyAlignment="1">
      <alignment horizontal="left" vertical="center"/>
    </xf>
    <xf numFmtId="0" fontId="240" fillId="11" borderId="9" xfId="0" applyFont="1" applyFill="1" applyBorder="1" applyAlignment="1">
      <alignment horizontal="left" vertical="center"/>
    </xf>
    <xf numFmtId="0" fontId="231" fillId="11" borderId="2" xfId="0" applyFont="1" applyFill="1" applyBorder="1" applyAlignment="1">
      <alignment horizontal="center" vertical="center"/>
    </xf>
    <xf numFmtId="0" fontId="132" fillId="0" borderId="2" xfId="0" applyFont="1" applyBorder="1" applyAlignment="1">
      <alignment horizontal="center"/>
    </xf>
    <xf numFmtId="0" fontId="132" fillId="0" borderId="2" xfId="0" applyFont="1" applyBorder="1" applyAlignment="1"/>
    <xf numFmtId="0" fontId="231"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31" fillId="0" borderId="2" xfId="0" applyFont="1" applyFill="1" applyBorder="1" applyAlignment="1">
      <alignment horizontal="center" vertical="center"/>
    </xf>
    <xf numFmtId="0" fontId="231" fillId="5" borderId="2" xfId="0" applyFont="1" applyFill="1" applyBorder="1" applyAlignment="1">
      <alignment horizontal="left" vertical="center" wrapText="1"/>
    </xf>
    <xf numFmtId="0" fontId="240" fillId="5" borderId="81" xfId="0" applyFont="1" applyFill="1" applyBorder="1" applyAlignment="1">
      <alignment vertical="center"/>
    </xf>
    <xf numFmtId="0" fontId="240" fillId="5" borderId="14" xfId="0" applyFont="1" applyFill="1" applyBorder="1" applyAlignment="1">
      <alignment vertical="center"/>
    </xf>
    <xf numFmtId="0" fontId="240" fillId="5" borderId="32" xfId="0" applyFont="1" applyFill="1" applyBorder="1" applyAlignment="1">
      <alignment vertical="center"/>
    </xf>
    <xf numFmtId="0" fontId="240" fillId="5" borderId="54" xfId="0" applyFont="1" applyFill="1" applyBorder="1" applyAlignment="1">
      <alignment vertical="center"/>
    </xf>
    <xf numFmtId="0" fontId="240" fillId="5" borderId="61" xfId="0" applyFont="1" applyFill="1" applyBorder="1" applyAlignment="1">
      <alignment vertical="center"/>
    </xf>
    <xf numFmtId="0" fontId="240" fillId="5" borderId="67" xfId="0" applyFont="1" applyFill="1" applyBorder="1" applyAlignment="1">
      <alignment vertical="center"/>
    </xf>
    <xf numFmtId="0" fontId="237" fillId="5" borderId="64" xfId="0" applyFont="1" applyFill="1" applyBorder="1" applyAlignment="1">
      <alignment horizontal="left" vertical="center"/>
    </xf>
    <xf numFmtId="0" fontId="237" fillId="5" borderId="8" xfId="0" applyFont="1" applyFill="1" applyBorder="1" applyAlignment="1">
      <alignment horizontal="left" vertical="center"/>
    </xf>
    <xf numFmtId="0" fontId="237" fillId="5" borderId="9" xfId="0" applyFont="1" applyFill="1" applyBorder="1" applyAlignment="1">
      <alignment horizontal="left" vertical="center"/>
    </xf>
    <xf numFmtId="0" fontId="239" fillId="5" borderId="2" xfId="0" applyFont="1" applyFill="1" applyBorder="1" applyAlignment="1">
      <alignment horizontal="center" vertical="center"/>
    </xf>
    <xf numFmtId="0" fontId="239" fillId="5" borderId="12" xfId="0" applyFont="1" applyFill="1" applyBorder="1" applyAlignment="1">
      <alignment horizontal="center" vertical="center"/>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71"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49" fontId="294" fillId="0" borderId="11" xfId="0" applyNumberFormat="1" applyFont="1" applyFill="1" applyBorder="1" applyAlignment="1" applyProtection="1">
      <alignment horizontal="center" vertical="center" wrapText="1"/>
      <protection locked="0"/>
    </xf>
    <xf numFmtId="49" fontId="272" fillId="0" borderId="22" xfId="0" applyNumberFormat="1"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150" fillId="0" borderId="0" xfId="4" applyFont="1" applyFill="1" applyAlignment="1">
      <alignment horizontal="center" vertical="center"/>
    </xf>
    <xf numFmtId="0" fontId="150" fillId="0" borderId="2" xfId="4" applyFill="1" applyBorder="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0" fontId="240" fillId="0" borderId="0" xfId="10" applyFont="1" applyAlignment="1">
      <alignment horizontal="center" vertical="center"/>
    </xf>
    <xf numFmtId="0" fontId="162" fillId="0" borderId="0" xfId="10" applyFont="1" applyAlignment="1">
      <alignment horizontal="center" vertical="center"/>
    </xf>
    <xf numFmtId="0" fontId="244" fillId="0" borderId="0" xfId="10" applyFont="1" applyAlignment="1">
      <alignment horizontal="center" vertical="center"/>
    </xf>
    <xf numFmtId="0" fontId="246" fillId="12" borderId="129" xfId="10" applyFont="1" applyFill="1" applyBorder="1" applyAlignment="1" applyProtection="1">
      <alignment horizontal="center" vertical="center" wrapText="1"/>
    </xf>
    <xf numFmtId="0" fontId="246" fillId="12" borderId="123" xfId="10" applyFont="1" applyFill="1" applyBorder="1" applyAlignment="1" applyProtection="1">
      <alignment horizontal="center" vertical="center" wrapText="1"/>
    </xf>
    <xf numFmtId="0" fontId="246" fillId="12" borderId="125" xfId="10" applyFont="1" applyFill="1" applyBorder="1" applyAlignment="1" applyProtection="1">
      <alignment horizontal="center" vertical="center" wrapText="1"/>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246" fillId="12" borderId="119" xfId="10" applyFont="1" applyFill="1" applyBorder="1" applyAlignment="1" applyProtection="1">
      <alignment horizontal="center" vertical="center" wrapText="1"/>
    </xf>
    <xf numFmtId="0" fontId="272" fillId="0" borderId="9" xfId="0" applyFont="1" applyFill="1" applyBorder="1" applyAlignment="1" applyProtection="1">
      <alignment horizontal="center" vertical="center" wrapText="1"/>
      <protection locked="0"/>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9"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138" fillId="0" borderId="5" xfId="3" applyFont="1" applyBorder="1" applyAlignment="1">
      <alignment horizontal="center" vertical="center" wrapText="1"/>
    </xf>
    <xf numFmtId="0" fontId="138" fillId="0" borderId="8" xfId="3" applyFont="1" applyBorder="1" applyAlignment="1">
      <alignment horizontal="center" vertical="center" wrapText="1"/>
    </xf>
    <xf numFmtId="0" fontId="138" fillId="0" borderId="9" xfId="3" applyFont="1" applyBorder="1" applyAlignment="1">
      <alignment horizontal="center" vertical="center" wrapText="1"/>
    </xf>
    <xf numFmtId="0" fontId="257" fillId="0" borderId="19" xfId="2" applyFont="1" applyBorder="1" applyAlignment="1">
      <alignment horizontal="center" vertical="center" wrapText="1"/>
    </xf>
    <xf numFmtId="185" fontId="303" fillId="0" borderId="2" xfId="0" applyNumberFormat="1" applyFont="1" applyBorder="1" applyAlignment="1">
      <alignment horizontal="center" vertical="center"/>
    </xf>
    <xf numFmtId="0" fontId="291" fillId="9" borderId="10" xfId="3" applyFont="1" applyFill="1" applyBorder="1" applyAlignment="1">
      <alignment horizontal="center" vertical="center" wrapText="1" readingOrder="1"/>
    </xf>
    <xf numFmtId="0" fontId="291" fillId="9" borderId="21" xfId="3" applyFont="1" applyFill="1" applyBorder="1" applyAlignment="1">
      <alignment horizontal="center" vertical="center" wrapText="1" readingOrder="1"/>
    </xf>
    <xf numFmtId="0" fontId="291" fillId="3" borderId="10" xfId="3" applyFont="1" applyFill="1" applyBorder="1" applyAlignment="1">
      <alignment horizontal="center" vertical="center" wrapText="1" readingOrder="1"/>
    </xf>
    <xf numFmtId="0" fontId="150" fillId="3" borderId="21" xfId="1" applyFill="1" applyBorder="1" applyAlignment="1">
      <alignment horizontal="center" vertical="center"/>
    </xf>
    <xf numFmtId="0" fontId="291" fillId="3" borderId="21" xfId="3" applyFont="1" applyFill="1" applyBorder="1" applyAlignment="1">
      <alignment horizontal="center" vertical="center" wrapText="1" readingOrder="1"/>
    </xf>
    <xf numFmtId="177" fontId="291" fillId="3" borderId="17" xfId="3" applyNumberFormat="1" applyFont="1" applyFill="1" applyBorder="1" applyAlignment="1">
      <alignment horizontal="center" vertical="center" wrapText="1" readingOrder="1"/>
    </xf>
    <xf numFmtId="177" fontId="291" fillId="3" borderId="20" xfId="3" applyNumberFormat="1" applyFont="1" applyFill="1" applyBorder="1" applyAlignment="1">
      <alignment horizontal="center" vertical="center" wrapText="1" readingOrder="1"/>
    </xf>
    <xf numFmtId="177" fontId="291" fillId="3" borderId="10" xfId="3" applyNumberFormat="1" applyFont="1" applyFill="1" applyBorder="1" applyAlignment="1">
      <alignment horizontal="center" vertical="center" wrapText="1" readingOrder="1"/>
    </xf>
    <xf numFmtId="177" fontId="291" fillId="3" borderId="21" xfId="3" applyNumberFormat="1" applyFont="1" applyFill="1" applyBorder="1" applyAlignment="1">
      <alignment horizontal="center" vertical="center" wrapText="1" readingOrder="1"/>
    </xf>
    <xf numFmtId="0" fontId="291" fillId="6" borderId="5" xfId="3" applyFont="1" applyFill="1" applyBorder="1" applyAlignment="1">
      <alignment horizontal="center" vertical="center" wrapText="1" readingOrder="1"/>
    </xf>
    <xf numFmtId="0" fontId="291" fillId="6" borderId="8" xfId="3" applyFont="1" applyFill="1" applyBorder="1" applyAlignment="1">
      <alignment horizontal="center" vertical="center" wrapText="1" readingOrder="1"/>
    </xf>
    <xf numFmtId="0" fontId="291" fillId="6" borderId="9" xfId="3" applyFont="1" applyFill="1" applyBorder="1" applyAlignment="1">
      <alignment horizontal="center" vertical="center" wrapText="1" readingOrder="1"/>
    </xf>
    <xf numFmtId="0" fontId="291" fillId="3" borderId="2" xfId="3" applyFont="1" applyFill="1" applyBorder="1" applyAlignment="1">
      <alignment horizontal="center" vertical="center" wrapText="1" readingOrder="1"/>
    </xf>
    <xf numFmtId="185" fontId="303" fillId="0" borderId="2" xfId="0" applyNumberFormat="1" applyFont="1" applyBorder="1" applyAlignment="1">
      <alignment horizontal="center" vertical="center" wrapText="1"/>
    </xf>
    <xf numFmtId="0" fontId="150" fillId="0" borderId="13" xfId="0" applyFont="1" applyBorder="1" applyAlignment="1">
      <alignment horizontal="center" vertical="center" wrapText="1"/>
    </xf>
    <xf numFmtId="0" fontId="150" fillId="0" borderId="0" xfId="0" applyFont="1" applyAlignment="1">
      <alignment horizontal="center" vertical="center" wrapText="1"/>
    </xf>
    <xf numFmtId="0" fontId="304" fillId="0" borderId="13" xfId="0" applyFont="1" applyBorder="1" applyAlignment="1">
      <alignment horizontal="center" vertical="center" wrapText="1"/>
    </xf>
    <xf numFmtId="0" fontId="150" fillId="0" borderId="3" xfId="0" applyFont="1" applyBorder="1" applyAlignment="1">
      <alignment horizontal="center" vertical="center" wrapText="1"/>
    </xf>
    <xf numFmtId="0" fontId="182" fillId="13" borderId="36" xfId="0" applyFont="1" applyFill="1" applyBorder="1" applyAlignment="1">
      <alignment horizontal="center" vertical="center" wrapText="1" readingOrder="1"/>
    </xf>
    <xf numFmtId="0" fontId="182" fillId="13" borderId="37" xfId="0" applyFont="1" applyFill="1" applyBorder="1" applyAlignment="1">
      <alignment horizontal="center" vertical="center" wrapText="1" readingOrder="1"/>
    </xf>
    <xf numFmtId="0" fontId="182" fillId="13" borderId="38" xfId="0" applyFont="1" applyFill="1" applyBorder="1" applyAlignment="1">
      <alignment horizontal="center" vertical="center" wrapText="1" readingOrder="1"/>
    </xf>
    <xf numFmtId="0" fontId="181" fillId="0" borderId="2" xfId="15" applyFont="1" applyBorder="1" applyAlignment="1">
      <alignment horizontal="center" vertical="center"/>
    </xf>
    <xf numFmtId="0" fontId="288" fillId="0" borderId="0" xfId="19" applyFont="1" applyAlignment="1">
      <alignment horizontal="center" vertical="center" wrapText="1"/>
    </xf>
    <xf numFmtId="0" fontId="289" fillId="0" borderId="0" xfId="19" applyFont="1" applyAlignment="1">
      <alignment horizontal="center" vertical="center" wrapText="1"/>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8" borderId="2" xfId="19" applyFont="1" applyFill="1" applyBorder="1" applyAlignment="1">
      <alignment horizontal="center" vertical="center"/>
    </xf>
    <xf numFmtId="0" fontId="48" fillId="8" borderId="2" xfId="19" applyFont="1" applyFill="1" applyBorder="1" applyAlignment="1">
      <alignment horizontal="center" vertical="center"/>
    </xf>
    <xf numFmtId="0" fontId="132" fillId="8" borderId="2" xfId="20" applyFont="1" applyFill="1" applyBorder="1" applyAlignment="1">
      <alignment horizontal="center" vertical="center"/>
    </xf>
    <xf numFmtId="0" fontId="48" fillId="8" borderId="2" xfId="20" applyFont="1" applyFill="1" applyBorder="1" applyAlignment="1">
      <alignment horizontal="center" vertical="center"/>
    </xf>
    <xf numFmtId="0" fontId="132" fillId="8" borderId="10" xfId="20" applyFont="1" applyFill="1" applyBorder="1" applyAlignment="1">
      <alignment horizontal="center" vertical="center" wrapText="1"/>
    </xf>
    <xf numFmtId="0" fontId="132" fillId="8" borderId="21" xfId="20" applyFont="1" applyFill="1" applyBorder="1" applyAlignment="1">
      <alignment horizontal="center" vertical="center" wrapText="1"/>
    </xf>
    <xf numFmtId="0" fontId="132" fillId="8" borderId="2" xfId="19" applyFont="1" applyFill="1" applyBorder="1" applyAlignment="1">
      <alignment horizontal="center" vertical="center" wrapText="1"/>
    </xf>
    <xf numFmtId="0" fontId="132" fillId="0" borderId="2" xfId="19" applyFont="1" applyBorder="1" applyAlignment="1">
      <alignment horizontal="center" vertical="center" wrapText="1"/>
    </xf>
    <xf numFmtId="0" fontId="48" fillId="0" borderId="2" xfId="19" applyFont="1" applyBorder="1" applyAlignment="1">
      <alignment horizontal="center" vertical="center"/>
    </xf>
    <xf numFmtId="0" fontId="132" fillId="0" borderId="2" xfId="19" applyFont="1" applyBorder="1" applyAlignment="1">
      <alignment horizontal="center" vertical="center"/>
    </xf>
    <xf numFmtId="0" fontId="48" fillId="0" borderId="157" xfId="19" applyFont="1" applyBorder="1" applyAlignment="1">
      <alignment horizontal="center" vertical="center"/>
    </xf>
    <xf numFmtId="0" fontId="132" fillId="0" borderId="9" xfId="21" applyFont="1" applyBorder="1" applyAlignment="1">
      <alignment horizontal="center" vertical="center" wrapText="1"/>
    </xf>
    <xf numFmtId="0" fontId="48" fillId="0" borderId="2" xfId="21" applyFont="1" applyBorder="1" applyAlignment="1">
      <alignment horizontal="center" vertical="center" wrapText="1"/>
    </xf>
    <xf numFmtId="0" fontId="132" fillId="8" borderId="5" xfId="19" applyFont="1" applyFill="1" applyBorder="1" applyAlignment="1">
      <alignment horizontal="center" vertical="center"/>
    </xf>
    <xf numFmtId="0" fontId="132" fillId="8" borderId="9" xfId="19" applyFont="1" applyFill="1" applyBorder="1" applyAlignment="1">
      <alignment horizontal="center" vertical="center"/>
    </xf>
    <xf numFmtId="0" fontId="0" fillId="8" borderId="2" xfId="0" applyFill="1" applyBorder="1" applyAlignment="1">
      <alignment horizontal="center" vertical="center"/>
    </xf>
    <xf numFmtId="0" fontId="150" fillId="0" borderId="5" xfId="0" applyFont="1" applyBorder="1" applyAlignment="1">
      <alignment horizontal="center" vertical="center"/>
    </xf>
    <xf numFmtId="0" fontId="150" fillId="0" borderId="9" xfId="0" applyFont="1" applyBorder="1" applyAlignment="1">
      <alignment horizontal="center" vertical="center"/>
    </xf>
    <xf numFmtId="0" fontId="151" fillId="20" borderId="2" xfId="0" applyFont="1" applyFill="1" applyBorder="1" applyAlignment="1">
      <alignment horizontal="center" vertical="center"/>
    </xf>
    <xf numFmtId="0" fontId="178" fillId="19" borderId="35" xfId="0" applyFont="1" applyFill="1" applyBorder="1" applyAlignment="1">
      <alignment horizontal="center" vertical="center" wrapText="1"/>
    </xf>
    <xf numFmtId="0" fontId="178" fillId="19" borderId="156"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173" fillId="6" borderId="37" xfId="0" applyFont="1" applyFill="1" applyBorder="1" applyAlignment="1">
      <alignment horizontal="center" vertical="center"/>
    </xf>
    <xf numFmtId="0" fontId="161" fillId="6" borderId="37" xfId="0" applyFont="1" applyFill="1" applyBorder="1" applyAlignment="1">
      <alignment horizontal="center" vertical="center"/>
    </xf>
    <xf numFmtId="0" fontId="173" fillId="6" borderId="0" xfId="0" applyFont="1" applyFill="1" applyAlignment="1">
      <alignment horizontal="center" vertical="center"/>
    </xf>
    <xf numFmtId="0" fontId="161" fillId="6" borderId="0" xfId="0" applyFont="1" applyFill="1" applyAlignment="1">
      <alignment horizontal="center" vertical="center"/>
    </xf>
    <xf numFmtId="49" fontId="178" fillId="19" borderId="35" xfId="0" applyNumberFormat="1" applyFont="1" applyFill="1" applyBorder="1" applyAlignment="1">
      <alignment horizontal="center" vertical="center" wrapText="1"/>
    </xf>
    <xf numFmtId="49" fontId="178" fillId="19" borderId="156" xfId="0" applyNumberFormat="1" applyFont="1" applyFill="1" applyBorder="1" applyAlignment="1">
      <alignment horizontal="center" vertical="center" wrapText="1"/>
    </xf>
    <xf numFmtId="0" fontId="172" fillId="0" borderId="11" xfId="0" applyFont="1" applyBorder="1" applyAlignment="1">
      <alignment horizontal="center" vertical="center"/>
    </xf>
    <xf numFmtId="0" fontId="150" fillId="0" borderId="2" xfId="0" applyFont="1" applyFill="1" applyBorder="1" applyAlignment="1">
      <alignment horizontal="center" vertical="center"/>
    </xf>
    <xf numFmtId="2" fontId="0" fillId="0" borderId="2" xfId="0" applyNumberFormat="1" applyBorder="1" applyAlignment="1">
      <alignment horizontal="center" vertical="center"/>
    </xf>
    <xf numFmtId="0" fontId="138" fillId="0" borderId="5" xfId="34" applyFont="1" applyBorder="1" applyAlignment="1">
      <alignment horizontal="center" vertical="center" wrapText="1"/>
    </xf>
    <xf numFmtId="0" fontId="138" fillId="0" borderId="8" xfId="34" applyFont="1" applyBorder="1" applyAlignment="1">
      <alignment horizontal="center" vertical="center" wrapText="1"/>
    </xf>
    <xf numFmtId="0" fontId="138" fillId="0" borderId="9" xfId="34" applyFont="1" applyBorder="1" applyAlignment="1">
      <alignment horizontal="center" vertical="center" wrapText="1"/>
    </xf>
    <xf numFmtId="0" fontId="303" fillId="0" borderId="2" xfId="1" applyFont="1" applyBorder="1" applyAlignment="1">
      <alignment horizontal="center" vertical="center"/>
    </xf>
    <xf numFmtId="0" fontId="303" fillId="0" borderId="2" xfId="1" applyFont="1" applyBorder="1" applyAlignment="1">
      <alignment horizontal="center" vertical="center" wrapText="1"/>
    </xf>
    <xf numFmtId="0" fontId="257" fillId="0" borderId="19" xfId="34" applyFont="1" applyBorder="1" applyAlignment="1">
      <alignment horizontal="center" vertical="center" wrapText="1"/>
    </xf>
    <xf numFmtId="0" fontId="291" fillId="6" borderId="10" xfId="34" applyFont="1" applyFill="1" applyBorder="1" applyAlignment="1">
      <alignment horizontal="center" vertical="center" wrapText="1" readingOrder="1"/>
    </xf>
    <xf numFmtId="0" fontId="291" fillId="6" borderId="21"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303" fillId="0" borderId="2" xfId="1" applyNumberFormat="1" applyFont="1" applyBorder="1" applyAlignment="1">
      <alignment horizontal="center" vertical="center"/>
    </xf>
    <xf numFmtId="0" fontId="2" fillId="6" borderId="21" xfId="35" applyFill="1" applyBorder="1" applyAlignment="1">
      <alignment horizontal="center" vertical="center"/>
    </xf>
  </cellXfs>
  <cellStyles count="37">
    <cellStyle name="ColLevel_1" xfId="23"/>
    <cellStyle name="RowLevel_1" xfId="24"/>
    <cellStyle name="百分比" xfId="36" builtinId="5"/>
    <cellStyle name="百分比 2" xfId="11"/>
    <cellStyle name="差_复件 康正输机模板" xfId="25"/>
    <cellStyle name="差_康正输机模板" xfId="26"/>
    <cellStyle name="差_栗元庄输机表-11.20" xfId="27"/>
    <cellStyle name="差_王晓东修改后模板" xfId="28"/>
    <cellStyle name="常规" xfId="0" builtinId="0"/>
    <cellStyle name="常规 10" xfId="17"/>
    <cellStyle name="常规 11" xfId="19"/>
    <cellStyle name="常规 12" xfId="22"/>
    <cellStyle name="常规 12 2" xfId="35"/>
    <cellStyle name="常规 16" xfId="1"/>
    <cellStyle name="常规 2" xfId="2"/>
    <cellStyle name="常规 2 2" xfId="3"/>
    <cellStyle name="常规 2 2 2" xfId="34"/>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 name="好_复件 康正输机模板" xfId="29"/>
    <cellStyle name="好_康正输机模板" xfId="30"/>
    <cellStyle name="好_栗元庄输机表-11.20" xfId="31"/>
    <cellStyle name="好_王晓东修改后模板" xfId="32"/>
    <cellStyle name="千位分隔" xfId="33" builtinId="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30480</xdr:rowOff>
    </xdr:from>
    <xdr:to>
      <xdr:col>9</xdr:col>
      <xdr:colOff>1019294</xdr:colOff>
      <xdr:row>39</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97480"/>
          <a:ext cx="7115294" cy="5400000"/>
        </a:xfrm>
        <a:prstGeom prst="rect">
          <a:avLst/>
        </a:prstGeom>
      </xdr:spPr>
    </xdr:pic>
    <xdr:clientData/>
  </xdr:twoCellAnchor>
  <xdr:twoCellAnchor editAs="oneCell">
    <xdr:from>
      <xdr:col>0</xdr:col>
      <xdr:colOff>0</xdr:colOff>
      <xdr:row>40</xdr:row>
      <xdr:rowOff>83820</xdr:rowOff>
    </xdr:from>
    <xdr:to>
      <xdr:col>13</xdr:col>
      <xdr:colOff>626771</xdr:colOff>
      <xdr:row>53</xdr:row>
      <xdr:rowOff>46380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37220"/>
          <a:ext cx="9313571" cy="2340000"/>
        </a:xfrm>
        <a:prstGeom prst="rect">
          <a:avLst/>
        </a:prstGeom>
      </xdr:spPr>
    </xdr:pic>
    <xdr:clientData/>
  </xdr:twoCellAnchor>
  <xdr:twoCellAnchor editAs="oneCell">
    <xdr:from>
      <xdr:col>9</xdr:col>
      <xdr:colOff>1043940</xdr:colOff>
      <xdr:row>11</xdr:row>
      <xdr:rowOff>30480</xdr:rowOff>
    </xdr:from>
    <xdr:to>
      <xdr:col>21</xdr:col>
      <xdr:colOff>374530</xdr:colOff>
      <xdr:row>50</xdr:row>
      <xdr:rowOff>98160</xdr:rowOff>
    </xdr:to>
    <xdr:pic>
      <xdr:nvPicPr>
        <xdr:cNvPr id="5" name="图片 4"/>
        <xdr:cNvPicPr>
          <a:picLocks noChangeAspect="1"/>
        </xdr:cNvPicPr>
      </xdr:nvPicPr>
      <xdr:blipFill>
        <a:blip xmlns:r="http://schemas.openxmlformats.org/officeDocument/2006/relationships" r:embed="rId3"/>
        <a:stretch>
          <a:fillRect/>
        </a:stretch>
      </xdr:blipFill>
      <xdr:spPr>
        <a:xfrm>
          <a:off x="7139940" y="2697480"/>
          <a:ext cx="7468750" cy="7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33</xdr:row>
      <xdr:rowOff>590550</xdr:rowOff>
    </xdr:from>
    <xdr:to>
      <xdr:col>25</xdr:col>
      <xdr:colOff>332548</xdr:colOff>
      <xdr:row>35</xdr:row>
      <xdr:rowOff>323130</xdr:rowOff>
    </xdr:to>
    <xdr:pic>
      <xdr:nvPicPr>
        <xdr:cNvPr id="2" name="图片 1">
          <a:extLst>
            <a:ext uri="{FF2B5EF4-FFF2-40B4-BE49-F238E27FC236}">
              <a16:creationId xmlns:a16="http://schemas.microsoft.com/office/drawing/2014/main" xmlns="" id="{0DC7D7C7-2420-4765-91EE-C175782B20FE}"/>
            </a:ext>
          </a:extLst>
        </xdr:cNvPr>
        <xdr:cNvPicPr>
          <a:picLocks noChangeAspect="1"/>
        </xdr:cNvPicPr>
      </xdr:nvPicPr>
      <xdr:blipFill>
        <a:blip xmlns:r="http://schemas.openxmlformats.org/officeDocument/2006/relationships" r:embed="rId1"/>
        <a:stretch>
          <a:fillRect/>
        </a:stretch>
      </xdr:blipFill>
      <xdr:spPr>
        <a:xfrm>
          <a:off x="13335000" y="14439900"/>
          <a:ext cx="6619048"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48</xdr:row>
      <xdr:rowOff>104444</xdr:rowOff>
    </xdr:to>
    <xdr:pic>
      <xdr:nvPicPr>
        <xdr:cNvPr id="2" name="图片 1">
          <a:extLst>
            <a:ext uri="{FF2B5EF4-FFF2-40B4-BE49-F238E27FC236}">
              <a16:creationId xmlns:a16="http://schemas.microsoft.com/office/drawing/2014/main" xmlns="" id="{CD452E44-4765-415D-B84A-9BA40D706B0E}"/>
            </a:ext>
          </a:extLst>
        </xdr:cNvPr>
        <xdr:cNvPicPr>
          <a:picLocks noChangeAspect="1"/>
        </xdr:cNvPicPr>
      </xdr:nvPicPr>
      <xdr:blipFill>
        <a:blip xmlns:r="http://schemas.openxmlformats.org/officeDocument/2006/relationships" r:embed="rId1"/>
        <a:stretch>
          <a:fillRect/>
        </a:stretch>
      </xdr:blipFill>
      <xdr:spPr>
        <a:xfrm>
          <a:off x="29727525" y="1933575"/>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18</xdr:row>
      <xdr:rowOff>37949</xdr:rowOff>
    </xdr:to>
    <xdr:pic>
      <xdr:nvPicPr>
        <xdr:cNvPr id="3" name="图片 2">
          <a:extLst>
            <a:ext uri="{FF2B5EF4-FFF2-40B4-BE49-F238E27FC236}">
              <a16:creationId xmlns:a16="http://schemas.microsoft.com/office/drawing/2014/main" xmlns="" id="{75635214-9EB5-4652-8FA0-F8E84993B7D0}"/>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45</xdr:row>
      <xdr:rowOff>18893</xdr:rowOff>
    </xdr:to>
    <xdr:pic>
      <xdr:nvPicPr>
        <xdr:cNvPr id="4" name="图片 3">
          <a:extLst>
            <a:ext uri="{FF2B5EF4-FFF2-40B4-BE49-F238E27FC236}">
              <a16:creationId xmlns:a16="http://schemas.microsoft.com/office/drawing/2014/main" xmlns="" id="{B4A633B5-0B72-4AC0-AFD4-52B297FF3177}"/>
            </a:ext>
          </a:extLst>
        </xdr:cNvPr>
        <xdr:cNvPicPr>
          <a:picLocks noChangeAspect="1"/>
        </xdr:cNvPicPr>
      </xdr:nvPicPr>
      <xdr:blipFill>
        <a:blip xmlns:r="http://schemas.openxmlformats.org/officeDocument/2006/relationships" r:embed="rId3"/>
        <a:stretch>
          <a:fillRect/>
        </a:stretch>
      </xdr:blipFill>
      <xdr:spPr>
        <a:xfrm>
          <a:off x="29718000" y="26765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44</xdr:row>
      <xdr:rowOff>114064</xdr:rowOff>
    </xdr:to>
    <xdr:pic>
      <xdr:nvPicPr>
        <xdr:cNvPr id="5" name="图片 4">
          <a:extLst>
            <a:ext uri="{FF2B5EF4-FFF2-40B4-BE49-F238E27FC236}">
              <a16:creationId xmlns:a16="http://schemas.microsoft.com/office/drawing/2014/main" xmlns="" id="{AE263450-FA0C-493B-9DB6-110D13DBC51F}"/>
            </a:ext>
          </a:extLst>
        </xdr:cNvPr>
        <xdr:cNvPicPr>
          <a:picLocks noChangeAspect="1"/>
        </xdr:cNvPicPr>
      </xdr:nvPicPr>
      <xdr:blipFill>
        <a:blip xmlns:r="http://schemas.openxmlformats.org/officeDocument/2006/relationships" r:embed="rId4"/>
        <a:stretch>
          <a:fillRect/>
        </a:stretch>
      </xdr:blipFill>
      <xdr:spPr>
        <a:xfrm>
          <a:off x="29860875" y="2019300"/>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43</xdr:row>
      <xdr:rowOff>76018</xdr:rowOff>
    </xdr:to>
    <xdr:pic>
      <xdr:nvPicPr>
        <xdr:cNvPr id="6" name="图片 5">
          <a:extLst>
            <a:ext uri="{FF2B5EF4-FFF2-40B4-BE49-F238E27FC236}">
              <a16:creationId xmlns:a16="http://schemas.microsoft.com/office/drawing/2014/main" xmlns="" id="{E84D213A-8572-4C11-A516-649A96D84C0A}"/>
            </a:ext>
          </a:extLst>
        </xdr:cNvPr>
        <xdr:cNvPicPr>
          <a:picLocks noChangeAspect="1"/>
        </xdr:cNvPicPr>
      </xdr:nvPicPr>
      <xdr:blipFill>
        <a:blip xmlns:r="http://schemas.openxmlformats.org/officeDocument/2006/relationships" r:embed="rId5"/>
        <a:stretch>
          <a:fillRect/>
        </a:stretch>
      </xdr:blipFill>
      <xdr:spPr>
        <a:xfrm>
          <a:off x="29584650" y="2238375"/>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45</xdr:row>
      <xdr:rowOff>114098</xdr:rowOff>
    </xdr:to>
    <xdr:pic>
      <xdr:nvPicPr>
        <xdr:cNvPr id="7" name="图片 6">
          <a:extLst>
            <a:ext uri="{FF2B5EF4-FFF2-40B4-BE49-F238E27FC236}">
              <a16:creationId xmlns:a16="http://schemas.microsoft.com/office/drawing/2014/main" xmlns="" id="{01CCAED9-6F44-4185-A6F3-D29E70CD8503}"/>
            </a:ext>
          </a:extLst>
        </xdr:cNvPr>
        <xdr:cNvPicPr>
          <a:picLocks noChangeAspect="1"/>
        </xdr:cNvPicPr>
      </xdr:nvPicPr>
      <xdr:blipFill>
        <a:blip xmlns:r="http://schemas.openxmlformats.org/officeDocument/2006/relationships" r:embed="rId6"/>
        <a:stretch>
          <a:fillRect/>
        </a:stretch>
      </xdr:blipFill>
      <xdr:spPr>
        <a:xfrm>
          <a:off x="29575125" y="5181600"/>
          <a:ext cx="8257143"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a:extLst>
            <a:ext uri="{FF2B5EF4-FFF2-40B4-BE49-F238E27FC236}">
              <a16:creationId xmlns:a16="http://schemas.microsoft.com/office/drawing/2014/main" xmlns=""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55176</xdr:colOff>
      <xdr:row>18</xdr:row>
      <xdr:rowOff>115021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1287"/>
          <a:ext cx="2533333" cy="8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a:extLst>
            <a:ext uri="{FF2B5EF4-FFF2-40B4-BE49-F238E27FC236}">
              <a16:creationId xmlns:a16="http://schemas.microsoft.com/office/drawing/2014/main" xmlns="" id="{00000000-0008-0000-3B00-000005000000}"/>
            </a:ext>
          </a:extLst>
        </xdr:cNvPr>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a:extLst>
            <a:ext uri="{FF2B5EF4-FFF2-40B4-BE49-F238E27FC236}">
              <a16:creationId xmlns:a16="http://schemas.microsoft.com/office/drawing/2014/main" xmlns="" id="{00000000-0008-0000-3B00-000006000000}"/>
            </a:ext>
          </a:extLst>
        </xdr:cNvPr>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2303;&#20648;&#20116;&#29256;/&#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F03&#27979;&#31639;-&#23433;&#23425;&#24196;&#25187;&#32473;&#19978;&#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8165;&#27905;&#36710;&#36742;&#21378;%20&#32456;&#29256;&#27979;&#31639;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1" customWidth="1"/>
    <col min="2" max="2" width="78.21875" style="2912" customWidth="1"/>
    <col min="3" max="18" width="9" style="2906"/>
    <col min="19" max="19" width="17.88671875" style="2906" customWidth="1"/>
    <col min="20" max="51" width="9" style="2906"/>
    <col min="52" max="52" width="13.21875" style="2906" customWidth="1"/>
    <col min="53" max="53" width="13.44140625" style="2906" bestFit="1" customWidth="1"/>
    <col min="54" max="54" width="11.6640625" style="2906" bestFit="1" customWidth="1"/>
    <col min="55" max="55" width="13.44140625" style="2906" bestFit="1" customWidth="1"/>
    <col min="56" max="16384" width="9" style="2906"/>
  </cols>
  <sheetData>
    <row r="1" spans="1:55" s="2917" customFormat="1" ht="16.2" thickBot="1">
      <c r="A1" s="2915" t="s">
        <v>2659</v>
      </c>
      <c r="B1" s="2916" t="s">
        <v>2756</v>
      </c>
    </row>
    <row r="2" spans="1:55" s="2920" customFormat="1" ht="16.2"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6.2" thickBot="1">
      <c r="A5" s="2924" t="s">
        <v>2666</v>
      </c>
      <c r="B5" s="2925" t="str">
        <f>'预评函-封皮'!B49</f>
        <v>康正预评字号</v>
      </c>
    </row>
    <row r="6" spans="1:55" s="2926" customFormat="1" ht="16.2"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6.2" thickBot="1">
      <c r="A21" s="2924" t="s">
        <v>2677</v>
      </c>
      <c r="B21" s="2925" t="str">
        <f>'预评函-1'!A28</f>
        <v>——</v>
      </c>
    </row>
    <row r="22" spans="1:48" ht="16.2" thickTop="1">
      <c r="A22" s="2913" t="s">
        <v>2678</v>
      </c>
      <c r="B22" s="291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8139</v>
      </c>
    </row>
    <row r="47" spans="1:2">
      <c r="A47" s="2902" t="s">
        <v>2727</v>
      </c>
      <c r="B47" s="2903">
        <f ca="1">'预评函-2'!Q5</f>
        <v>24516</v>
      </c>
    </row>
    <row r="48" spans="1:2">
      <c r="A48" s="2902" t="s">
        <v>2728</v>
      </c>
      <c r="B48" s="2903">
        <f ca="1">'预评函-2'!R5</f>
        <v>148257</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6.2" thickBot="1">
      <c r="A54" s="2924" t="s">
        <v>2731</v>
      </c>
      <c r="B54" s="2925" t="str">
        <f>'预评函-2'!R8</f>
        <v>——</v>
      </c>
    </row>
    <row r="55" spans="1:2" ht="16.2"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6.2" thickBot="1">
      <c r="A58" s="2924" t="s">
        <v>2732</v>
      </c>
      <c r="B58" s="2925" t="str">
        <f>'预评函-3'!A5</f>
        <v>4.影响价格的其他限定条件：无。</v>
      </c>
    </row>
    <row r="59" spans="1:2" ht="16.2"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6.2" thickBot="1">
      <c r="A68" s="2924" t="s">
        <v>2695</v>
      </c>
      <c r="B68" s="2928">
        <f>'预评函-3'!D30</f>
        <v>42558</v>
      </c>
    </row>
    <row r="69" spans="1:2" ht="16.2"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6.2" thickBot="1">
      <c r="A72" s="2924" t="s">
        <v>2694</v>
      </c>
      <c r="B72" s="2930">
        <f>'预评函-3'!B21</f>
        <v>2004110128</v>
      </c>
    </row>
    <row r="73" spans="1:2" ht="16.2"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6.2"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1" t="s">
        <v>2789</v>
      </c>
      <c r="B76" s="2912"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1939</v>
      </c>
      <c r="B1" s="3755" t="str">
        <f>IF(B10="北京市","北京市",C10)&amp;F10&amp;B16&amp;"国有建设用地使用权"&amp;B9&amp;"预评估"</f>
        <v>北京市海淀区西三旗建材城中路2号出让国有建设用地使用权市场价格预评估</v>
      </c>
      <c r="C1" s="3756"/>
      <c r="D1" s="3756"/>
      <c r="E1" s="3756"/>
      <c r="F1" s="3756"/>
      <c r="G1" s="3756"/>
      <c r="H1" s="3756"/>
      <c r="I1" s="3757"/>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6.2" thickBot="1">
      <c r="A4" s="1663" t="s">
        <v>1942</v>
      </c>
      <c r="B4" s="1842" t="s">
        <v>3584</v>
      </c>
      <c r="C4" s="1845">
        <f ca="1">SUMIF(土地估价师,B4,估价师及机构信息!E3:E24)</f>
        <v>2004110096</v>
      </c>
      <c r="D4" s="1842" t="s">
        <v>3611</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6.2"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761" t="s">
        <v>1946</v>
      </c>
      <c r="E8" s="1843"/>
      <c r="F8" s="1671"/>
      <c r="G8" s="1659"/>
      <c r="H8" s="1659"/>
      <c r="I8" s="1706"/>
      <c r="J8" s="1693"/>
      <c r="K8" s="1773"/>
      <c r="L8" s="1722"/>
      <c r="M8" s="1722"/>
      <c r="N8" s="1693"/>
      <c r="O8" s="1694"/>
      <c r="P8" s="1693"/>
      <c r="Q8" s="1693"/>
      <c r="R8" s="1693"/>
      <c r="S8" s="1693"/>
      <c r="T8" s="1693"/>
      <c r="U8" s="1693"/>
    </row>
    <row r="9" spans="1:21" ht="16.2" thickBot="1">
      <c r="A9" s="1672" t="s">
        <v>1945</v>
      </c>
      <c r="B9" s="1673" t="s">
        <v>2980</v>
      </c>
      <c r="C9" s="1674"/>
      <c r="D9" s="3762"/>
      <c r="E9" s="1673"/>
      <c r="F9" s="1746"/>
      <c r="G9" s="1741"/>
      <c r="H9" s="1741"/>
      <c r="I9" s="1742"/>
      <c r="J9" s="1693"/>
      <c r="K9" s="1773"/>
      <c r="L9" s="1722"/>
      <c r="M9" s="1722"/>
      <c r="N9" s="1693"/>
      <c r="O9" s="1694"/>
      <c r="P9" s="1693"/>
      <c r="Q9" s="1693"/>
      <c r="R9" s="1693"/>
      <c r="S9" s="1693"/>
      <c r="T9" s="1693"/>
      <c r="U9" s="1693"/>
    </row>
    <row r="10" spans="1:21" ht="16.2" thickTop="1">
      <c r="A10" s="1743" t="s">
        <v>2001</v>
      </c>
      <c r="B10" s="1718" t="s">
        <v>1947</v>
      </c>
      <c r="C10" s="1675"/>
      <c r="D10" s="1666"/>
      <c r="E10" s="1676" t="s">
        <v>1948</v>
      </c>
      <c r="F10" s="1677" t="s">
        <v>3514</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758"/>
      <c r="C12" s="3759"/>
      <c r="D12" s="3760"/>
      <c r="E12" s="1698" t="s">
        <v>2063</v>
      </c>
      <c r="F12" s="3776" t="s">
        <v>2890</v>
      </c>
      <c r="G12" s="3777"/>
      <c r="H12" s="3777"/>
      <c r="I12" s="3778"/>
      <c r="J12" s="1693"/>
      <c r="K12" s="1773"/>
      <c r="L12" s="1722"/>
      <c r="M12" s="1722"/>
      <c r="N12" s="1693"/>
      <c r="O12" s="1694"/>
      <c r="P12" s="1693"/>
      <c r="Q12" s="1693"/>
      <c r="R12" s="1693"/>
      <c r="S12" s="1693"/>
      <c r="T12" s="1693"/>
      <c r="U12" s="1693"/>
    </row>
    <row r="13" spans="1:21">
      <c r="A13" s="1686" t="s">
        <v>2061</v>
      </c>
      <c r="B13" s="3758"/>
      <c r="C13" s="3759"/>
      <c r="D13" s="3760"/>
      <c r="E13" s="1698" t="s">
        <v>2063</v>
      </c>
      <c r="F13" s="3776" t="s">
        <v>2891</v>
      </c>
      <c r="G13" s="3777"/>
      <c r="H13" s="3777"/>
      <c r="I13" s="3778"/>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6.8">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773"/>
      <c r="E20" s="3774"/>
      <c r="F20" s="3774"/>
      <c r="G20" s="3774"/>
      <c r="H20" s="3774"/>
      <c r="I20" s="3775"/>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763" t="s">
        <v>2000</v>
      </c>
      <c r="F21" s="3764"/>
      <c r="G21" s="3764"/>
      <c r="H21" s="3764"/>
      <c r="I21" s="3765"/>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763" t="s">
        <v>2892</v>
      </c>
      <c r="F22" s="3764"/>
      <c r="G22" s="3764"/>
      <c r="H22" s="3764"/>
      <c r="I22" s="3765"/>
      <c r="J22" s="1693"/>
      <c r="K22" s="1773"/>
      <c r="L22" s="1722"/>
      <c r="M22" s="1722"/>
      <c r="N22" s="1693"/>
      <c r="O22" s="1694"/>
      <c r="P22" s="1693"/>
      <c r="Q22" s="1693"/>
      <c r="R22" s="1693"/>
      <c r="S22" s="1693"/>
      <c r="T22" s="1693"/>
      <c r="U22" s="1693"/>
    </row>
    <row r="23" spans="1:21" ht="47.4"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766" t="s">
        <v>1968</v>
      </c>
      <c r="C24" s="3767"/>
      <c r="D24" s="3768" t="s">
        <v>1969</v>
      </c>
      <c r="E24" s="3769"/>
      <c r="F24" s="1707" t="s">
        <v>1970</v>
      </c>
      <c r="G24" s="1693"/>
      <c r="H24" s="1693"/>
      <c r="I24" s="1706"/>
      <c r="J24" s="1693"/>
      <c r="K24" s="3754"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2327</v>
      </c>
      <c r="C25" s="1708" t="s">
        <v>1972</v>
      </c>
      <c r="D25" s="1709"/>
      <c r="E25" s="1710" t="s">
        <v>951</v>
      </c>
      <c r="F25" s="1711"/>
      <c r="G25" s="1693"/>
      <c r="H25" s="1693"/>
      <c r="I25" s="1706"/>
      <c r="J25" s="1693"/>
      <c r="K25" s="375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1973</v>
      </c>
      <c r="C26" s="1708" t="s">
        <v>2328</v>
      </c>
      <c r="D26" s="1659"/>
      <c r="E26" s="1659"/>
      <c r="F26" s="1687"/>
      <c r="G26" s="1693"/>
      <c r="H26" s="1693"/>
      <c r="I26" s="1706"/>
      <c r="J26" s="1693"/>
      <c r="K26" s="375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6.2" thickTop="1">
      <c r="A31" s="3781" t="s">
        <v>2003</v>
      </c>
      <c r="B31" s="1763" t="s">
        <v>2004</v>
      </c>
      <c r="C31" s="3779"/>
      <c r="D31" s="3780"/>
      <c r="E31" s="1693"/>
      <c r="F31" s="1693"/>
      <c r="G31" s="1693"/>
      <c r="H31" s="1693"/>
      <c r="I31" s="1706"/>
      <c r="J31" s="1693"/>
      <c r="K31" s="2482"/>
      <c r="L31" s="1693"/>
      <c r="M31" s="1693"/>
      <c r="N31" s="1693"/>
      <c r="O31" s="1693"/>
      <c r="P31" s="1693"/>
      <c r="Q31" s="1693"/>
      <c r="R31" s="1693"/>
      <c r="S31" s="1693"/>
      <c r="T31" s="1693"/>
      <c r="U31" s="1693"/>
    </row>
    <row r="32" spans="1:21">
      <c r="A32" s="3781"/>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781"/>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782"/>
      <c r="B34" s="1660" t="s">
        <v>2007</v>
      </c>
      <c r="C34" s="3783"/>
      <c r="D34" s="3784"/>
      <c r="E34" s="1693"/>
      <c r="F34" s="1693"/>
      <c r="G34" s="1693"/>
      <c r="H34" s="1693"/>
      <c r="I34" s="1706"/>
      <c r="J34" s="1693"/>
      <c r="K34" s="2482"/>
      <c r="L34" s="1693"/>
      <c r="M34" s="1693"/>
      <c r="N34" s="1693"/>
      <c r="O34" s="1693"/>
      <c r="P34" s="1693"/>
      <c r="Q34" s="1693"/>
      <c r="R34" s="1693"/>
      <c r="S34" s="1693"/>
      <c r="T34" s="1693"/>
      <c r="U34" s="1693"/>
    </row>
    <row r="35" spans="1:21">
      <c r="A35" s="3785" t="s">
        <v>846</v>
      </c>
      <c r="B35" s="1721"/>
      <c r="C35" s="1775" t="str">
        <f>IF(B35="场地平整","——","具体情况：")</f>
        <v>具体情况：</v>
      </c>
      <c r="D35" s="3787"/>
      <c r="E35" s="3788"/>
      <c r="F35" s="3788"/>
      <c r="G35" s="3788"/>
      <c r="H35" s="3788"/>
      <c r="I35" s="3789"/>
      <c r="J35" s="1693"/>
      <c r="K35" s="1774"/>
      <c r="L35" s="1722"/>
      <c r="M35" s="1722"/>
      <c r="N35" s="1693"/>
      <c r="O35" s="1694"/>
      <c r="P35" s="1693"/>
      <c r="Q35" s="1693"/>
      <c r="R35" s="1693"/>
      <c r="S35" s="1693"/>
      <c r="T35" s="1693"/>
      <c r="U35" s="1693"/>
    </row>
    <row r="36" spans="1:21">
      <c r="A36" s="3781"/>
      <c r="B36" s="3790" t="s">
        <v>2056</v>
      </c>
      <c r="C36" s="3791"/>
      <c r="D36" s="1791"/>
      <c r="E36" s="3792"/>
      <c r="F36" s="3792"/>
      <c r="G36" s="1686" t="str">
        <f>IF(B35="场地未平整","估价结果处理","")</f>
        <v/>
      </c>
      <c r="H36" s="3793"/>
      <c r="I36" s="3793"/>
      <c r="J36" s="1693"/>
      <c r="K36" s="1774"/>
      <c r="L36" s="1722"/>
      <c r="M36" s="1722"/>
      <c r="N36" s="1693"/>
      <c r="O36" s="1694"/>
      <c r="P36" s="1693"/>
      <c r="Q36" s="1693"/>
      <c r="R36" s="1693"/>
      <c r="S36" s="1693"/>
      <c r="T36" s="1693"/>
      <c r="U36" s="1693"/>
    </row>
    <row r="37" spans="1:21" ht="31.2">
      <c r="A37" s="3781"/>
      <c r="B37" s="377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781"/>
      <c r="B38" s="3771"/>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782"/>
      <c r="B39" s="377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753" t="s">
        <v>1987</v>
      </c>
      <c r="T40" s="1730" t="str">
        <f>NUMBERSTRING(7-K40,1)&amp;"通"</f>
        <v>七通</v>
      </c>
      <c r="U40" s="1693"/>
    </row>
    <row r="41" spans="1:21">
      <c r="A41" s="1662"/>
      <c r="B41" s="3786" t="s">
        <v>1721</v>
      </c>
      <c r="C41" s="3786"/>
      <c r="D41" s="3786"/>
      <c r="E41" s="378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75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1"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46.8">
      <c r="A3" s="3794"/>
      <c r="B3" s="3794"/>
      <c r="C3" s="3794"/>
      <c r="D3" s="3795"/>
      <c r="E3" s="379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95" t="s">
        <v>42</v>
      </c>
      <c r="B9" s="3795"/>
      <c r="C9" s="37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805" t="s">
        <v>202</v>
      </c>
      <c r="B2" s="3805"/>
      <c r="C2" s="3805"/>
      <c r="D2" s="1975" t="s">
        <v>203</v>
      </c>
      <c r="E2" s="106" t="s">
        <v>204</v>
      </c>
      <c r="F2" s="1984"/>
      <c r="G2" s="1198"/>
      <c r="H2" s="1199"/>
      <c r="I2" s="1200" t="s">
        <v>856</v>
      </c>
      <c r="J2" s="1984"/>
      <c r="K2" s="1984"/>
      <c r="L2" s="1984"/>
    </row>
    <row r="3" spans="1:16" ht="15" thickBot="1">
      <c r="A3" s="3806" t="s">
        <v>205</v>
      </c>
      <c r="B3" s="3806"/>
      <c r="C3" s="3806"/>
      <c r="D3" s="107">
        <f>'数据-基础表'!AY6</f>
        <v>182153.37</v>
      </c>
      <c r="E3" s="107">
        <f>'数据-基础表'!AZ5</f>
        <v>60473.499999999985</v>
      </c>
      <c r="F3" s="1984"/>
      <c r="G3" s="280" t="s">
        <v>857</v>
      </c>
      <c r="H3" s="275" t="s">
        <v>858</v>
      </c>
      <c r="I3" s="1976">
        <f>ROUND('数据-基础表'!B3/'数据-基础表'!A3,2)</f>
        <v>0.33</v>
      </c>
      <c r="J3" s="1984"/>
      <c r="K3" s="1984"/>
      <c r="L3" s="1984"/>
    </row>
    <row r="4" spans="1:16" ht="14.4">
      <c r="A4" s="3807"/>
      <c r="B4" s="3808"/>
      <c r="C4" s="3809"/>
      <c r="D4" s="108" t="s">
        <v>203</v>
      </c>
      <c r="E4" s="109" t="s">
        <v>204</v>
      </c>
      <c r="F4" s="1984"/>
      <c r="G4" s="1201"/>
      <c r="H4" s="275" t="s">
        <v>859</v>
      </c>
      <c r="I4" s="1976">
        <f>ROUND(SUMIF('数据-基础表'!I9:AS9,"地上",'数据-基础表'!I5:AS5)/'数据-基础表'!A3,2)</f>
        <v>0.33</v>
      </c>
      <c r="J4" s="1984"/>
      <c r="K4" s="1984"/>
      <c r="L4" s="1984"/>
    </row>
    <row r="5" spans="1:16" ht="14.4">
      <c r="A5" s="110" t="s">
        <v>206</v>
      </c>
      <c r="B5" s="3810" t="s">
        <v>229</v>
      </c>
      <c r="C5" s="3810"/>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810" t="s">
        <v>207</v>
      </c>
      <c r="C6" s="3810"/>
      <c r="D6" s="111">
        <f>ROUND($D$3*E6/$E$3,2)</f>
        <v>169800.67</v>
      </c>
      <c r="E6" s="112">
        <f>E3-E5</f>
        <v>56372.499999999985</v>
      </c>
      <c r="F6" s="1984"/>
      <c r="G6" s="1201"/>
      <c r="H6" s="275" t="s">
        <v>859</v>
      </c>
      <c r="I6" s="1976">
        <f>ROUND(F31/D31,2)</f>
        <v>0.33</v>
      </c>
      <c r="J6" s="1984"/>
      <c r="K6" s="1984"/>
      <c r="L6" s="1984"/>
    </row>
    <row r="7" spans="1:16" ht="14.4">
      <c r="A7" s="3802"/>
      <c r="B7" s="3803"/>
      <c r="C7" s="3804"/>
      <c r="D7" s="108" t="s">
        <v>203</v>
      </c>
      <c r="E7" s="114" t="s">
        <v>230</v>
      </c>
      <c r="F7" s="1984"/>
      <c r="G7" s="1156" t="s">
        <v>1645</v>
      </c>
      <c r="H7" s="1157"/>
      <c r="I7" s="1846">
        <v>1</v>
      </c>
      <c r="J7" s="1984"/>
      <c r="K7" s="1984"/>
      <c r="L7" s="1984"/>
    </row>
    <row r="8" spans="1:16" ht="14.4">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178806.6</v>
      </c>
      <c r="E16" s="120">
        <f>SUM(E8:E15)</f>
        <v>59362.400000000001</v>
      </c>
      <c r="F16" s="1984"/>
      <c r="G16" s="1986"/>
      <c r="H16" s="968" t="s">
        <v>218</v>
      </c>
      <c r="I16" s="969"/>
      <c r="J16" s="1984"/>
      <c r="K16" s="3796" t="s">
        <v>2569</v>
      </c>
      <c r="L16" s="3797"/>
      <c r="M16" s="3797"/>
      <c r="N16" s="3797"/>
      <c r="O16" s="3797"/>
      <c r="P16" s="3798"/>
    </row>
    <row r="17" spans="1:19" ht="14.4">
      <c r="A17" s="121" t="s">
        <v>215</v>
      </c>
      <c r="B17" s="122" t="s">
        <v>216</v>
      </c>
      <c r="C17" s="2298" t="s">
        <v>2315</v>
      </c>
      <c r="D17" s="108" t="s">
        <v>203</v>
      </c>
      <c r="E17" s="124" t="s">
        <v>204</v>
      </c>
      <c r="F17" s="125"/>
      <c r="G17" s="1365"/>
      <c r="H17" s="970" t="s">
        <v>217</v>
      </c>
      <c r="I17" s="971" t="s">
        <v>2314</v>
      </c>
      <c r="J17" s="1984"/>
      <c r="K17" s="3799" t="s">
        <v>2570</v>
      </c>
      <c r="L17" s="3800"/>
      <c r="M17" s="3801"/>
      <c r="N17" s="3799" t="s">
        <v>2571</v>
      </c>
      <c r="O17" s="3800"/>
      <c r="P17" s="3801"/>
      <c r="R17" s="2299" t="s">
        <v>2313</v>
      </c>
      <c r="S17" s="144"/>
    </row>
    <row r="18" spans="1:19" ht="14.4">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ht="14.4">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ht="14.4">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ht="14.4">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ht="14.4">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ht="14.4">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ht="14.4">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ht="14.4">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ht="14.4">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2"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ht="14.4">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13.77734375" style="1998"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811" t="s">
        <v>1663</v>
      </c>
      <c r="B1" s="3812"/>
      <c r="C1" s="3812"/>
      <c r="D1" s="3812"/>
      <c r="E1" s="3812"/>
      <c r="F1" s="3812"/>
      <c r="G1" s="3812"/>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57.6">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3.2">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3.2">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3.8"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8.8">
      <c r="A8" s="1229"/>
      <c r="B8" s="1231" t="s">
        <v>2550</v>
      </c>
      <c r="C8" s="3107" t="s">
        <v>2917</v>
      </c>
      <c r="D8" s="2010"/>
      <c r="E8" s="2010"/>
      <c r="F8" s="1553"/>
      <c r="G8" s="1553"/>
      <c r="H8" s="2008"/>
      <c r="I8" s="2008"/>
      <c r="J8" s="2008"/>
      <c r="K8" s="2008"/>
      <c r="L8" s="2008"/>
      <c r="M8" s="2008"/>
      <c r="N8" s="2008"/>
      <c r="O8" s="2008"/>
      <c r="P8" s="2008"/>
      <c r="Q8" s="2008"/>
      <c r="R8" s="2008"/>
    </row>
    <row r="9" spans="1:18" ht="43.2">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1672</v>
      </c>
      <c r="B13" s="2602"/>
      <c r="C13" s="2602"/>
      <c r="D13" s="1224"/>
      <c r="E13" s="2602"/>
      <c r="F13" s="2602"/>
      <c r="G13" s="2602"/>
    </row>
    <row r="14" spans="1:18" ht="15" thickBot="1">
      <c r="A14" s="1238"/>
      <c r="B14" s="1239"/>
      <c r="C14" s="1240" t="s">
        <v>1664</v>
      </c>
      <c r="D14" s="2009"/>
      <c r="E14" s="1241"/>
      <c r="F14" s="1241"/>
      <c r="G14" s="1223" t="s">
        <v>1665</v>
      </c>
    </row>
    <row r="15" spans="1:18" ht="57.6">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3.2">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3.2">
      <c r="A17" s="2613"/>
      <c r="B17" s="1245" t="s">
        <v>1669</v>
      </c>
      <c r="C17" s="1246" t="str">
        <f>C5</f>
        <v>估价对象位于XX商圈，周边办公楼项目较多，入驻率高，办公集聚程度较好</v>
      </c>
      <c r="D17" s="2010"/>
      <c r="E17" s="2610"/>
      <c r="F17" s="1247" t="s">
        <v>1674</v>
      </c>
      <c r="G17" s="2818"/>
    </row>
    <row r="18" spans="1:7" ht="57.6">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8.8">
      <c r="A19" s="2613"/>
      <c r="B19" s="1247" t="s">
        <v>1659</v>
      </c>
      <c r="C19" s="2818"/>
      <c r="D19" s="2009"/>
      <c r="E19" s="2610"/>
      <c r="F19" s="1231" t="s">
        <v>2549</v>
      </c>
      <c r="G19" s="1005" t="str">
        <f>G5</f>
        <v>估价对象所在区域公共配套设施齐备情况好</v>
      </c>
    </row>
    <row r="20" spans="1:7" ht="43.2">
      <c r="A20" s="2613"/>
      <c r="B20" s="1247" t="s">
        <v>1660</v>
      </c>
      <c r="C20" s="1246" t="str">
        <f>C9</f>
        <v>区域自然环境：；人文环境；综合评价环境状况一般</v>
      </c>
      <c r="D20" s="2010"/>
      <c r="E20" s="2610"/>
      <c r="F20" s="1231" t="s">
        <v>2550</v>
      </c>
      <c r="G20" s="1005" t="str">
        <f>G6</f>
        <v>七通</v>
      </c>
    </row>
    <row r="21" spans="1:7" ht="28.8">
      <c r="A21" s="2613"/>
      <c r="B21" s="1231" t="s">
        <v>2549</v>
      </c>
      <c r="C21" s="1005" t="str">
        <f>C7</f>
        <v>估价对象所在区域公共配套设施齐备情况</v>
      </c>
      <c r="D21" s="2009"/>
      <c r="E21" s="2610"/>
      <c r="F21" s="1247" t="s">
        <v>1661</v>
      </c>
      <c r="G21" s="3109" t="s">
        <v>3482</v>
      </c>
    </row>
    <row r="22" spans="1:7" ht="28.8">
      <c r="A22" s="2613"/>
      <c r="B22" s="1231" t="s">
        <v>2550</v>
      </c>
      <c r="C22" s="1005" t="str">
        <f>C8</f>
        <v>估价对象所在区域基础设施水平</v>
      </c>
      <c r="D22" s="2009"/>
      <c r="E22" s="2610"/>
      <c r="F22" s="1247" t="s">
        <v>1671</v>
      </c>
      <c r="G22" s="3419" t="s">
        <v>3483</v>
      </c>
    </row>
    <row r="23" spans="1:7" ht="15" thickBot="1">
      <c r="A23" s="2613"/>
      <c r="B23" s="1247" t="s">
        <v>1661</v>
      </c>
      <c r="C23" s="3109"/>
      <c r="E23" s="2611"/>
      <c r="F23" s="1248" t="s">
        <v>1675</v>
      </c>
      <c r="G23" s="3420" t="s">
        <v>3484</v>
      </c>
    </row>
    <row r="24" spans="1:7" ht="1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640625" defaultRowHeight="14.4"/>
  <cols>
    <col min="1" max="1" width="24.33203125" customWidth="1"/>
  </cols>
  <sheetData>
    <row r="1" spans="1:9" ht="15.6">
      <c r="A1" s="3069" t="s">
        <v>2845</v>
      </c>
      <c r="B1" s="3069">
        <f>SUM(B14:B23)</f>
        <v>60473.499999999985</v>
      </c>
      <c r="C1" s="3070"/>
      <c r="D1" s="3070"/>
      <c r="E1" s="3070"/>
      <c r="F1" s="3070"/>
    </row>
    <row r="2" spans="1:9" ht="15.6">
      <c r="A2" s="3069" t="s">
        <v>2846</v>
      </c>
      <c r="B2" s="3069">
        <f>SUM(C14:C23)</f>
        <v>182153.37</v>
      </c>
      <c r="C2" s="3070"/>
      <c r="D2" s="3070"/>
      <c r="E2" s="3070"/>
      <c r="F2" s="3070"/>
    </row>
    <row r="3" spans="1:9" ht="15.6">
      <c r="A3" s="3069" t="s">
        <v>2847</v>
      </c>
      <c r="B3" s="3071">
        <f>项目基本情况!D3</f>
        <v>43251</v>
      </c>
      <c r="C3" s="3070"/>
      <c r="D3" s="3070"/>
      <c r="E3" s="3070"/>
      <c r="F3" s="3070"/>
    </row>
    <row r="4" spans="1:9" ht="31.2">
      <c r="A4" s="3069" t="s">
        <v>2848</v>
      </c>
      <c r="B4" s="3069" t="s">
        <v>2849</v>
      </c>
      <c r="C4" s="3069" t="s">
        <v>2850</v>
      </c>
      <c r="D4" s="3069" t="s">
        <v>2851</v>
      </c>
      <c r="E4" s="3070"/>
      <c r="F4" s="3070"/>
    </row>
    <row r="5" spans="1:9" ht="15.6">
      <c r="A5" s="3069" t="s">
        <v>2852</v>
      </c>
      <c r="B5" s="3069">
        <f ca="1">SUM(D14:D23)</f>
        <v>148257</v>
      </c>
      <c r="C5" s="3069">
        <f ca="1">ROUND(B5*10000/$B$1,0)</f>
        <v>24516</v>
      </c>
      <c r="D5" s="3069">
        <f ca="1">ROUND(B5*10000/$B$2,0)</f>
        <v>8139</v>
      </c>
      <c r="E5" s="3070"/>
      <c r="F5" s="3070"/>
    </row>
    <row r="6" spans="1:9" ht="15.6">
      <c r="A6" s="3069" t="s">
        <v>2853</v>
      </c>
      <c r="B6" s="3069">
        <f>SUM(G14:G23)</f>
        <v>0</v>
      </c>
      <c r="C6" s="3069">
        <f t="shared" ref="C6:C8" si="0">ROUND(B6*10000/$B$1,0)</f>
        <v>0</v>
      </c>
      <c r="D6" s="3069">
        <f t="shared" ref="D6:D8" si="1">ROUND(B6*10000/$B$2,0)</f>
        <v>0</v>
      </c>
      <c r="E6" s="3070"/>
      <c r="F6" s="3070"/>
    </row>
    <row r="7" spans="1:9" ht="15.6">
      <c r="A7" s="3069" t="s">
        <v>2854</v>
      </c>
      <c r="B7" s="3069">
        <f>SUM(H14:H23)</f>
        <v>0</v>
      </c>
      <c r="C7" s="3069">
        <f t="shared" si="0"/>
        <v>0</v>
      </c>
      <c r="D7" s="3069">
        <f t="shared" si="1"/>
        <v>0</v>
      </c>
      <c r="E7" s="3070"/>
      <c r="F7" s="3070"/>
    </row>
    <row r="8" spans="1:9" ht="15.6">
      <c r="A8" s="3069" t="s">
        <v>2855</v>
      </c>
      <c r="B8" s="3069">
        <f>SUM(I14:I23)</f>
        <v>0</v>
      </c>
      <c r="C8" s="3069">
        <f t="shared" si="0"/>
        <v>0</v>
      </c>
      <c r="D8" s="3069">
        <f t="shared" si="1"/>
        <v>0</v>
      </c>
      <c r="E8" s="3070"/>
      <c r="F8" s="3070"/>
    </row>
    <row r="9" spans="1:9" ht="15.6">
      <c r="A9" s="3069" t="s">
        <v>2856</v>
      </c>
      <c r="B9" s="3072"/>
      <c r="C9" s="3070"/>
      <c r="D9" s="3070"/>
      <c r="E9" s="3070"/>
      <c r="F9" s="3070"/>
    </row>
    <row r="10" spans="1:9" ht="15.6">
      <c r="A10" s="3069" t="s">
        <v>2857</v>
      </c>
      <c r="B10" s="3072"/>
      <c r="C10" s="3070"/>
      <c r="D10" s="3070"/>
      <c r="E10" s="3070"/>
      <c r="F10" s="3070"/>
    </row>
    <row r="11" spans="1:9" ht="15.6">
      <c r="A11" s="3069" t="s">
        <v>2874</v>
      </c>
      <c r="B11" s="3072"/>
      <c r="C11" s="3070"/>
      <c r="D11" s="3070"/>
      <c r="E11" s="3070"/>
      <c r="F11" s="3070"/>
    </row>
    <row r="12" spans="1:9" ht="15.6">
      <c r="A12" s="3070"/>
      <c r="B12" s="3070"/>
      <c r="C12" s="3070"/>
      <c r="D12" s="3070"/>
      <c r="E12" s="3070"/>
      <c r="F12" s="3070"/>
    </row>
    <row r="13" spans="1:9" ht="31.2">
      <c r="A13" s="3075" t="s">
        <v>2873</v>
      </c>
      <c r="B13" s="3073" t="s">
        <v>2845</v>
      </c>
      <c r="C13" s="3073" t="s">
        <v>2846</v>
      </c>
      <c r="D13" s="3073" t="s">
        <v>2858</v>
      </c>
      <c r="E13" s="3069" t="s">
        <v>2872</v>
      </c>
      <c r="F13" s="3069" t="s">
        <v>2851</v>
      </c>
      <c r="G13" s="3073" t="s">
        <v>2859</v>
      </c>
      <c r="H13" s="3073" t="s">
        <v>2860</v>
      </c>
      <c r="I13" s="3073" t="s">
        <v>2861</v>
      </c>
    </row>
    <row r="14" spans="1:9" ht="15.6">
      <c r="A14" s="3076" t="s">
        <v>2871</v>
      </c>
      <c r="B14" s="3073">
        <f>结果表!L38</f>
        <v>60473.499999999985</v>
      </c>
      <c r="C14" s="3073">
        <f>结果表!K38</f>
        <v>182153.37</v>
      </c>
      <c r="D14" s="3073">
        <f ca="1">结果表!C42</f>
        <v>148257</v>
      </c>
      <c r="E14" s="3073">
        <f ca="1">ROUND(D14*10000/B14,0)</f>
        <v>24516</v>
      </c>
      <c r="F14" s="3073">
        <f ca="1">ROUND(D14*10000/C14,0)</f>
        <v>8139</v>
      </c>
      <c r="G14" s="3073" t="str">
        <f>结果表!C44</f>
        <v>——</v>
      </c>
      <c r="H14" s="3073" t="str">
        <f>结果表!C45</f>
        <v>——</v>
      </c>
      <c r="I14" s="3073" t="str">
        <f>结果表!C46</f>
        <v>——</v>
      </c>
    </row>
    <row r="15" spans="1:9" ht="15.6">
      <c r="A15" s="3076" t="s">
        <v>2862</v>
      </c>
      <c r="B15" s="3077"/>
      <c r="C15" s="3077"/>
      <c r="D15" s="3077"/>
      <c r="E15" s="3073" t="e">
        <f t="shared" ref="E15:E23" si="2">ROUND(D15*10000/B15,0)</f>
        <v>#DIV/0!</v>
      </c>
      <c r="F15" s="3073" t="e">
        <f t="shared" ref="F15:F23" si="3">ROUND(D15*10000/C15,0)</f>
        <v>#DIV/0!</v>
      </c>
      <c r="G15" s="3074"/>
      <c r="H15" s="3074"/>
      <c r="I15" s="3077"/>
    </row>
    <row r="16" spans="1:9" ht="15.6">
      <c r="A16" s="3076" t="s">
        <v>2863</v>
      </c>
      <c r="B16" s="3077"/>
      <c r="C16" s="3077"/>
      <c r="D16" s="3077"/>
      <c r="E16" s="3073" t="e">
        <f t="shared" si="2"/>
        <v>#DIV/0!</v>
      </c>
      <c r="F16" s="3073" t="e">
        <f t="shared" si="3"/>
        <v>#DIV/0!</v>
      </c>
      <c r="G16" s="3074"/>
      <c r="H16" s="3074"/>
      <c r="I16" s="3077"/>
    </row>
    <row r="17" spans="1:9" ht="15.6">
      <c r="A17" s="3076" t="s">
        <v>2864</v>
      </c>
      <c r="B17" s="3077"/>
      <c r="C17" s="3077"/>
      <c r="D17" s="3077"/>
      <c r="E17" s="3073" t="e">
        <f t="shared" si="2"/>
        <v>#DIV/0!</v>
      </c>
      <c r="F17" s="3073" t="e">
        <f t="shared" si="3"/>
        <v>#DIV/0!</v>
      </c>
      <c r="G17" s="3074"/>
      <c r="H17" s="3074"/>
      <c r="I17" s="3077"/>
    </row>
    <row r="18" spans="1:9" ht="15.6">
      <c r="A18" s="3076" t="s">
        <v>2865</v>
      </c>
      <c r="B18" s="3077"/>
      <c r="C18" s="3077"/>
      <c r="D18" s="3077"/>
      <c r="E18" s="3073" t="e">
        <f t="shared" si="2"/>
        <v>#DIV/0!</v>
      </c>
      <c r="F18" s="3073" t="e">
        <f t="shared" si="3"/>
        <v>#DIV/0!</v>
      </c>
      <c r="G18" s="3077"/>
      <c r="H18" s="3077"/>
      <c r="I18" s="3077"/>
    </row>
    <row r="19" spans="1:9" ht="15.6">
      <c r="A19" s="3076" t="s">
        <v>2866</v>
      </c>
      <c r="B19" s="3077"/>
      <c r="C19" s="3077"/>
      <c r="D19" s="3077"/>
      <c r="E19" s="3073" t="e">
        <f t="shared" si="2"/>
        <v>#DIV/0!</v>
      </c>
      <c r="F19" s="3073" t="e">
        <f t="shared" si="3"/>
        <v>#DIV/0!</v>
      </c>
      <c r="G19" s="3077"/>
      <c r="H19" s="3077"/>
      <c r="I19" s="3077"/>
    </row>
    <row r="20" spans="1:9" ht="15.6">
      <c r="A20" s="3076" t="s">
        <v>2867</v>
      </c>
      <c r="B20" s="3077"/>
      <c r="C20" s="3077"/>
      <c r="D20" s="3077"/>
      <c r="E20" s="3073" t="e">
        <f t="shared" si="2"/>
        <v>#DIV/0!</v>
      </c>
      <c r="F20" s="3073" t="e">
        <f t="shared" si="3"/>
        <v>#DIV/0!</v>
      </c>
      <c r="G20" s="3077"/>
      <c r="H20" s="3077"/>
      <c r="I20" s="3077"/>
    </row>
    <row r="21" spans="1:9" ht="15.6">
      <c r="A21" s="3076" t="s">
        <v>2868</v>
      </c>
      <c r="B21" s="3077"/>
      <c r="C21" s="3077"/>
      <c r="D21" s="3077"/>
      <c r="E21" s="3073" t="e">
        <f t="shared" si="2"/>
        <v>#DIV/0!</v>
      </c>
      <c r="F21" s="3073" t="e">
        <f t="shared" si="3"/>
        <v>#DIV/0!</v>
      </c>
      <c r="G21" s="3077"/>
      <c r="H21" s="3077"/>
      <c r="I21" s="3077"/>
    </row>
    <row r="22" spans="1:9" ht="15.6">
      <c r="A22" s="3076" t="s">
        <v>2869</v>
      </c>
      <c r="B22" s="3077"/>
      <c r="C22" s="3077"/>
      <c r="D22" s="3077"/>
      <c r="E22" s="3073" t="e">
        <f t="shared" si="2"/>
        <v>#DIV/0!</v>
      </c>
      <c r="F22" s="3073" t="e">
        <f t="shared" si="3"/>
        <v>#DIV/0!</v>
      </c>
      <c r="G22" s="3077"/>
      <c r="H22" s="3077"/>
      <c r="I22" s="3077"/>
    </row>
    <row r="23" spans="1:9" ht="15.6">
      <c r="A23" s="3076" t="s">
        <v>2870</v>
      </c>
      <c r="B23" s="3077"/>
      <c r="C23" s="3077"/>
      <c r="D23" s="3077"/>
      <c r="E23" s="3069" t="e">
        <f t="shared" si="2"/>
        <v>#DIV/0!</v>
      </c>
      <c r="F23" s="3069" t="e">
        <f t="shared" si="3"/>
        <v>#DIV/0!</v>
      </c>
      <c r="G23" s="3077"/>
      <c r="H23" s="3077"/>
      <c r="I23" s="3077"/>
    </row>
  </sheetData>
  <sheetProtection password="C66D" sheet="1" objects="1" scenarios="1"/>
  <phoneticPr fontId="23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4.4">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4.4">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836" t="s">
        <v>521</v>
      </c>
      <c r="D6" s="3837"/>
      <c r="E6" s="3836" t="s">
        <v>522</v>
      </c>
      <c r="F6" s="3837"/>
      <c r="G6" s="3836" t="s">
        <v>523</v>
      </c>
      <c r="H6" s="3837"/>
      <c r="I6" s="3836" t="s">
        <v>524</v>
      </c>
      <c r="J6" s="3837"/>
      <c r="K6" s="514" t="s">
        <v>525</v>
      </c>
      <c r="L6" s="2134"/>
      <c r="M6" s="2133"/>
      <c r="N6" s="2133"/>
      <c r="O6" s="2135"/>
      <c r="P6" s="3838" t="s">
        <v>526</v>
      </c>
      <c r="Q6" s="3839"/>
      <c r="R6" s="3823" t="s">
        <v>522</v>
      </c>
      <c r="S6" s="3824"/>
      <c r="T6" s="3823" t="s">
        <v>523</v>
      </c>
      <c r="U6" s="3824"/>
      <c r="V6" s="3844" t="s">
        <v>524</v>
      </c>
      <c r="W6" s="3844"/>
      <c r="X6" s="1567"/>
      <c r="Y6" s="3823" t="s">
        <v>526</v>
      </c>
      <c r="Z6" s="3824"/>
      <c r="AA6" s="3818" t="s">
        <v>522</v>
      </c>
      <c r="AB6" s="3819" t="s">
        <v>523</v>
      </c>
      <c r="AC6" s="3818" t="s">
        <v>524</v>
      </c>
    </row>
    <row r="7" spans="1:30" ht="21">
      <c r="A7" s="515"/>
      <c r="B7" s="516"/>
      <c r="C7" s="3847" t="s">
        <v>2929</v>
      </c>
      <c r="D7" s="3848"/>
      <c r="E7" s="3847" t="s">
        <v>2930</v>
      </c>
      <c r="F7" s="3848"/>
      <c r="G7" s="3847" t="s">
        <v>2931</v>
      </c>
      <c r="H7" s="3848"/>
      <c r="I7" s="3847" t="s">
        <v>2932</v>
      </c>
      <c r="J7" s="3848"/>
      <c r="K7" s="514"/>
      <c r="L7" s="2134"/>
      <c r="M7" s="2133"/>
      <c r="N7" s="2133"/>
      <c r="O7" s="2135"/>
      <c r="P7" s="3840"/>
      <c r="Q7" s="3841"/>
      <c r="R7" s="3825"/>
      <c r="S7" s="3826"/>
      <c r="T7" s="3825"/>
      <c r="U7" s="3826"/>
      <c r="V7" s="3844"/>
      <c r="W7" s="3844"/>
      <c r="X7" s="1567"/>
      <c r="Y7" s="3825"/>
      <c r="Z7" s="3826"/>
      <c r="AA7" s="3819"/>
      <c r="AB7" s="3819"/>
      <c r="AC7" s="3819"/>
    </row>
    <row r="8" spans="1:30" ht="21.6" thickBot="1">
      <c r="A8" s="515"/>
      <c r="B8" s="516"/>
      <c r="C8" s="3849" t="s">
        <v>2933</v>
      </c>
      <c r="D8" s="3850"/>
      <c r="E8" s="3849" t="s">
        <v>2933</v>
      </c>
      <c r="F8" s="3850"/>
      <c r="G8" s="3845" t="s">
        <v>2933</v>
      </c>
      <c r="H8" s="3846"/>
      <c r="I8" s="3845" t="s">
        <v>2933</v>
      </c>
      <c r="J8" s="3846"/>
      <c r="K8" s="514" t="s">
        <v>527</v>
      </c>
      <c r="L8" s="2134"/>
      <c r="M8" s="2133"/>
      <c r="N8" s="2133"/>
      <c r="O8" s="2135"/>
      <c r="P8" s="3842"/>
      <c r="Q8" s="3843"/>
      <c r="R8" s="3825"/>
      <c r="S8" s="3826"/>
      <c r="T8" s="3828"/>
      <c r="U8" s="3829"/>
      <c r="V8" s="3844"/>
      <c r="W8" s="3844"/>
      <c r="X8" s="1567"/>
      <c r="Y8" s="3828"/>
      <c r="Z8" s="3829"/>
      <c r="AA8" s="3820"/>
      <c r="AB8" s="3820"/>
      <c r="AC8" s="3820"/>
    </row>
    <row r="9" spans="1:30" s="1220" customFormat="1" ht="21.6"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821" t="s">
        <v>529</v>
      </c>
      <c r="Q9" s="3831"/>
      <c r="R9" s="1568" t="s">
        <v>8</v>
      </c>
      <c r="S9" s="1569">
        <f t="shared" ref="S9:S17" si="0">F9</f>
        <v>0</v>
      </c>
      <c r="T9" s="1568" t="s">
        <v>8</v>
      </c>
      <c r="U9" s="1569">
        <f t="shared" ref="U9:U17" si="1">H9</f>
        <v>0</v>
      </c>
      <c r="V9" s="1568" t="s">
        <v>8</v>
      </c>
      <c r="W9" s="1569">
        <f t="shared" ref="W9:W17" si="2">J9</f>
        <v>0</v>
      </c>
      <c r="X9" s="1570"/>
      <c r="Y9" s="3821" t="s">
        <v>529</v>
      </c>
      <c r="Z9" s="3822"/>
      <c r="AA9" s="1571" t="e">
        <f>D9/F9</f>
        <v>#DIV/0!</v>
      </c>
      <c r="AB9" s="1571" t="e">
        <f>D9/H9</f>
        <v>#DIV/0!</v>
      </c>
      <c r="AC9" s="1571" t="e">
        <f>D9/J9</f>
        <v>#DIV/0!</v>
      </c>
    </row>
    <row r="10" spans="1:30" s="1220" customFormat="1" ht="21.6"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821" t="s">
        <v>532</v>
      </c>
      <c r="Q10" s="3822"/>
      <c r="R10" s="1568" t="s">
        <v>8</v>
      </c>
      <c r="S10" s="1569">
        <f t="shared" si="0"/>
        <v>0</v>
      </c>
      <c r="T10" s="1568" t="s">
        <v>8</v>
      </c>
      <c r="U10" s="1569">
        <f t="shared" si="1"/>
        <v>0</v>
      </c>
      <c r="V10" s="1568" t="s">
        <v>8</v>
      </c>
      <c r="W10" s="1569">
        <f t="shared" si="2"/>
        <v>0</v>
      </c>
      <c r="X10" s="1570"/>
      <c r="Y10" s="3821" t="s">
        <v>532</v>
      </c>
      <c r="Z10" s="3822"/>
      <c r="AA10" s="1571" t="e">
        <f t="shared" ref="AA10:AA47" si="3">D10/F10</f>
        <v>#DIV/0!</v>
      </c>
      <c r="AB10" s="1571" t="e">
        <f t="shared" ref="AB10:AB47" si="4">D10/H10</f>
        <v>#DIV/0!</v>
      </c>
      <c r="AC10" s="1571" t="e">
        <f t="shared" ref="AC10:AC47" si="5">D10/J10</f>
        <v>#DIV/0!</v>
      </c>
    </row>
    <row r="11" spans="1:30" s="1220" customFormat="1" ht="21">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830" t="s">
        <v>534</v>
      </c>
      <c r="Q11" s="1151" t="str">
        <f t="shared" ref="Q11:Q17" si="6">B11</f>
        <v>用途</v>
      </c>
      <c r="R11" s="1568" t="s">
        <v>8</v>
      </c>
      <c r="S11" s="1569">
        <f t="shared" si="0"/>
        <v>100</v>
      </c>
      <c r="T11" s="1568" t="s">
        <v>8</v>
      </c>
      <c r="U11" s="1569">
        <f t="shared" si="1"/>
        <v>100</v>
      </c>
      <c r="V11" s="1568" t="s">
        <v>8</v>
      </c>
      <c r="W11" s="1569">
        <f t="shared" si="2"/>
        <v>100</v>
      </c>
      <c r="X11" s="1570"/>
      <c r="Y11" s="3827" t="s">
        <v>535</v>
      </c>
      <c r="Z11" s="1150" t="str">
        <f t="shared" ref="Z11:Z17" si="7">Q11</f>
        <v>用途</v>
      </c>
      <c r="AA11" s="1571">
        <f t="shared" si="3"/>
        <v>1</v>
      </c>
      <c r="AB11" s="1571">
        <f t="shared" si="4"/>
        <v>1</v>
      </c>
      <c r="AC11" s="1571">
        <f t="shared" si="5"/>
        <v>1</v>
      </c>
    </row>
    <row r="12" spans="1:30" s="1338" customFormat="1" ht="28.8">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830"/>
      <c r="Q12" s="1151" t="str">
        <f t="shared" si="6"/>
        <v>土地使用年限（年）</v>
      </c>
      <c r="R12" s="1568" t="s">
        <v>8</v>
      </c>
      <c r="S12" s="1569">
        <f t="shared" si="0"/>
        <v>136</v>
      </c>
      <c r="T12" s="1568" t="s">
        <v>8</v>
      </c>
      <c r="U12" s="1569">
        <f t="shared" si="1"/>
        <v>136</v>
      </c>
      <c r="V12" s="1568" t="s">
        <v>8</v>
      </c>
      <c r="W12" s="1569">
        <f t="shared" si="2"/>
        <v>136</v>
      </c>
      <c r="X12" s="1570"/>
      <c r="Y12" s="3827"/>
      <c r="Z12" s="1150" t="str">
        <f t="shared" si="7"/>
        <v>土地使用年限（年）</v>
      </c>
      <c r="AA12" s="1571">
        <f t="shared" si="3"/>
        <v>0.73529411764705888</v>
      </c>
      <c r="AB12" s="1571">
        <f t="shared" si="4"/>
        <v>0.73529411764705888</v>
      </c>
      <c r="AC12" s="1571">
        <f t="shared" si="5"/>
        <v>0.73529411764705888</v>
      </c>
    </row>
    <row r="13" spans="1:30" ht="21">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830"/>
      <c r="Q13" s="1151" t="str">
        <f t="shared" si="6"/>
        <v>容积率</v>
      </c>
      <c r="R13" s="1568" t="s">
        <v>8</v>
      </c>
      <c r="S13" s="1569" t="e">
        <f t="shared" si="0"/>
        <v>#N/A</v>
      </c>
      <c r="T13" s="1568" t="s">
        <v>8</v>
      </c>
      <c r="U13" s="1569" t="e">
        <f t="shared" si="1"/>
        <v>#N/A</v>
      </c>
      <c r="V13" s="1568" t="s">
        <v>8</v>
      </c>
      <c r="W13" s="1569" t="e">
        <f t="shared" si="2"/>
        <v>#N/A</v>
      </c>
      <c r="X13" s="1570"/>
      <c r="Y13" s="3827"/>
      <c r="Z13" s="1150" t="str">
        <f t="shared" si="7"/>
        <v>容积率</v>
      </c>
      <c r="AA13" s="1571" t="e">
        <f t="shared" si="3"/>
        <v>#N/A</v>
      </c>
      <c r="AB13" s="1571" t="e">
        <f t="shared" si="4"/>
        <v>#N/A</v>
      </c>
      <c r="AC13" s="1571" t="e">
        <f t="shared" si="5"/>
        <v>#N/A</v>
      </c>
    </row>
    <row r="14" spans="1:30" s="1220" customFormat="1" ht="2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830"/>
      <c r="Q14" s="1151" t="str">
        <f t="shared" si="6"/>
        <v>配建</v>
      </c>
      <c r="R14" s="1568" t="s">
        <v>8</v>
      </c>
      <c r="S14" s="1569">
        <f t="shared" si="0"/>
        <v>100</v>
      </c>
      <c r="T14" s="1568" t="s">
        <v>8</v>
      </c>
      <c r="U14" s="1569">
        <f t="shared" si="1"/>
        <v>100</v>
      </c>
      <c r="V14" s="1568" t="s">
        <v>8</v>
      </c>
      <c r="W14" s="1569">
        <f t="shared" si="2"/>
        <v>100</v>
      </c>
      <c r="X14" s="1570"/>
      <c r="Y14" s="3827"/>
      <c r="Z14" s="1150" t="str">
        <f t="shared" si="7"/>
        <v>配建</v>
      </c>
      <c r="AA14" s="1571">
        <f>D14/F14</f>
        <v>1</v>
      </c>
      <c r="AB14" s="1571">
        <f>D14/H14</f>
        <v>1</v>
      </c>
      <c r="AC14" s="1571">
        <f>D14/J14</f>
        <v>1</v>
      </c>
    </row>
    <row r="15" spans="1:30" ht="2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830"/>
      <c r="Q15" s="1151">
        <f t="shared" si="6"/>
        <v>111</v>
      </c>
      <c r="R15" s="1568" t="s">
        <v>8</v>
      </c>
      <c r="S15" s="1569">
        <f t="shared" si="0"/>
        <v>100</v>
      </c>
      <c r="T15" s="1568" t="s">
        <v>8</v>
      </c>
      <c r="U15" s="1569">
        <f t="shared" si="1"/>
        <v>100</v>
      </c>
      <c r="V15" s="1568" t="s">
        <v>8</v>
      </c>
      <c r="W15" s="1569">
        <f t="shared" si="2"/>
        <v>100</v>
      </c>
      <c r="X15" s="1570"/>
      <c r="Y15" s="3827"/>
      <c r="Z15" s="1150">
        <f t="shared" si="7"/>
        <v>111</v>
      </c>
      <c r="AA15" s="1571">
        <f>D15/F15</f>
        <v>1</v>
      </c>
      <c r="AB15" s="1571">
        <f>D15/H15</f>
        <v>1</v>
      </c>
      <c r="AC15" s="1571">
        <f>D15/J15</f>
        <v>1</v>
      </c>
    </row>
    <row r="16" spans="1:30" ht="21.6"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830"/>
      <c r="Q16" s="1151">
        <f t="shared" si="6"/>
        <v>111</v>
      </c>
      <c r="R16" s="1568" t="s">
        <v>8</v>
      </c>
      <c r="S16" s="1569">
        <f t="shared" si="0"/>
        <v>100</v>
      </c>
      <c r="T16" s="1568" t="s">
        <v>8</v>
      </c>
      <c r="U16" s="1569">
        <f t="shared" si="1"/>
        <v>100</v>
      </c>
      <c r="V16" s="1568" t="s">
        <v>8</v>
      </c>
      <c r="W16" s="1569">
        <f t="shared" si="2"/>
        <v>100</v>
      </c>
      <c r="X16" s="1570"/>
      <c r="Y16" s="3827"/>
      <c r="Z16" s="1150">
        <f t="shared" si="7"/>
        <v>111</v>
      </c>
      <c r="AA16" s="1571">
        <f>D16/F16</f>
        <v>1</v>
      </c>
      <c r="AB16" s="1571">
        <f>D16/H16</f>
        <v>1</v>
      </c>
      <c r="AC16" s="1571">
        <f>D16/J16</f>
        <v>1</v>
      </c>
    </row>
    <row r="17" spans="1:29" ht="96.6">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832" t="s">
        <v>539</v>
      </c>
      <c r="Q17" s="1572" t="str">
        <f t="shared" si="6"/>
        <v>居住社区成熟度</v>
      </c>
      <c r="R17" s="1573" t="s">
        <v>8</v>
      </c>
      <c r="S17" s="1574">
        <f t="shared" si="0"/>
        <v>100</v>
      </c>
      <c r="T17" s="1573" t="s">
        <v>8</v>
      </c>
      <c r="U17" s="1574">
        <f t="shared" si="1"/>
        <v>100</v>
      </c>
      <c r="V17" s="1573" t="s">
        <v>8</v>
      </c>
      <c r="W17" s="1574">
        <f t="shared" si="2"/>
        <v>100</v>
      </c>
      <c r="X17" s="1567"/>
      <c r="Y17" s="3832" t="s">
        <v>539</v>
      </c>
      <c r="Z17" s="1575" t="str">
        <f t="shared" si="7"/>
        <v>居住社区成熟度</v>
      </c>
      <c r="AA17" s="1576">
        <f t="shared" si="3"/>
        <v>1</v>
      </c>
      <c r="AB17" s="1576">
        <f t="shared" si="4"/>
        <v>1</v>
      </c>
      <c r="AC17" s="1576">
        <f t="shared" si="5"/>
        <v>1</v>
      </c>
    </row>
    <row r="18" spans="1:29" ht="21">
      <c r="A18" s="532"/>
      <c r="B18" s="553"/>
      <c r="C18" s="554"/>
      <c r="D18" s="557"/>
      <c r="E18" s="558"/>
      <c r="F18" s="555"/>
      <c r="G18" s="556"/>
      <c r="H18" s="559"/>
      <c r="I18" s="558"/>
      <c r="J18" s="555"/>
      <c r="K18" s="531"/>
      <c r="L18" s="2143"/>
      <c r="M18" s="2133"/>
      <c r="N18" s="2133"/>
      <c r="O18" s="2142"/>
      <c r="P18" s="3833"/>
      <c r="Q18" s="1572"/>
      <c r="R18" s="1573"/>
      <c r="S18" s="1574"/>
      <c r="T18" s="1573"/>
      <c r="U18" s="1574"/>
      <c r="V18" s="1573"/>
      <c r="W18" s="1574"/>
      <c r="X18" s="1567"/>
      <c r="Y18" s="3833"/>
      <c r="Z18" s="1575"/>
      <c r="AA18" s="1576">
        <v>1</v>
      </c>
      <c r="AB18" s="1576">
        <v>1</v>
      </c>
      <c r="AC18" s="1576">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833"/>
      <c r="Q19" s="1572" t="str">
        <f>B19</f>
        <v>商业繁华度</v>
      </c>
      <c r="R19" s="1573" t="s">
        <v>8</v>
      </c>
      <c r="S19" s="1574">
        <f>F19</f>
        <v>100</v>
      </c>
      <c r="T19" s="1573" t="s">
        <v>8</v>
      </c>
      <c r="U19" s="1574">
        <f>H19</f>
        <v>100</v>
      </c>
      <c r="V19" s="1573" t="s">
        <v>8</v>
      </c>
      <c r="W19" s="1574">
        <f>J19</f>
        <v>100</v>
      </c>
      <c r="X19" s="1567"/>
      <c r="Y19" s="3833"/>
      <c r="Z19" s="1575" t="str">
        <f>Q19</f>
        <v>商业繁华度</v>
      </c>
      <c r="AA19" s="1576">
        <f t="shared" si="3"/>
        <v>1</v>
      </c>
      <c r="AB19" s="1576">
        <f t="shared" si="4"/>
        <v>1</v>
      </c>
      <c r="AC19" s="1576">
        <f t="shared" si="5"/>
        <v>1</v>
      </c>
    </row>
    <row r="20" spans="1:29" ht="21">
      <c r="A20" s="532"/>
      <c r="B20" s="566"/>
      <c r="C20" s="567"/>
      <c r="D20" s="563"/>
      <c r="E20" s="569"/>
      <c r="F20" s="559"/>
      <c r="G20" s="568"/>
      <c r="H20" s="555"/>
      <c r="I20" s="569"/>
      <c r="J20" s="555"/>
      <c r="K20" s="531"/>
      <c r="L20" s="2143"/>
      <c r="M20" s="2133"/>
      <c r="N20" s="2133"/>
      <c r="O20" s="2142"/>
      <c r="P20" s="3833"/>
      <c r="Q20" s="1572"/>
      <c r="R20" s="1573"/>
      <c r="S20" s="1574"/>
      <c r="T20" s="1573"/>
      <c r="U20" s="1574"/>
      <c r="V20" s="1573"/>
      <c r="W20" s="1574"/>
      <c r="X20" s="1567"/>
      <c r="Y20" s="3833"/>
      <c r="Z20" s="1575"/>
      <c r="AA20" s="1576">
        <v>1</v>
      </c>
      <c r="AB20" s="1576">
        <v>1</v>
      </c>
      <c r="AC20" s="1576">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833"/>
      <c r="Q21" s="1572" t="str">
        <f>B21</f>
        <v>办公集聚程度</v>
      </c>
      <c r="R21" s="1573" t="s">
        <v>8</v>
      </c>
      <c r="S21" s="1574">
        <f>F21</f>
        <v>100</v>
      </c>
      <c r="T21" s="1573" t="s">
        <v>8</v>
      </c>
      <c r="U21" s="1574">
        <f>H21</f>
        <v>100</v>
      </c>
      <c r="V21" s="1573" t="s">
        <v>8</v>
      </c>
      <c r="W21" s="1574">
        <f>J21</f>
        <v>100</v>
      </c>
      <c r="X21" s="1567"/>
      <c r="Y21" s="3833"/>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833"/>
      <c r="Q22" s="1572"/>
      <c r="R22" s="1573"/>
      <c r="S22" s="1574"/>
      <c r="T22" s="1573"/>
      <c r="U22" s="1574"/>
      <c r="V22" s="1573"/>
      <c r="W22" s="1574"/>
      <c r="X22" s="1567"/>
      <c r="Y22" s="3833"/>
      <c r="Z22" s="1575"/>
      <c r="AA22" s="1576">
        <v>1</v>
      </c>
      <c r="AB22" s="1576">
        <v>1</v>
      </c>
      <c r="AC22" s="1576">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833"/>
      <c r="Q23" s="1572" t="str">
        <f>B23</f>
        <v>交通便捷度</v>
      </c>
      <c r="R23" s="1573" t="s">
        <v>8</v>
      </c>
      <c r="S23" s="1574">
        <f>F23</f>
        <v>100</v>
      </c>
      <c r="T23" s="1573" t="s">
        <v>8</v>
      </c>
      <c r="U23" s="1574">
        <f>H23</f>
        <v>100</v>
      </c>
      <c r="V23" s="1573" t="s">
        <v>8</v>
      </c>
      <c r="W23" s="1574">
        <f>J23</f>
        <v>100</v>
      </c>
      <c r="X23" s="1567"/>
      <c r="Y23" s="3833"/>
      <c r="Z23" s="1575" t="str">
        <f>Q23</f>
        <v>交通便捷度</v>
      </c>
      <c r="AA23" s="1576">
        <f t="shared" si="3"/>
        <v>1</v>
      </c>
      <c r="AB23" s="1576">
        <f t="shared" si="4"/>
        <v>1</v>
      </c>
      <c r="AC23" s="1576">
        <f t="shared" si="5"/>
        <v>1</v>
      </c>
    </row>
    <row r="24" spans="1:29" ht="21">
      <c r="A24" s="532"/>
      <c r="B24" s="578"/>
      <c r="C24" s="554"/>
      <c r="D24" s="557"/>
      <c r="E24" s="558"/>
      <c r="F24" s="555"/>
      <c r="G24" s="556"/>
      <c r="H24" s="555"/>
      <c r="I24" s="558"/>
      <c r="J24" s="555"/>
      <c r="K24" s="531"/>
      <c r="L24" s="2143"/>
      <c r="M24" s="2133"/>
      <c r="N24" s="2133"/>
      <c r="O24" s="2142"/>
      <c r="P24" s="3833"/>
      <c r="Q24" s="1572"/>
      <c r="R24" s="1573"/>
      <c r="S24" s="1574"/>
      <c r="T24" s="1573"/>
      <c r="U24" s="1574"/>
      <c r="V24" s="1573"/>
      <c r="W24" s="1574"/>
      <c r="X24" s="1567"/>
      <c r="Y24" s="3833"/>
      <c r="Z24" s="1575"/>
      <c r="AA24" s="1576">
        <v>1</v>
      </c>
      <c r="AB24" s="1576">
        <v>1</v>
      </c>
      <c r="AC24" s="157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833"/>
      <c r="Q25" s="1572" t="str">
        <f t="shared" ref="Q25:Q39" si="8">B25</f>
        <v>区域土地利用方向</v>
      </c>
      <c r="R25" s="1573" t="s">
        <v>8</v>
      </c>
      <c r="S25" s="1574">
        <f>F25</f>
        <v>100</v>
      </c>
      <c r="T25" s="1573" t="s">
        <v>8</v>
      </c>
      <c r="U25" s="1574">
        <f>H25</f>
        <v>100</v>
      </c>
      <c r="V25" s="1573" t="s">
        <v>8</v>
      </c>
      <c r="W25" s="1574">
        <f>J25</f>
        <v>100</v>
      </c>
      <c r="X25" s="1567"/>
      <c r="Y25" s="3833"/>
      <c r="Z25" s="1575" t="str">
        <f>Q25</f>
        <v>区域土地利用方向</v>
      </c>
      <c r="AA25" s="1576">
        <f t="shared" si="3"/>
        <v>1</v>
      </c>
      <c r="AB25" s="1576">
        <f t="shared" si="4"/>
        <v>1</v>
      </c>
      <c r="AC25" s="1576">
        <f t="shared" si="5"/>
        <v>1</v>
      </c>
    </row>
    <row r="26" spans="1:29" ht="21">
      <c r="A26" s="515"/>
      <c r="B26" s="1007"/>
      <c r="C26" s="554"/>
      <c r="D26" s="557"/>
      <c r="E26" s="558"/>
      <c r="F26" s="555"/>
      <c r="G26" s="556"/>
      <c r="H26" s="555"/>
      <c r="I26" s="558"/>
      <c r="J26" s="555"/>
      <c r="K26" s="531"/>
      <c r="L26" s="2143"/>
      <c r="M26" s="2133"/>
      <c r="N26" s="2133"/>
      <c r="O26" s="2142"/>
      <c r="P26" s="3833"/>
      <c r="Q26" s="1572"/>
      <c r="R26" s="1573"/>
      <c r="S26" s="1574"/>
      <c r="T26" s="1573"/>
      <c r="U26" s="1574"/>
      <c r="V26" s="1573"/>
      <c r="W26" s="1574"/>
      <c r="X26" s="1567"/>
      <c r="Y26" s="3833"/>
      <c r="Z26" s="1575"/>
      <c r="AA26" s="1576"/>
      <c r="AB26" s="1576"/>
      <c r="AC26" s="1576"/>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833"/>
      <c r="Q27" s="1572" t="str">
        <f t="shared" si="8"/>
        <v>自然及人文环境状况</v>
      </c>
      <c r="R27" s="1573" t="s">
        <v>8</v>
      </c>
      <c r="S27" s="1574">
        <f>F27</f>
        <v>100</v>
      </c>
      <c r="T27" s="1573" t="s">
        <v>8</v>
      </c>
      <c r="U27" s="1574">
        <f>H27</f>
        <v>100</v>
      </c>
      <c r="V27" s="1573" t="s">
        <v>8</v>
      </c>
      <c r="W27" s="1574">
        <f>J27</f>
        <v>100</v>
      </c>
      <c r="X27" s="1567"/>
      <c r="Y27" s="3833"/>
      <c r="Z27" s="1575" t="str">
        <f>Q27</f>
        <v>自然及人文环境状况</v>
      </c>
      <c r="AA27" s="1576">
        <f t="shared" si="3"/>
        <v>1</v>
      </c>
      <c r="AB27" s="1576">
        <f t="shared" si="4"/>
        <v>1</v>
      </c>
      <c r="AC27" s="1576">
        <f t="shared" si="5"/>
        <v>1</v>
      </c>
    </row>
    <row r="28" spans="1:29" ht="21">
      <c r="A28" s="515"/>
      <c r="B28" s="566"/>
      <c r="C28" s="554"/>
      <c r="D28" s="557"/>
      <c r="E28" s="576"/>
      <c r="F28" s="555"/>
      <c r="G28" s="554"/>
      <c r="H28" s="555"/>
      <c r="I28" s="576"/>
      <c r="J28" s="555"/>
      <c r="K28" s="531"/>
      <c r="L28" s="2143"/>
      <c r="M28" s="2133"/>
      <c r="N28" s="2133"/>
      <c r="O28" s="2142"/>
      <c r="P28" s="3833"/>
      <c r="Q28" s="1572"/>
      <c r="R28" s="1573"/>
      <c r="S28" s="1574"/>
      <c r="T28" s="1573"/>
      <c r="U28" s="1574"/>
      <c r="V28" s="1573"/>
      <c r="W28" s="1574"/>
      <c r="X28" s="1567"/>
      <c r="Y28" s="3833"/>
      <c r="Z28" s="1575"/>
      <c r="AA28" s="1576">
        <v>1</v>
      </c>
      <c r="AB28" s="1576">
        <v>1</v>
      </c>
      <c r="AC28" s="1576">
        <v>1</v>
      </c>
    </row>
    <row r="29" spans="1:29" s="1220" customFormat="1" ht="41.4">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833"/>
      <c r="Q29" s="1151" t="str">
        <f t="shared" si="8"/>
        <v>公共配套设施</v>
      </c>
      <c r="R29" s="1568" t="s">
        <v>8</v>
      </c>
      <c r="S29" s="1569">
        <f>F29</f>
        <v>100</v>
      </c>
      <c r="T29" s="1568" t="s">
        <v>8</v>
      </c>
      <c r="U29" s="1569">
        <f>H29</f>
        <v>100</v>
      </c>
      <c r="V29" s="1568" t="s">
        <v>8</v>
      </c>
      <c r="W29" s="1569">
        <f>J29</f>
        <v>100</v>
      </c>
      <c r="X29" s="1570"/>
      <c r="Y29" s="3833"/>
      <c r="Z29" s="1150" t="str">
        <f>Q29</f>
        <v>公共配套设施</v>
      </c>
      <c r="AA29" s="1576">
        <f>D29/F29</f>
        <v>1</v>
      </c>
      <c r="AB29" s="1576">
        <f>D29/H29</f>
        <v>1</v>
      </c>
      <c r="AC29" s="1576">
        <f>D29/J29</f>
        <v>1</v>
      </c>
    </row>
    <row r="30" spans="1:29" s="1220" customFormat="1" ht="21">
      <c r="A30" s="577"/>
      <c r="B30" s="566"/>
      <c r="C30" s="579"/>
      <c r="D30" s="557"/>
      <c r="E30" s="576"/>
      <c r="F30" s="555"/>
      <c r="G30" s="554"/>
      <c r="H30" s="555"/>
      <c r="I30" s="576"/>
      <c r="J30" s="555"/>
      <c r="K30" s="531"/>
      <c r="L30" s="2136"/>
      <c r="M30" s="2133"/>
      <c r="N30" s="2133"/>
      <c r="O30" s="2138"/>
      <c r="P30" s="3833"/>
      <c r="Q30" s="1151"/>
      <c r="R30" s="1568"/>
      <c r="S30" s="1569"/>
      <c r="T30" s="1568"/>
      <c r="U30" s="1569"/>
      <c r="V30" s="1568"/>
      <c r="W30" s="1569"/>
      <c r="X30" s="1570"/>
      <c r="Y30" s="3833"/>
      <c r="Z30" s="1150"/>
      <c r="AA30" s="1576">
        <v>1</v>
      </c>
      <c r="AB30" s="1576">
        <v>1</v>
      </c>
      <c r="AC30" s="1576">
        <v>1</v>
      </c>
    </row>
    <row r="31" spans="1:29" s="1220" customFormat="1" ht="27.6">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833"/>
      <c r="Q31" s="2603" t="str">
        <f t="shared" ref="Q31" si="9">B31</f>
        <v>基础设施水平</v>
      </c>
      <c r="R31" s="1568" t="s">
        <v>8</v>
      </c>
      <c r="S31" s="1569">
        <f>F31</f>
        <v>100</v>
      </c>
      <c r="T31" s="1568" t="s">
        <v>8</v>
      </c>
      <c r="U31" s="1569">
        <f>H31</f>
        <v>100</v>
      </c>
      <c r="V31" s="1568" t="s">
        <v>8</v>
      </c>
      <c r="W31" s="1569">
        <f>J31</f>
        <v>100</v>
      </c>
      <c r="X31" s="1570"/>
      <c r="Y31" s="3833"/>
      <c r="Z31" s="2600" t="str">
        <f>Q31</f>
        <v>基础设施水平</v>
      </c>
      <c r="AA31" s="1576">
        <f>D31/F31</f>
        <v>1</v>
      </c>
      <c r="AB31" s="1576">
        <f>D31/H31</f>
        <v>1</v>
      </c>
      <c r="AC31" s="1576">
        <f>D31/J31</f>
        <v>1</v>
      </c>
    </row>
    <row r="32" spans="1:29" s="1220" customFormat="1" ht="21">
      <c r="A32" s="577"/>
      <c r="B32" s="566"/>
      <c r="C32" s="579"/>
      <c r="D32" s="557"/>
      <c r="E32" s="2617"/>
      <c r="F32" s="555"/>
      <c r="G32" s="579"/>
      <c r="H32" s="555"/>
      <c r="I32" s="579"/>
      <c r="J32" s="555"/>
      <c r="K32" s="531"/>
      <c r="L32" s="2136"/>
      <c r="M32" s="2133"/>
      <c r="N32" s="2133"/>
      <c r="O32" s="2138"/>
      <c r="P32" s="3833"/>
      <c r="Q32" s="2603"/>
      <c r="R32" s="1568"/>
      <c r="S32" s="1569"/>
      <c r="T32" s="1568"/>
      <c r="U32" s="1569"/>
      <c r="V32" s="1568"/>
      <c r="W32" s="1569"/>
      <c r="X32" s="1570"/>
      <c r="Y32" s="3833"/>
      <c r="Z32" s="2600"/>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83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833"/>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833"/>
      <c r="Q34" s="1572" t="str">
        <f t="shared" si="8"/>
        <v>毗邻道路的类型与等级</v>
      </c>
      <c r="R34" s="1573" t="s">
        <v>8</v>
      </c>
      <c r="S34" s="1574">
        <f t="shared" si="10"/>
        <v>100</v>
      </c>
      <c r="T34" s="1573" t="s">
        <v>8</v>
      </c>
      <c r="U34" s="1574">
        <f t="shared" si="11"/>
        <v>100</v>
      </c>
      <c r="V34" s="1573" t="s">
        <v>8</v>
      </c>
      <c r="W34" s="1574">
        <f t="shared" si="12"/>
        <v>100</v>
      </c>
      <c r="X34" s="1567"/>
      <c r="Y34" s="3833"/>
      <c r="Z34" s="1575" t="str">
        <f t="shared" si="13"/>
        <v>毗邻道路的类型与等级</v>
      </c>
      <c r="AA34" s="1576">
        <f t="shared" si="3"/>
        <v>1</v>
      </c>
      <c r="AB34" s="1576">
        <f t="shared" si="4"/>
        <v>1</v>
      </c>
      <c r="AC34" s="1576">
        <f t="shared" si="5"/>
        <v>1</v>
      </c>
    </row>
    <row r="35" spans="1:29" ht="21">
      <c r="A35" s="532"/>
      <c r="B35" s="566"/>
      <c r="C35" s="554"/>
      <c r="D35" s="557"/>
      <c r="E35" s="576"/>
      <c r="F35" s="555"/>
      <c r="G35" s="554"/>
      <c r="H35" s="555"/>
      <c r="I35" s="576"/>
      <c r="J35" s="555"/>
      <c r="K35" s="581"/>
      <c r="L35" s="2143"/>
      <c r="M35" s="2133"/>
      <c r="N35" s="2133"/>
      <c r="O35" s="2142"/>
      <c r="P35" s="3833"/>
      <c r="Q35" s="1572"/>
      <c r="R35" s="1573"/>
      <c r="S35" s="1574"/>
      <c r="T35" s="1573"/>
      <c r="U35" s="1574"/>
      <c r="V35" s="1573"/>
      <c r="W35" s="1574"/>
      <c r="X35" s="1567"/>
      <c r="Y35" s="3833"/>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833"/>
      <c r="Q36" s="1572" t="str">
        <f t="shared" si="8"/>
        <v>土地级别</v>
      </c>
      <c r="R36" s="1573" t="s">
        <v>8</v>
      </c>
      <c r="S36" s="1574">
        <f t="shared" si="10"/>
        <v>100</v>
      </c>
      <c r="T36" s="1573" t="s">
        <v>8</v>
      </c>
      <c r="U36" s="1574">
        <f t="shared" si="11"/>
        <v>100</v>
      </c>
      <c r="V36" s="1573" t="s">
        <v>8</v>
      </c>
      <c r="W36" s="1574">
        <f t="shared" si="12"/>
        <v>100</v>
      </c>
      <c r="X36" s="1567"/>
      <c r="Y36" s="3833"/>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833"/>
      <c r="Q37" s="1572">
        <f t="shared" si="8"/>
        <v>111</v>
      </c>
      <c r="R37" s="1573" t="s">
        <v>8</v>
      </c>
      <c r="S37" s="1574">
        <f t="shared" si="10"/>
        <v>100</v>
      </c>
      <c r="T37" s="1573" t="s">
        <v>8</v>
      </c>
      <c r="U37" s="1574">
        <f t="shared" si="11"/>
        <v>100</v>
      </c>
      <c r="V37" s="1573" t="s">
        <v>8</v>
      </c>
      <c r="W37" s="1574">
        <f t="shared" si="12"/>
        <v>100</v>
      </c>
      <c r="X37" s="1567"/>
      <c r="Y37" s="3833"/>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834" t="s">
        <v>549</v>
      </c>
      <c r="Q38" s="1572">
        <f t="shared" si="8"/>
        <v>111</v>
      </c>
      <c r="R38" s="1573" t="s">
        <v>8</v>
      </c>
      <c r="S38" s="1574">
        <f t="shared" si="10"/>
        <v>100</v>
      </c>
      <c r="T38" s="1573" t="s">
        <v>8</v>
      </c>
      <c r="U38" s="1574">
        <f t="shared" si="11"/>
        <v>100</v>
      </c>
      <c r="V38" s="1573" t="s">
        <v>8</v>
      </c>
      <c r="W38" s="1574">
        <f t="shared" si="12"/>
        <v>100</v>
      </c>
      <c r="X38" s="1567"/>
      <c r="Y38" s="3835"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835"/>
      <c r="Q39" s="1572">
        <f t="shared" si="8"/>
        <v>111</v>
      </c>
      <c r="R39" s="1577" t="s">
        <v>8</v>
      </c>
      <c r="S39" s="1578">
        <f t="shared" si="10"/>
        <v>100</v>
      </c>
      <c r="T39" s="1577" t="s">
        <v>8</v>
      </c>
      <c r="U39" s="1578">
        <f t="shared" si="11"/>
        <v>100</v>
      </c>
      <c r="V39" s="1577" t="s">
        <v>8</v>
      </c>
      <c r="W39" s="1578">
        <f t="shared" si="12"/>
        <v>100</v>
      </c>
      <c r="X39" s="1579"/>
      <c r="Y39" s="3835"/>
      <c r="Z39" s="1580">
        <f t="shared" si="13"/>
        <v>111</v>
      </c>
      <c r="AA39" s="1576">
        <f t="shared" si="3"/>
        <v>1</v>
      </c>
      <c r="AB39" s="1576">
        <f t="shared" si="4"/>
        <v>1</v>
      </c>
      <c r="AC39" s="1576">
        <f t="shared" si="5"/>
        <v>1</v>
      </c>
    </row>
    <row r="40" spans="1:29" ht="21">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835"/>
      <c r="Q40" s="1572" t="str">
        <f>B40</f>
        <v>宗地面积</v>
      </c>
      <c r="R40" s="1573" t="s">
        <v>8</v>
      </c>
      <c r="S40" s="1574" t="e">
        <f t="shared" si="10"/>
        <v>#N/A</v>
      </c>
      <c r="T40" s="1573" t="s">
        <v>8</v>
      </c>
      <c r="U40" s="1574" t="e">
        <f t="shared" si="11"/>
        <v>#N/A</v>
      </c>
      <c r="V40" s="1573" t="s">
        <v>8</v>
      </c>
      <c r="W40" s="1574" t="e">
        <f t="shared" si="12"/>
        <v>#N/A</v>
      </c>
      <c r="X40" s="1567"/>
      <c r="Y40" s="3835"/>
      <c r="Z40" s="1575" t="str">
        <f t="shared" si="13"/>
        <v>宗地面积</v>
      </c>
      <c r="AA40" s="1576" t="e">
        <f t="shared" si="3"/>
        <v>#N/A</v>
      </c>
      <c r="AB40" s="1576" t="e">
        <f t="shared" si="4"/>
        <v>#N/A</v>
      </c>
      <c r="AC40" s="1576" t="e">
        <f t="shared" si="5"/>
        <v>#N/A</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835"/>
      <c r="Q41" s="1572" t="str">
        <f t="shared" ref="Q41:Q47" si="14">B41</f>
        <v>宗地形状</v>
      </c>
      <c r="R41" s="1573" t="s">
        <v>8</v>
      </c>
      <c r="S41" s="1574">
        <f t="shared" si="10"/>
        <v>100</v>
      </c>
      <c r="T41" s="1573" t="s">
        <v>8</v>
      </c>
      <c r="U41" s="1574">
        <f t="shared" si="11"/>
        <v>100</v>
      </c>
      <c r="V41" s="1573" t="s">
        <v>8</v>
      </c>
      <c r="W41" s="1574">
        <f t="shared" si="12"/>
        <v>100</v>
      </c>
      <c r="X41" s="1567"/>
      <c r="Y41" s="3835"/>
      <c r="Z41" s="1575" t="str">
        <f t="shared" si="13"/>
        <v>宗地形状</v>
      </c>
      <c r="AA41" s="1576">
        <f t="shared" si="3"/>
        <v>1</v>
      </c>
      <c r="AB41" s="1576">
        <f t="shared" si="4"/>
        <v>1</v>
      </c>
      <c r="AC41" s="1576">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835"/>
      <c r="Q42" s="1572" t="str">
        <f t="shared" si="14"/>
        <v>临街宽度及深度</v>
      </c>
      <c r="R42" s="1573" t="s">
        <v>8</v>
      </c>
      <c r="S42" s="1574">
        <f t="shared" si="10"/>
        <v>100</v>
      </c>
      <c r="T42" s="1573" t="s">
        <v>8</v>
      </c>
      <c r="U42" s="1574">
        <f t="shared" si="11"/>
        <v>100</v>
      </c>
      <c r="V42" s="1573" t="s">
        <v>8</v>
      </c>
      <c r="W42" s="1574">
        <f t="shared" si="12"/>
        <v>100</v>
      </c>
      <c r="X42" s="1567"/>
      <c r="Y42" s="3835"/>
      <c r="Z42" s="1575" t="str">
        <f t="shared" si="13"/>
        <v>临街宽度及深度</v>
      </c>
      <c r="AA42" s="1576">
        <f t="shared" si="3"/>
        <v>1</v>
      </c>
      <c r="AB42" s="1576">
        <f t="shared" si="4"/>
        <v>1</v>
      </c>
      <c r="AC42" s="1576">
        <f t="shared" si="5"/>
        <v>1</v>
      </c>
    </row>
    <row r="43" spans="1:29" s="1220" customFormat="1" ht="21">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835"/>
      <c r="Q43" s="1572" t="str">
        <f t="shared" si="14"/>
        <v>宗地开发程度</v>
      </c>
      <c r="R43" s="1568" t="s">
        <v>8</v>
      </c>
      <c r="S43" s="1569">
        <f t="shared" si="10"/>
        <v>100</v>
      </c>
      <c r="T43" s="1568" t="s">
        <v>8</v>
      </c>
      <c r="U43" s="1569">
        <f t="shared" si="11"/>
        <v>100</v>
      </c>
      <c r="V43" s="1568" t="s">
        <v>8</v>
      </c>
      <c r="W43" s="1569">
        <f t="shared" si="12"/>
        <v>100</v>
      </c>
      <c r="X43" s="1570"/>
      <c r="Y43" s="3835"/>
      <c r="Z43" s="1150" t="str">
        <f t="shared" si="13"/>
        <v>宗地开发程度</v>
      </c>
      <c r="AA43" s="1571">
        <f t="shared" si="3"/>
        <v>1</v>
      </c>
      <c r="AB43" s="1571">
        <f t="shared" si="4"/>
        <v>1</v>
      </c>
      <c r="AC43" s="1571">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835" t="s">
        <v>549</v>
      </c>
      <c r="Q44" s="1572" t="str">
        <f t="shared" si="14"/>
        <v>工程地质条件</v>
      </c>
      <c r="R44" s="1573" t="s">
        <v>8</v>
      </c>
      <c r="S44" s="1574">
        <f t="shared" si="10"/>
        <v>100</v>
      </c>
      <c r="T44" s="1573" t="s">
        <v>8</v>
      </c>
      <c r="U44" s="1574">
        <f t="shared" si="11"/>
        <v>100</v>
      </c>
      <c r="V44" s="1573" t="s">
        <v>8</v>
      </c>
      <c r="W44" s="1574">
        <f t="shared" si="12"/>
        <v>100</v>
      </c>
      <c r="X44" s="1567"/>
      <c r="Y44" s="3835"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835"/>
      <c r="Q45" s="1572">
        <f t="shared" si="14"/>
        <v>111</v>
      </c>
      <c r="R45" s="1573" t="s">
        <v>8</v>
      </c>
      <c r="S45" s="1574">
        <f t="shared" si="10"/>
        <v>100</v>
      </c>
      <c r="T45" s="1573" t="s">
        <v>8</v>
      </c>
      <c r="U45" s="1574">
        <f t="shared" si="11"/>
        <v>100</v>
      </c>
      <c r="V45" s="1573" t="s">
        <v>8</v>
      </c>
      <c r="W45" s="1574">
        <f t="shared" si="12"/>
        <v>100</v>
      </c>
      <c r="X45" s="1567"/>
      <c r="Y45" s="3835"/>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835"/>
      <c r="Q46" s="1572">
        <f t="shared" si="14"/>
        <v>111</v>
      </c>
      <c r="R46" s="1573" t="s">
        <v>8</v>
      </c>
      <c r="S46" s="1574">
        <f t="shared" si="10"/>
        <v>100</v>
      </c>
      <c r="T46" s="1573" t="s">
        <v>8</v>
      </c>
      <c r="U46" s="1574">
        <f t="shared" si="11"/>
        <v>100</v>
      </c>
      <c r="V46" s="1573" t="s">
        <v>8</v>
      </c>
      <c r="W46" s="1574">
        <f t="shared" si="12"/>
        <v>100</v>
      </c>
      <c r="X46" s="1567"/>
      <c r="Y46" s="3835"/>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835"/>
      <c r="Q47" s="1572">
        <f t="shared" si="14"/>
        <v>111</v>
      </c>
      <c r="R47" s="1577" t="s">
        <v>8</v>
      </c>
      <c r="S47" s="1578">
        <f t="shared" si="10"/>
        <v>100</v>
      </c>
      <c r="T47" s="1577" t="s">
        <v>8</v>
      </c>
      <c r="U47" s="1578">
        <f t="shared" si="11"/>
        <v>100</v>
      </c>
      <c r="V47" s="1577" t="s">
        <v>8</v>
      </c>
      <c r="W47" s="1578">
        <f t="shared" si="12"/>
        <v>100</v>
      </c>
      <c r="X47" s="1579"/>
      <c r="Y47" s="3835"/>
      <c r="Z47" s="1580">
        <f t="shared" si="13"/>
        <v>111</v>
      </c>
      <c r="AA47" s="1576">
        <f t="shared" si="3"/>
        <v>1</v>
      </c>
      <c r="AB47" s="1576">
        <f t="shared" si="4"/>
        <v>1</v>
      </c>
      <c r="AC47" s="1576">
        <f t="shared" si="5"/>
        <v>1</v>
      </c>
    </row>
    <row r="48" spans="1:29" ht="21">
      <c r="A48" s="607" t="s">
        <v>555</v>
      </c>
      <c r="B48" s="608" t="s">
        <v>2934</v>
      </c>
      <c r="C48" s="609" t="s">
        <v>1</v>
      </c>
      <c r="D48" s="610"/>
      <c r="E48" s="611"/>
      <c r="F48" s="612"/>
      <c r="G48" s="613"/>
      <c r="H48" s="614"/>
      <c r="I48" s="611"/>
      <c r="J48" s="614"/>
      <c r="K48" s="1340"/>
      <c r="L48" s="2145"/>
      <c r="M48" s="2133"/>
      <c r="N48" s="2133"/>
      <c r="O48" s="2146"/>
      <c r="P48" s="3830" t="str">
        <f>A48</f>
        <v>成交单价</v>
      </c>
      <c r="Q48" s="3830"/>
      <c r="R48" s="3844">
        <f>E48</f>
        <v>0</v>
      </c>
      <c r="S48" s="3844"/>
      <c r="T48" s="3844">
        <f>G48</f>
        <v>0</v>
      </c>
      <c r="U48" s="3844"/>
      <c r="V48" s="3844">
        <f>I48</f>
        <v>0</v>
      </c>
      <c r="W48" s="3844"/>
      <c r="X48" s="1559"/>
      <c r="Y48" s="1581"/>
      <c r="Z48" s="1559"/>
      <c r="AA48" s="1559"/>
      <c r="AB48" s="1559"/>
      <c r="AC48" s="1559"/>
    </row>
    <row r="49" spans="1:29" ht="21.6"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830" t="str">
        <f>A49</f>
        <v>比较价格（元/平方米）</v>
      </c>
      <c r="Q49" s="3830"/>
      <c r="R49" s="3854" t="e">
        <f>ROUND(PRODUCT(R48,AA9:AA47),0)</f>
        <v>#DIV/0!</v>
      </c>
      <c r="S49" s="3854"/>
      <c r="T49" s="3854" t="e">
        <f>ROUND(PRODUCT(T48,AB9:AB47),0)</f>
        <v>#DIV/0!</v>
      </c>
      <c r="U49" s="3854"/>
      <c r="V49" s="3854" t="e">
        <f>ROUND(PRODUCT(V48,AC9:AC47),0)</f>
        <v>#DIV/0!</v>
      </c>
      <c r="W49" s="3854"/>
      <c r="X49" s="1559"/>
      <c r="Y49" s="1559"/>
      <c r="Z49" s="1559"/>
      <c r="AA49" s="1559"/>
      <c r="AB49" s="1559"/>
      <c r="AC49" s="1559"/>
    </row>
    <row r="50" spans="1:29" ht="21.6" thickBot="1">
      <c r="A50" s="621" t="s">
        <v>2935</v>
      </c>
      <c r="B50" s="622"/>
      <c r="C50" s="623" t="e">
        <f>R50</f>
        <v>#DIV/0!</v>
      </c>
      <c r="D50" s="623"/>
      <c r="E50" s="623"/>
      <c r="F50" s="623"/>
      <c r="G50" s="623"/>
      <c r="H50" s="623"/>
      <c r="I50" s="623"/>
      <c r="J50" s="623"/>
      <c r="K50" s="1342"/>
      <c r="L50" s="2145"/>
      <c r="M50" s="2133"/>
      <c r="N50" s="2133"/>
      <c r="O50" s="2146"/>
      <c r="P50" s="3851" t="str">
        <f>A50</f>
        <v>估价对象XX用房的比较价格（楼面单价，元/平方米）</v>
      </c>
      <c r="Q50" s="3852"/>
      <c r="R50" s="3853" t="e">
        <f>ROUND(AVERAGE(R49:V49),0)</f>
        <v>#DIV/0!</v>
      </c>
      <c r="S50" s="3853"/>
      <c r="T50" s="3853"/>
      <c r="U50" s="3853"/>
      <c r="V50" s="3853"/>
      <c r="W50" s="3853"/>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813" t="s">
        <v>2283</v>
      </c>
      <c r="H57" s="3814"/>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t="e">
        <f>C50</f>
        <v>#DIV/0!</v>
      </c>
      <c r="C58" s="635">
        <v>1</v>
      </c>
      <c r="D58" s="2229">
        <v>1</v>
      </c>
      <c r="E58" s="635">
        <f>'数据-汇总表'!E8+'数据-汇总表'!E9</f>
        <v>59362.400000000001</v>
      </c>
      <c r="F58" s="636" t="e">
        <f t="shared" ref="F58:F67" si="15">ROUND(B58*E58/10000,0)</f>
        <v>#DIV/0!</v>
      </c>
      <c r="G58" s="3815"/>
      <c r="H58" s="381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t="e">
        <f>ROUND($C$50*C59*D59,0)</f>
        <v>#DIV/0!</v>
      </c>
      <c r="C59" s="378">
        <f t="shared" ref="C59:C67" si="16">IF($C$57="北京市系数",I59,J59)</f>
        <v>0</v>
      </c>
      <c r="D59" s="2230">
        <v>0.25</v>
      </c>
      <c r="E59" s="639">
        <v>0</v>
      </c>
      <c r="F59" s="636" t="e">
        <f t="shared" si="15"/>
        <v>#DIV/0!</v>
      </c>
      <c r="G59" s="3817"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t="e">
        <f t="shared" ref="B60:B67" si="17">ROUND($C$50*C60*D60,0)</f>
        <v>#DIV/0!</v>
      </c>
      <c r="C60" s="378">
        <f t="shared" si="16"/>
        <v>0</v>
      </c>
      <c r="D60" s="2230">
        <v>0.25</v>
      </c>
      <c r="E60" s="639">
        <v>0</v>
      </c>
      <c r="F60" s="636" t="e">
        <f t="shared" si="15"/>
        <v>#DIV/0!</v>
      </c>
      <c r="G60" s="381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t="e">
        <f t="shared" si="17"/>
        <v>#DIV/0!</v>
      </c>
      <c r="C61" s="378">
        <f t="shared" si="16"/>
        <v>0</v>
      </c>
      <c r="D61" s="2230">
        <v>0.25</v>
      </c>
      <c r="E61" s="639">
        <v>0</v>
      </c>
      <c r="F61" s="636" t="e">
        <f t="shared" si="15"/>
        <v>#DIV/0!</v>
      </c>
      <c r="G61" s="381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t="e">
        <f t="shared" si="17"/>
        <v>#DIV/0!</v>
      </c>
      <c r="C62" s="378">
        <f t="shared" si="16"/>
        <v>0</v>
      </c>
      <c r="D62" s="2230">
        <v>0.25</v>
      </c>
      <c r="E62" s="639">
        <v>0</v>
      </c>
      <c r="F62" s="636" t="e">
        <f t="shared" si="15"/>
        <v>#DIV/0!</v>
      </c>
      <c r="G62" s="381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4.4">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1" type="noConversion"/>
  <conditionalFormatting sqref="F53 H53 J53">
    <cfRule type="containsText" dxfId="185" priority="14" stopIfTrue="1" operator="containsText" text="超过">
      <formula>NOT(ISERROR(SEARCH("超过",F53)))</formula>
    </cfRule>
  </conditionalFormatting>
  <conditionalFormatting sqref="J55">
    <cfRule type="containsText" dxfId="184" priority="13" stopIfTrue="1" operator="containsText" text="超过">
      <formula>NOT(ISERROR(SEARCH("超过",J55)))</formula>
    </cfRule>
  </conditionalFormatting>
  <conditionalFormatting sqref="H55">
    <cfRule type="containsText" dxfId="183" priority="12" stopIfTrue="1" operator="containsText" text="超过">
      <formula>NOT(ISERROR(SEARCH("超过",H55)))</formula>
    </cfRule>
  </conditionalFormatting>
  <conditionalFormatting sqref="F55">
    <cfRule type="containsText" dxfId="182" priority="11" stopIfTrue="1" operator="containsText" text="超过">
      <formula>NOT(ISERROR(SEARCH("超过",F55)))</formula>
    </cfRule>
  </conditionalFormatting>
  <conditionalFormatting sqref="F54 H54 J54">
    <cfRule type="containsText" dxfId="181" priority="10" stopIfTrue="1" operator="containsText" text="超过">
      <formula>NOT(ISERROR(SEARCH("超过",F54)))</formula>
    </cfRule>
  </conditionalFormatting>
  <conditionalFormatting sqref="E53">
    <cfRule type="expression" dxfId="180" priority="9" stopIfTrue="1">
      <formula>$F$53="超过30%"</formula>
    </cfRule>
  </conditionalFormatting>
  <conditionalFormatting sqref="G55">
    <cfRule type="expression" dxfId="179" priority="8" stopIfTrue="1">
      <formula>$H$55="超过30%"</formula>
    </cfRule>
  </conditionalFormatting>
  <conditionalFormatting sqref="E54">
    <cfRule type="expression" dxfId="178" priority="7" stopIfTrue="1">
      <formula>$F$54="超过20%"</formula>
    </cfRule>
  </conditionalFormatting>
  <conditionalFormatting sqref="E55">
    <cfRule type="expression" dxfId="177" priority="6" stopIfTrue="1">
      <formula>$F$55="超过30%"</formula>
    </cfRule>
  </conditionalFormatting>
  <conditionalFormatting sqref="G53">
    <cfRule type="expression" dxfId="176" priority="5" stopIfTrue="1">
      <formula>$H$55+$H$53="超过30%"</formula>
    </cfRule>
  </conditionalFormatting>
  <conditionalFormatting sqref="G54">
    <cfRule type="expression" dxfId="175" priority="4" stopIfTrue="1">
      <formula>$H$54="超过20%"</formula>
    </cfRule>
  </conditionalFormatting>
  <conditionalFormatting sqref="I53">
    <cfRule type="expression" dxfId="174" priority="3" stopIfTrue="1">
      <formula>$J$53="超过30%"</formula>
    </cfRule>
  </conditionalFormatting>
  <conditionalFormatting sqref="I54">
    <cfRule type="expression" dxfId="173" priority="2" stopIfTrue="1">
      <formula>$J$54="超过20%"</formula>
    </cfRule>
  </conditionalFormatting>
  <conditionalFormatting sqref="I55">
    <cfRule type="expression" dxfId="17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725" t="str">
        <f>项目基本情况!B1</f>
        <v>北京市海淀区西三旗建材城中路2号出让国有建设用地使用权市场价格预评估</v>
      </c>
      <c r="C37" s="3725"/>
      <c r="D37" s="3725"/>
      <c r="E37" s="3725"/>
      <c r="F37" s="3725"/>
      <c r="G37" s="3725"/>
      <c r="H37" s="3725"/>
      <c r="I37" s="3725"/>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4.4"/>
  <cols>
    <col min="2" max="2" width="9" customWidth="1"/>
    <col min="3" max="3" width="23" customWidth="1"/>
    <col min="4" max="4" width="13" customWidth="1"/>
  </cols>
  <sheetData>
    <row r="2" spans="2:6" ht="24.75" customHeight="1">
      <c r="B2" s="3855" t="s">
        <v>3141</v>
      </c>
      <c r="C2" s="3855"/>
      <c r="D2" s="3855"/>
    </row>
    <row r="3" spans="2:6" ht="24.75" customHeight="1">
      <c r="B3" s="3229" t="s">
        <v>3142</v>
      </c>
      <c r="C3" s="3229" t="s">
        <v>3143</v>
      </c>
      <c r="D3" s="3229" t="s">
        <v>3146</v>
      </c>
    </row>
    <row r="4" spans="2:6" ht="24.75" customHeight="1">
      <c r="B4" s="3227">
        <v>1</v>
      </c>
      <c r="C4" s="3229" t="s">
        <v>3188</v>
      </c>
      <c r="D4" s="3227">
        <f ca="1">结果表!G19</f>
        <v>148257</v>
      </c>
    </row>
    <row r="5" spans="2:6" ht="24.75" customHeight="1">
      <c r="B5" s="3236">
        <v>2</v>
      </c>
      <c r="C5" s="3235" t="s">
        <v>3189</v>
      </c>
      <c r="D5" s="3236">
        <f ca="1">ROUND(F5*(结果表!G21-基准地价!C30)/10000,0)</f>
        <v>8447</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856" t="s">
        <v>3147</v>
      </c>
      <c r="C10" s="3856"/>
      <c r="D10" s="3227">
        <f ca="1">SUM(D4:D9)</f>
        <v>169189.38999999998</v>
      </c>
    </row>
  </sheetData>
  <mergeCells count="2">
    <mergeCell ref="B2:D2"/>
    <mergeCell ref="B10:C10"/>
  </mergeCells>
  <phoneticPr fontId="23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E20" sqref="E20"/>
    </sheetView>
  </sheetViews>
  <sheetFormatPr defaultRowHeight="14.4"/>
  <cols>
    <col min="2" max="2" width="9" customWidth="1"/>
    <col min="3" max="3" width="33.44140625" customWidth="1"/>
    <col min="4" max="4" width="13" customWidth="1"/>
    <col min="6" max="6" width="13" customWidth="1"/>
    <col min="8" max="8" width="9" customWidth="1"/>
  </cols>
  <sheetData>
    <row r="2" spans="2:14" ht="24.75" customHeight="1">
      <c r="B2" s="3855" t="s">
        <v>3141</v>
      </c>
      <c r="C2" s="3855"/>
      <c r="D2" s="3855"/>
      <c r="F2" s="3354" t="s">
        <v>3508</v>
      </c>
      <c r="G2" s="3192" t="s">
        <v>3509</v>
      </c>
      <c r="H2" s="3192"/>
      <c r="I2" s="3192"/>
      <c r="J2" s="3192"/>
    </row>
    <row r="3" spans="2:14" ht="24.75" customHeight="1">
      <c r="B3" s="3242" t="s">
        <v>3142</v>
      </c>
      <c r="C3" s="3242" t="s">
        <v>3143</v>
      </c>
      <c r="D3" s="3242" t="s">
        <v>3146</v>
      </c>
      <c r="F3" s="1794">
        <f>'数据-基础表'!A3</f>
        <v>182153.37</v>
      </c>
      <c r="G3" s="1794">
        <f>'数据-基础表'!B3</f>
        <v>60473.499999999985</v>
      </c>
      <c r="I3" s="3860" t="s">
        <v>3503</v>
      </c>
      <c r="J3" s="3860"/>
      <c r="K3" s="3860" t="s">
        <v>3504</v>
      </c>
      <c r="L3" s="3860"/>
      <c r="M3" s="3860" t="s">
        <v>3505</v>
      </c>
      <c r="N3" s="3860"/>
    </row>
    <row r="4" spans="2:14" ht="24.75" customHeight="1">
      <c r="B4" s="3243">
        <v>1</v>
      </c>
      <c r="C4" s="3242" t="s">
        <v>3188</v>
      </c>
      <c r="D4" s="3243">
        <f ca="1">ROUND(结果表!G21*'结果一览表 (基)'!F3/10000,0)</f>
        <v>148255</v>
      </c>
      <c r="F4" s="3354" t="s">
        <v>3231</v>
      </c>
      <c r="H4" s="3860" t="s">
        <v>3506</v>
      </c>
      <c r="I4" s="3192" t="s">
        <v>3510</v>
      </c>
      <c r="J4" s="3426" t="s">
        <v>3511</v>
      </c>
      <c r="K4" s="3192" t="s">
        <v>3510</v>
      </c>
      <c r="L4" s="3426" t="s">
        <v>3511</v>
      </c>
      <c r="M4" s="3192" t="s">
        <v>3510</v>
      </c>
      <c r="N4" s="3426" t="s">
        <v>3511</v>
      </c>
    </row>
    <row r="5" spans="2:14" ht="24.75" customHeight="1">
      <c r="B5" s="3243">
        <v>2</v>
      </c>
      <c r="C5" s="3242" t="s">
        <v>3189</v>
      </c>
      <c r="D5" s="3243">
        <f ca="1">ROUND(F5*(结果表!C21-基准地价!C30)/10000,0)</f>
        <v>2314</v>
      </c>
      <c r="F5" s="1794">
        <v>10879.7</v>
      </c>
      <c r="H5" s="3860"/>
      <c r="I5">
        <f ca="1">基准地价!B3</f>
        <v>2502</v>
      </c>
      <c r="J5">
        <f ca="1">基准地价!B4</f>
        <v>2502</v>
      </c>
      <c r="K5">
        <f ca="1">成本逼近法!B3</f>
        <v>31792</v>
      </c>
      <c r="L5">
        <f ca="1">成本逼近法!B4</f>
        <v>10555</v>
      </c>
      <c r="M5">
        <f>'比较法-工业'!B3</f>
        <v>31793</v>
      </c>
      <c r="N5">
        <f>'比较法-工业'!B4</f>
        <v>10555</v>
      </c>
    </row>
    <row r="6" spans="2:14" ht="24.75" customHeight="1">
      <c r="B6" s="3243">
        <v>3</v>
      </c>
      <c r="C6" s="3242" t="s">
        <v>3228</v>
      </c>
      <c r="D6" s="3244">
        <f>建筑物价格!Q43</f>
        <v>6004.7400000000007</v>
      </c>
      <c r="F6" s="3192" t="s">
        <v>3522</v>
      </c>
      <c r="G6" s="3192" t="s">
        <v>3523</v>
      </c>
      <c r="H6" s="3860"/>
      <c r="I6" s="3860" t="s">
        <v>3512</v>
      </c>
      <c r="J6" s="3860"/>
      <c r="K6" s="3860" t="s">
        <v>3512</v>
      </c>
      <c r="L6" s="3860"/>
      <c r="M6" s="3860" t="s">
        <v>3512</v>
      </c>
      <c r="N6" s="3860"/>
    </row>
    <row r="7" spans="2:14" ht="24.75" customHeight="1">
      <c r="B7" s="3243">
        <v>4</v>
      </c>
      <c r="C7" s="3242" t="s">
        <v>3229</v>
      </c>
      <c r="D7" s="3244">
        <f>建筑物价格!Q53</f>
        <v>228.82999999999998</v>
      </c>
      <c r="F7" s="1794">
        <f>44844-1468.94</f>
        <v>43375.06</v>
      </c>
      <c r="G7">
        <f>F7/F3</f>
        <v>0.23812384036595094</v>
      </c>
      <c r="H7" s="3860"/>
      <c r="I7" s="3861">
        <f ca="1">ROUND((J5*F3+基准地价!D38*基准地价!C38)/10000,0)</f>
        <v>45575</v>
      </c>
      <c r="J7" s="3861"/>
      <c r="K7" s="3861">
        <f ca="1">ROUND(L5*F3/10000,0)</f>
        <v>192263</v>
      </c>
      <c r="L7" s="3861"/>
      <c r="M7" s="3861"/>
      <c r="N7" s="3861"/>
    </row>
    <row r="8" spans="2:14" ht="24.75" customHeight="1">
      <c r="B8" s="3243">
        <v>5</v>
      </c>
      <c r="C8" s="3242" t="s">
        <v>3230</v>
      </c>
      <c r="D8" s="3244">
        <f>建筑物价格!Q89</f>
        <v>1616.6300000000003</v>
      </c>
      <c r="H8" s="3192" t="s">
        <v>3507</v>
      </c>
      <c r="I8">
        <f>'基准地价 (划拨)'!B3</f>
        <v>1522</v>
      </c>
      <c r="K8">
        <f ca="1">'成本逼近法 (划拨)'!B3</f>
        <v>2011</v>
      </c>
    </row>
    <row r="9" spans="2:14" ht="24.75" customHeight="1">
      <c r="B9" s="3243">
        <v>6</v>
      </c>
      <c r="C9" s="3242" t="s">
        <v>3442</v>
      </c>
      <c r="D9" s="3243">
        <f>'附属物-树木'!F44</f>
        <v>212.25</v>
      </c>
    </row>
    <row r="10" spans="2:14" ht="24.75" customHeight="1">
      <c r="B10" s="3250">
        <v>7</v>
      </c>
      <c r="C10" s="3249" t="s">
        <v>3513</v>
      </c>
      <c r="D10" s="3250">
        <f>ROUND('附属物-墙地泉'!G10,2)</f>
        <v>164.51</v>
      </c>
      <c r="F10" s="3427">
        <f>D6+D7+D8+D9+D10+D11+D12</f>
        <v>12649.9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856" t="s">
        <v>3147</v>
      </c>
      <c r="C13" s="3856"/>
      <c r="D13" s="3243">
        <f ca="1">SUM(D4:D12)</f>
        <v>163218.89999999997</v>
      </c>
      <c r="F13" s="3457"/>
      <c r="G13" s="3856" t="s">
        <v>3503</v>
      </c>
      <c r="H13" s="3856"/>
      <c r="I13" s="3856" t="s">
        <v>3504</v>
      </c>
      <c r="J13" s="3856"/>
      <c r="K13" s="3856" t="s">
        <v>3525</v>
      </c>
      <c r="L13" s="3856"/>
    </row>
    <row r="14" spans="2:14">
      <c r="F14" s="3452" t="s">
        <v>3527</v>
      </c>
      <c r="G14" s="3857">
        <f ca="1">基准地价!E29+基准地价!E38</f>
        <v>45575</v>
      </c>
      <c r="H14" s="3857"/>
      <c r="I14" s="3857">
        <f ca="1">成本逼近法!B2</f>
        <v>192257</v>
      </c>
      <c r="J14" s="3857"/>
      <c r="K14" s="3857">
        <f ca="1">ROUND(ROUND('比较法-工业'!C44*基准地价!C20,0)*'结果一览表 (基)'!F3/10000,0)</f>
        <v>152954</v>
      </c>
      <c r="L14" s="3857"/>
    </row>
    <row r="15" spans="2:14">
      <c r="D15" s="3427">
        <f>D6+D7+D8+D9+D10+D11+D12</f>
        <v>12649.9</v>
      </c>
      <c r="F15" s="3452" t="s">
        <v>3528</v>
      </c>
      <c r="G15" s="3858">
        <f ca="1">ROUND(G14*G7,0)</f>
        <v>10852</v>
      </c>
      <c r="H15" s="3859"/>
      <c r="I15" s="3858">
        <f ca="1">ROUND(I14*G7,0)</f>
        <v>45781</v>
      </c>
      <c r="J15" s="3859"/>
      <c r="K15" s="3858">
        <f ca="1">ROUND(K14*G7,0)</f>
        <v>36422</v>
      </c>
      <c r="L15" s="3859"/>
    </row>
    <row r="16" spans="2:14">
      <c r="D16">
        <v>9903.83</v>
      </c>
      <c r="F16" s="3452" t="s">
        <v>3521</v>
      </c>
      <c r="G16" s="3857">
        <f>'基准地价 (划拨)'!E29-'基准地价 (划拨)'!E30</f>
        <v>2815</v>
      </c>
      <c r="H16" s="3857"/>
      <c r="I16" s="3857">
        <f ca="1">'成本逼近法 (划拨)'!B2</f>
        <v>12163</v>
      </c>
      <c r="J16" s="3857"/>
      <c r="K16" s="3857">
        <f>ROUND(('比较法-工业'!C44-'基准地价 (划拨)'!C30)*'结果一览表 (基)'!F5/10000,0)</f>
        <v>10986</v>
      </c>
      <c r="L16" s="3857"/>
    </row>
    <row r="17" spans="4:12">
      <c r="D17" s="3427">
        <f>SUM(D15:D16)</f>
        <v>22553.73</v>
      </c>
      <c r="F17" s="3452" t="s">
        <v>3529</v>
      </c>
      <c r="G17" s="3857">
        <f ca="1">G14+G16</f>
        <v>48390</v>
      </c>
      <c r="H17" s="3857"/>
      <c r="I17" s="3857">
        <f t="shared" ref="I17" ca="1" si="0">I14+I16</f>
        <v>204420</v>
      </c>
      <c r="J17" s="3857"/>
      <c r="K17" s="3857">
        <f t="shared" ref="K17" ca="1" si="1">K14+K16</f>
        <v>163940</v>
      </c>
      <c r="L17" s="3857"/>
    </row>
    <row r="18" spans="4:12">
      <c r="D18">
        <v>102048</v>
      </c>
    </row>
    <row r="19" spans="4:12">
      <c r="D19" s="3427">
        <f>SUM(D17:D18)</f>
        <v>124601.73</v>
      </c>
      <c r="F19" s="3458" t="s">
        <v>3524</v>
      </c>
    </row>
    <row r="20" spans="4:12">
      <c r="F20" s="3856" t="str">
        <f>G13</f>
        <v>基准地价法</v>
      </c>
      <c r="G20" s="3856"/>
      <c r="H20" s="3455">
        <v>0.3</v>
      </c>
      <c r="I20" s="3857">
        <f ca="1">ROUND(G14*H20+I14*H21,0)</f>
        <v>148252</v>
      </c>
      <c r="J20" s="3857"/>
    </row>
    <row r="21" spans="4:12">
      <c r="F21" s="3856" t="str">
        <f>I13</f>
        <v>成本法</v>
      </c>
      <c r="G21" s="3856"/>
      <c r="H21" s="3455">
        <f>1-H20</f>
        <v>0.7</v>
      </c>
      <c r="I21" s="3857"/>
      <c r="J21" s="3857"/>
    </row>
    <row r="22" spans="4:12">
      <c r="F22" s="3856" t="str">
        <f>G13</f>
        <v>基准地价法</v>
      </c>
      <c r="G22" s="3856"/>
      <c r="H22" s="3455">
        <v>0.5</v>
      </c>
      <c r="I22" s="3857">
        <f ca="1">ROUND(G17*H22+K17*H23,0)</f>
        <v>106165</v>
      </c>
      <c r="J22" s="3857"/>
    </row>
    <row r="23" spans="4:12">
      <c r="F23" s="3856" t="str">
        <f>K13</f>
        <v>市场比较法</v>
      </c>
      <c r="G23" s="3856"/>
      <c r="H23" s="3452">
        <f>1-H22</f>
        <v>0.5</v>
      </c>
      <c r="I23" s="3857"/>
      <c r="J23" s="3857"/>
    </row>
    <row r="24" spans="4:12">
      <c r="H24" s="3454"/>
    </row>
    <row r="25" spans="4:12">
      <c r="F25" s="3453" t="s">
        <v>3526</v>
      </c>
      <c r="H25" s="3454"/>
    </row>
    <row r="26" spans="4:12">
      <c r="F26" s="3856" t="str">
        <f>G13</f>
        <v>基准地价法</v>
      </c>
      <c r="G26" s="3856"/>
      <c r="H26" s="3455">
        <v>0.3</v>
      </c>
      <c r="I26" s="3857">
        <f ca="1">ROUND(G15*H26+I15*H27,0)</f>
        <v>35302</v>
      </c>
      <c r="J26" s="3857"/>
    </row>
    <row r="27" spans="4:12">
      <c r="F27" s="3856" t="str">
        <f>I13</f>
        <v>成本法</v>
      </c>
      <c r="G27" s="3856"/>
      <c r="H27" s="3455">
        <f>1-H26</f>
        <v>0.7</v>
      </c>
      <c r="I27" s="3857"/>
      <c r="J27" s="3857"/>
    </row>
    <row r="28" spans="4:12">
      <c r="F28" s="3856" t="str">
        <f>G13</f>
        <v>基准地价法</v>
      </c>
      <c r="G28" s="3856"/>
      <c r="H28" s="3455">
        <v>0.5</v>
      </c>
      <c r="I28" s="3857">
        <f ca="1">ROUND(G15*H28+K15*H29,0)</f>
        <v>23637</v>
      </c>
      <c r="J28" s="3857"/>
    </row>
    <row r="29" spans="4:12">
      <c r="F29" s="3856" t="str">
        <f>K13</f>
        <v>市场比较法</v>
      </c>
      <c r="G29" s="3856"/>
      <c r="H29" s="3452">
        <f>1-H28</f>
        <v>0.5</v>
      </c>
      <c r="I29" s="3857"/>
      <c r="J29" s="3857"/>
    </row>
  </sheetData>
  <mergeCells count="39">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 ref="G14:H14"/>
    <mergeCell ref="G16:H16"/>
    <mergeCell ref="I14:J14"/>
    <mergeCell ref="I16:J16"/>
    <mergeCell ref="K14:L14"/>
    <mergeCell ref="K16:L16"/>
    <mergeCell ref="G15:H15"/>
    <mergeCell ref="I15:J15"/>
    <mergeCell ref="K15:L15"/>
    <mergeCell ref="G17:H17"/>
    <mergeCell ref="I17:J17"/>
    <mergeCell ref="K17:L17"/>
    <mergeCell ref="I20:J21"/>
    <mergeCell ref="I22:J23"/>
    <mergeCell ref="F20:G20"/>
    <mergeCell ref="F21:G21"/>
    <mergeCell ref="F22:G22"/>
    <mergeCell ref="F23:G23"/>
    <mergeCell ref="F26:G26"/>
    <mergeCell ref="I26:J27"/>
    <mergeCell ref="F27:G27"/>
    <mergeCell ref="F28:G28"/>
    <mergeCell ref="I28:J29"/>
    <mergeCell ref="F29:G29"/>
  </mergeCells>
  <phoneticPr fontId="2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5" sqref="G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907" t="str">
        <f>项目基本情况!K2</f>
        <v>北京市海淀区西三旗建材城中路2号出让国有建设用地使用权</v>
      </c>
      <c r="B2" s="3908"/>
      <c r="C2" s="3909"/>
      <c r="D2" s="3909"/>
      <c r="E2" s="3909"/>
      <c r="F2" s="3909"/>
      <c r="G2" s="3908"/>
      <c r="H2" s="3908"/>
      <c r="I2" s="3910"/>
      <c r="J2" s="2030"/>
      <c r="K2" s="2029"/>
      <c r="L2" s="2029"/>
      <c r="M2" s="2029"/>
      <c r="N2" s="2029"/>
      <c r="O2" s="2029"/>
      <c r="P2" s="2029"/>
      <c r="Q2" s="2029"/>
      <c r="R2" s="2029"/>
      <c r="S2" s="2029"/>
      <c r="T2" s="2029"/>
      <c r="U2" s="2029"/>
      <c r="V2" s="2029"/>
    </row>
    <row r="3" spans="1:22" ht="13.8">
      <c r="A3" s="3917" t="s">
        <v>297</v>
      </c>
      <c r="B3" s="3918"/>
      <c r="C3" s="3918"/>
      <c r="D3" s="3918"/>
      <c r="E3" s="3918"/>
      <c r="F3" s="3918"/>
      <c r="G3" s="3918"/>
      <c r="H3" s="3918"/>
      <c r="I3" s="3918"/>
      <c r="J3" s="2030"/>
      <c r="K3" s="2029"/>
      <c r="L3" s="2029"/>
      <c r="M3" s="2029"/>
      <c r="N3" s="2029"/>
      <c r="O3" s="2029"/>
      <c r="P3" s="2029"/>
      <c r="Q3" s="2029"/>
      <c r="R3" s="2029"/>
      <c r="S3" s="2029"/>
      <c r="T3" s="2029"/>
      <c r="U3" s="2029"/>
      <c r="V3" s="2029"/>
    </row>
    <row r="4" spans="1:22" ht="14.4">
      <c r="A4" s="258" t="s">
        <v>298</v>
      </c>
      <c r="B4" s="259" t="s">
        <v>299</v>
      </c>
      <c r="C4" s="260" t="s">
        <v>2952</v>
      </c>
      <c r="D4" s="260" t="s">
        <v>3967</v>
      </c>
      <c r="E4" s="3882" t="s">
        <v>300</v>
      </c>
      <c r="F4" s="3923"/>
      <c r="G4" s="3923"/>
      <c r="H4" s="3923"/>
      <c r="I4" s="3883"/>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911" t="s">
        <v>301</v>
      </c>
      <c r="B5" s="3827">
        <v>25</v>
      </c>
      <c r="C5" s="3919">
        <v>3</v>
      </c>
      <c r="D5" s="3922">
        <f>10-C5</f>
        <v>7</v>
      </c>
      <c r="E5" s="261" t="s">
        <v>302</v>
      </c>
      <c r="F5" s="262"/>
      <c r="G5" s="262"/>
      <c r="H5" s="262"/>
      <c r="I5" s="263"/>
      <c r="J5" s="2030"/>
      <c r="K5" s="2029"/>
      <c r="L5" s="2029"/>
      <c r="M5" s="2029"/>
      <c r="N5" s="2029"/>
      <c r="O5" s="2029"/>
      <c r="P5" s="2029"/>
      <c r="Q5" s="2029"/>
      <c r="R5" s="2029"/>
      <c r="S5" s="2029"/>
      <c r="T5" s="2029"/>
      <c r="U5" s="2029"/>
      <c r="V5" s="2029"/>
    </row>
    <row r="6" spans="1:22" ht="13.8">
      <c r="A6" s="3911"/>
      <c r="B6" s="3827"/>
      <c r="C6" s="3920"/>
      <c r="D6" s="3922"/>
      <c r="E6" s="261" t="s">
        <v>303</v>
      </c>
      <c r="F6" s="262"/>
      <c r="G6" s="262"/>
      <c r="H6" s="262"/>
      <c r="I6" s="263"/>
      <c r="J6" s="2030"/>
      <c r="K6" s="2029"/>
      <c r="L6" s="2029"/>
      <c r="M6" s="2029"/>
      <c r="N6" s="2029"/>
      <c r="O6" s="2029"/>
      <c r="P6" s="2029"/>
      <c r="Q6" s="2029"/>
      <c r="R6" s="2029"/>
      <c r="S6" s="2029"/>
      <c r="T6" s="2029"/>
      <c r="U6" s="2029"/>
      <c r="V6" s="2029"/>
    </row>
    <row r="7" spans="1:22" ht="13.8">
      <c r="A7" s="3911"/>
      <c r="B7" s="3827"/>
      <c r="C7" s="3921"/>
      <c r="D7" s="3922"/>
      <c r="E7" s="261" t="s">
        <v>304</v>
      </c>
      <c r="F7" s="262"/>
      <c r="G7" s="262"/>
      <c r="H7" s="262"/>
      <c r="I7" s="263"/>
      <c r="J7" s="2030"/>
      <c r="K7" s="2029"/>
      <c r="L7" s="2029"/>
      <c r="M7" s="2029"/>
      <c r="N7" s="2029"/>
      <c r="O7" s="2029"/>
      <c r="P7" s="2029"/>
      <c r="Q7" s="2029"/>
      <c r="R7" s="2029"/>
      <c r="S7" s="2029"/>
      <c r="T7" s="2029"/>
      <c r="U7" s="2029"/>
      <c r="V7" s="2029"/>
    </row>
    <row r="8" spans="1:22" ht="13.8">
      <c r="A8" s="3911" t="s">
        <v>305</v>
      </c>
      <c r="B8" s="3827">
        <v>15</v>
      </c>
      <c r="C8" s="3919"/>
      <c r="D8" s="3922"/>
      <c r="E8" s="261" t="s">
        <v>306</v>
      </c>
      <c r="F8" s="262"/>
      <c r="G8" s="262"/>
      <c r="H8" s="262"/>
      <c r="I8" s="263"/>
      <c r="J8" s="2030"/>
      <c r="K8" s="2029"/>
      <c r="L8" s="2029"/>
      <c r="M8" s="2029"/>
      <c r="N8" s="2029"/>
      <c r="O8" s="2029"/>
      <c r="P8" s="2029"/>
      <c r="Q8" s="2029"/>
      <c r="R8" s="2029"/>
      <c r="S8" s="2029"/>
      <c r="T8" s="2029"/>
      <c r="U8" s="2029"/>
      <c r="V8" s="2029"/>
    </row>
    <row r="9" spans="1:22" ht="13.8">
      <c r="A9" s="3911"/>
      <c r="B9" s="3827"/>
      <c r="C9" s="3921"/>
      <c r="D9" s="3922"/>
      <c r="E9" s="261" t="s">
        <v>307</v>
      </c>
      <c r="F9" s="262"/>
      <c r="G9" s="262"/>
      <c r="H9" s="262"/>
      <c r="I9" s="263"/>
      <c r="J9" s="2030"/>
      <c r="K9" s="2029"/>
      <c r="L9" s="2029"/>
      <c r="M9" s="2029"/>
      <c r="N9" s="2029"/>
      <c r="O9" s="2029"/>
      <c r="P9" s="2029"/>
      <c r="Q9" s="2029"/>
      <c r="R9" s="2029"/>
      <c r="S9" s="2029"/>
      <c r="T9" s="2029"/>
      <c r="U9" s="2029"/>
      <c r="V9" s="2029"/>
    </row>
    <row r="10" spans="1:22" ht="13.8">
      <c r="A10" s="3911" t="s">
        <v>308</v>
      </c>
      <c r="B10" s="3827">
        <v>15</v>
      </c>
      <c r="C10" s="3919"/>
      <c r="D10" s="3922"/>
      <c r="E10" s="261" t="s">
        <v>309</v>
      </c>
      <c r="F10" s="262"/>
      <c r="G10" s="262"/>
      <c r="H10" s="262"/>
      <c r="I10" s="263"/>
      <c r="J10" s="2030"/>
      <c r="K10" s="2029"/>
      <c r="L10" s="2029"/>
      <c r="M10" s="2029"/>
      <c r="N10" s="2029"/>
      <c r="O10" s="2029"/>
      <c r="P10" s="2029"/>
      <c r="Q10" s="2029"/>
      <c r="R10" s="2029"/>
      <c r="S10" s="2029"/>
      <c r="T10" s="2029"/>
      <c r="U10" s="2029"/>
      <c r="V10" s="2029"/>
    </row>
    <row r="11" spans="1:22" ht="13.8">
      <c r="A11" s="3911"/>
      <c r="B11" s="3827"/>
      <c r="C11" s="3921"/>
      <c r="D11" s="3922"/>
      <c r="E11" s="261" t="s">
        <v>310</v>
      </c>
      <c r="F11" s="262"/>
      <c r="G11" s="262"/>
      <c r="H11" s="262"/>
      <c r="I11" s="263"/>
      <c r="J11" s="2030"/>
      <c r="K11" s="2029"/>
      <c r="L11" s="2029"/>
      <c r="M11" s="2029"/>
      <c r="N11" s="2029"/>
      <c r="O11" s="2029"/>
      <c r="P11" s="2029"/>
      <c r="Q11" s="2029"/>
      <c r="R11" s="2029"/>
      <c r="S11" s="2029"/>
      <c r="T11" s="2029"/>
      <c r="U11" s="2029"/>
      <c r="V11" s="2029"/>
    </row>
    <row r="12" spans="1:22" ht="13.8">
      <c r="A12" s="3911" t="s">
        <v>311</v>
      </c>
      <c r="B12" s="3827">
        <v>15</v>
      </c>
      <c r="C12" s="3919"/>
      <c r="D12" s="3922"/>
      <c r="E12" s="261" t="s">
        <v>312</v>
      </c>
      <c r="F12" s="262"/>
      <c r="G12" s="262"/>
      <c r="H12" s="262"/>
      <c r="I12" s="263"/>
      <c r="J12" s="2030"/>
      <c r="K12" s="2029"/>
      <c r="L12" s="2029"/>
      <c r="M12" s="2029"/>
      <c r="N12" s="2029"/>
      <c r="O12" s="2029"/>
      <c r="P12" s="2029"/>
      <c r="Q12" s="2029"/>
      <c r="R12" s="2029"/>
      <c r="S12" s="2029"/>
      <c r="T12" s="2029"/>
      <c r="U12" s="2029"/>
      <c r="V12" s="2029"/>
    </row>
    <row r="13" spans="1:22" ht="13.8">
      <c r="A13" s="3911"/>
      <c r="B13" s="3827"/>
      <c r="C13" s="3921"/>
      <c r="D13" s="3922"/>
      <c r="E13" s="261" t="s">
        <v>313</v>
      </c>
      <c r="F13" s="262"/>
      <c r="G13" s="262"/>
      <c r="H13" s="262"/>
      <c r="I13" s="263"/>
      <c r="J13" s="2030"/>
      <c r="K13" s="2029"/>
      <c r="L13" s="2029"/>
      <c r="M13" s="2029"/>
      <c r="N13" s="2029"/>
      <c r="O13" s="2029"/>
      <c r="P13" s="2029"/>
      <c r="Q13" s="2029"/>
      <c r="R13" s="2029"/>
      <c r="S13" s="2029"/>
      <c r="T13" s="2029"/>
      <c r="U13" s="2029"/>
      <c r="V13" s="2029"/>
    </row>
    <row r="14" spans="1:22" ht="13.8">
      <c r="A14" s="3911" t="s">
        <v>314</v>
      </c>
      <c r="B14" s="3827">
        <v>30</v>
      </c>
      <c r="C14" s="3919"/>
      <c r="D14" s="3922"/>
      <c r="E14" s="261" t="s">
        <v>315</v>
      </c>
      <c r="F14" s="262"/>
      <c r="G14" s="262"/>
      <c r="H14" s="262"/>
      <c r="I14" s="263"/>
      <c r="J14" s="2030"/>
      <c r="K14" s="2029"/>
      <c r="L14" s="2029"/>
      <c r="M14" s="2029"/>
      <c r="N14" s="2029"/>
      <c r="O14" s="2029"/>
      <c r="P14" s="2029"/>
      <c r="Q14" s="2029"/>
      <c r="R14" s="2029"/>
      <c r="S14" s="2029"/>
      <c r="T14" s="2029"/>
      <c r="U14" s="2029"/>
      <c r="V14" s="2029"/>
    </row>
    <row r="15" spans="1:22" ht="13.8">
      <c r="A15" s="3911"/>
      <c r="B15" s="3827"/>
      <c r="C15" s="3920"/>
      <c r="D15" s="3922"/>
      <c r="E15" s="261" t="s">
        <v>316</v>
      </c>
      <c r="F15" s="262"/>
      <c r="G15" s="262"/>
      <c r="H15" s="262"/>
      <c r="I15" s="263"/>
      <c r="J15" s="2030"/>
      <c r="K15" s="2029"/>
      <c r="L15" s="2029"/>
      <c r="M15" s="2029"/>
      <c r="N15" s="2029"/>
      <c r="O15" s="2029"/>
      <c r="P15" s="2029"/>
      <c r="Q15" s="2029"/>
      <c r="R15" s="2029"/>
      <c r="S15" s="2029"/>
      <c r="T15" s="2029"/>
      <c r="U15" s="2029"/>
      <c r="V15" s="2029"/>
    </row>
    <row r="16" spans="1:22" ht="13.8">
      <c r="A16" s="3911"/>
      <c r="B16" s="3827"/>
      <c r="C16" s="3921"/>
      <c r="D16" s="3922"/>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45575</v>
      </c>
      <c r="D19" s="271">
        <f ca="1">SUMIF(INDIRECT("'"&amp;D4&amp;"'"&amp;"!A:A"),结果表!B19,INDIRECT("'"&amp;D4&amp;"'"&amp;"!B:B"))</f>
        <v>192263</v>
      </c>
      <c r="E19" s="268" t="s">
        <v>322</v>
      </c>
      <c r="F19" s="269" t="s">
        <v>321</v>
      </c>
      <c r="G19" s="272">
        <f ca="1">ROUND(C19*$C$18+D19*$D$18,0)</f>
        <v>148257</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2502</v>
      </c>
      <c r="D20" s="277">
        <f ca="1">SUMIF(INDIRECT("'"&amp;D4&amp;"'"&amp;"!A:A"),结果表!B20,INDIRECT("'"&amp;D4&amp;"'"&amp;"!B:B"))</f>
        <v>31793</v>
      </c>
      <c r="E20" s="274"/>
      <c r="F20" s="275" t="s">
        <v>324</v>
      </c>
      <c r="G20" s="278">
        <f ca="1">ROUND(C20*$C$18+D20*$D$18,0)</f>
        <v>23006</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2502</v>
      </c>
      <c r="D21" s="151">
        <f ca="1">SUMIF(INDIRECT("'"&amp;D4&amp;"'"&amp;"!A:A"),结果表!B21,INDIRECT("'"&amp;D4&amp;"'"&amp;"!B:B"))</f>
        <v>10555</v>
      </c>
      <c r="E21" s="274"/>
      <c r="F21" s="280" t="s">
        <v>326</v>
      </c>
      <c r="G21" s="282">
        <f ca="1">ROUND(C21*$C$18+D21*$D$18,0)</f>
        <v>8139</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3.2186066922654968</v>
      </c>
      <c r="E22" s="284"/>
      <c r="F22" s="285"/>
      <c r="G22" s="286">
        <f ca="1">ROUND(G19/('数据-汇总表'!D3/666.67),0)</f>
        <v>543</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884"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925"/>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出让国有建设用地使用权价格：148257万元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大写金额：人民币壹拾肆亿捌仟贰佰伍拾柒万元整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单位面积地价：8139元/平方米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楼面地价：24516元/平方米</v>
      </c>
      <c r="L28" s="1252"/>
      <c r="M28" s="1252"/>
      <c r="N28" s="1252"/>
      <c r="O28" s="1251"/>
      <c r="P28" s="2029"/>
      <c r="V28" s="2029"/>
    </row>
    <row r="29" spans="1:26" ht="17.399999999999999">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 thickBot="1">
      <c r="A32" s="268" t="s">
        <v>336</v>
      </c>
      <c r="B32" s="1381" t="s">
        <v>1688</v>
      </c>
      <c r="C32" s="1382">
        <f ca="1">G19-C24</f>
        <v>148257</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 thickBot="1">
      <c r="A33" s="298" t="s">
        <v>339</v>
      </c>
      <c r="B33" s="1384" t="s">
        <v>1690</v>
      </c>
      <c r="C33" s="264">
        <f ca="1">ROUND(C32*10000/'数据-汇总表'!E3,0)</f>
        <v>24516</v>
      </c>
      <c r="D33" s="1385" t="s">
        <v>1691</v>
      </c>
      <c r="E33" s="3884"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 thickBot="1">
      <c r="A34" s="300"/>
      <c r="B34" s="1386" t="s">
        <v>1692</v>
      </c>
      <c r="C34" s="264">
        <f ca="1">ROUND(C32*10000/'数据-汇总表'!D3,0)</f>
        <v>8139</v>
      </c>
      <c r="D34" s="1387" t="s">
        <v>1691</v>
      </c>
      <c r="E34" s="3885"/>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543</v>
      </c>
      <c r="D35" s="1390" t="s">
        <v>1693</v>
      </c>
      <c r="E35" s="3886"/>
      <c r="F35" s="301" t="s">
        <v>341</v>
      </c>
      <c r="G35" s="982"/>
      <c r="H35" s="981" t="s">
        <v>342</v>
      </c>
      <c r="I35" s="311"/>
      <c r="J35" s="2029"/>
      <c r="K35" s="3890" t="s">
        <v>349</v>
      </c>
      <c r="L35" s="3890" t="s">
        <v>350</v>
      </c>
      <c r="M35" s="1264" t="s">
        <v>351</v>
      </c>
      <c r="N35" s="3890" t="s">
        <v>352</v>
      </c>
      <c r="O35" s="3890" t="s">
        <v>353</v>
      </c>
      <c r="P35" s="2029"/>
      <c r="V35" s="2029"/>
    </row>
    <row r="36" spans="1:26" ht="16.5" customHeight="1">
      <c r="A36" s="303" t="s">
        <v>343</v>
      </c>
      <c r="B36" s="304" t="s">
        <v>332</v>
      </c>
      <c r="C36" s="305" t="s">
        <v>344</v>
      </c>
      <c r="D36" s="305" t="s">
        <v>345</v>
      </c>
      <c r="E36" s="306" t="s">
        <v>346</v>
      </c>
      <c r="F36" s="311"/>
      <c r="G36" s="311"/>
      <c r="H36" s="311"/>
      <c r="I36" s="311"/>
      <c r="J36" s="2031"/>
      <c r="K36" s="3891"/>
      <c r="L36" s="3891"/>
      <c r="M36" s="1266" t="s">
        <v>354</v>
      </c>
      <c r="N36" s="3891"/>
      <c r="O36" s="3891"/>
      <c r="P36" s="2029"/>
      <c r="V36" s="2029"/>
    </row>
    <row r="37" spans="1:26" ht="16.5" customHeight="1" thickBot="1">
      <c r="A37" s="1260" t="s">
        <v>347</v>
      </c>
      <c r="B37" s="307"/>
      <c r="C37" s="294"/>
      <c r="D37" s="294"/>
      <c r="E37" s="295"/>
      <c r="F37" s="311"/>
      <c r="G37" s="311"/>
      <c r="H37" s="311"/>
      <c r="I37" s="311"/>
      <c r="J37" s="2031"/>
      <c r="K37" s="3892"/>
      <c r="L37" s="3892"/>
      <c r="M37" s="1267"/>
      <c r="N37" s="3892"/>
      <c r="O37" s="3892"/>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8139</v>
      </c>
      <c r="N38" s="1269">
        <f ca="1">C33</f>
        <v>24516</v>
      </c>
      <c r="O38" s="1270">
        <f ca="1">C32</f>
        <v>148257</v>
      </c>
      <c r="P38" s="2029"/>
      <c r="V38" s="2029"/>
    </row>
    <row r="39" spans="1:26" ht="16.5" customHeight="1" thickBot="1">
      <c r="A39" s="1265"/>
      <c r="B39" s="308"/>
      <c r="C39" s="309"/>
      <c r="D39" s="309"/>
      <c r="E39" s="310"/>
      <c r="F39" s="311"/>
      <c r="G39" s="311"/>
      <c r="H39" s="311"/>
      <c r="I39" s="311"/>
      <c r="J39" s="2031"/>
      <c r="K39" s="3867" t="str">
        <f>MID(A44,3,LEN(A44)-2)</f>
        <v/>
      </c>
      <c r="L39" s="3868"/>
      <c r="M39" s="3868"/>
      <c r="N39" s="3869"/>
      <c r="O39" s="1392" t="str">
        <f>C44</f>
        <v>——</v>
      </c>
      <c r="P39" s="2029"/>
      <c r="V39" s="2029"/>
    </row>
    <row r="40" spans="1:26" ht="18" thickBot="1">
      <c r="A40" s="104" t="s">
        <v>872</v>
      </c>
      <c r="B40" s="311"/>
      <c r="C40" s="311"/>
      <c r="D40" s="311"/>
      <c r="E40" s="311"/>
      <c r="F40" s="311"/>
      <c r="G40" s="311"/>
      <c r="H40" s="311"/>
      <c r="I40" s="311"/>
      <c r="J40" s="2031"/>
      <c r="K40" s="3867" t="str">
        <f t="shared" ref="K40:K41" si="0">MID(A45,3,LEN(A45)-2)</f>
        <v/>
      </c>
      <c r="L40" s="3868"/>
      <c r="M40" s="3868"/>
      <c r="N40" s="3869"/>
      <c r="O40" s="1392" t="str">
        <f>C45</f>
        <v>——</v>
      </c>
      <c r="P40" s="2029"/>
      <c r="V40" s="2029"/>
    </row>
    <row r="41" spans="1:26" ht="16.2" thickBot="1">
      <c r="A41" s="312" t="s">
        <v>355</v>
      </c>
      <c r="B41" s="313"/>
      <c r="C41" s="314" t="s">
        <v>356</v>
      </c>
      <c r="D41" s="315" t="s">
        <v>357</v>
      </c>
      <c r="E41" s="315" t="s">
        <v>358</v>
      </c>
      <c r="F41" s="316" t="s">
        <v>359</v>
      </c>
      <c r="G41" s="311"/>
      <c r="H41" s="311"/>
      <c r="I41" s="311"/>
      <c r="J41" s="2031"/>
      <c r="K41" s="3867" t="str">
        <f t="shared" si="0"/>
        <v/>
      </c>
      <c r="L41" s="3868"/>
      <c r="M41" s="3868"/>
      <c r="N41" s="3869"/>
      <c r="O41" s="1392" t="str">
        <f>C46</f>
        <v>——</v>
      </c>
      <c r="P41" s="2029"/>
      <c r="V41" s="2029"/>
    </row>
    <row r="42" spans="1:26" ht="31.2">
      <c r="A42" s="3926" t="s">
        <v>2069</v>
      </c>
      <c r="B42" s="3927"/>
      <c r="C42" s="264">
        <f ca="1">C32</f>
        <v>148257</v>
      </c>
      <c r="D42" s="317">
        <f ca="1">C33</f>
        <v>24516</v>
      </c>
      <c r="E42" s="317">
        <f ca="1">C34</f>
        <v>8139</v>
      </c>
      <c r="F42" s="318">
        <f ca="1">C35</f>
        <v>543</v>
      </c>
      <c r="G42" s="311"/>
      <c r="H42" s="311"/>
      <c r="I42" s="319"/>
      <c r="J42" s="2031"/>
      <c r="K42" s="1271" t="s">
        <v>360</v>
      </c>
      <c r="L42" s="2048" t="s">
        <v>361</v>
      </c>
      <c r="M42" s="1272" t="s">
        <v>362</v>
      </c>
      <c r="N42" s="2049" t="s">
        <v>363</v>
      </c>
      <c r="O42" s="2050" t="s">
        <v>364</v>
      </c>
      <c r="P42" s="2029"/>
      <c r="V42" s="2029"/>
    </row>
    <row r="43" spans="1:26" ht="17.399999999999999">
      <c r="A43" s="3936" t="s">
        <v>2733</v>
      </c>
      <c r="B43" s="3937"/>
      <c r="C43" s="264">
        <f>IF(H33="正常操作",G33+G34+G35,G34+G35)</f>
        <v>0</v>
      </c>
      <c r="D43" s="317" t="s">
        <v>43</v>
      </c>
      <c r="E43" s="317" t="s">
        <v>44</v>
      </c>
      <c r="F43" s="318" t="s">
        <v>44</v>
      </c>
      <c r="G43" s="2891" t="s">
        <v>951</v>
      </c>
      <c r="H43" s="311"/>
      <c r="I43" s="319"/>
      <c r="J43" s="2031"/>
      <c r="K43" s="1273" t="str">
        <f>C4</f>
        <v>基准地价</v>
      </c>
      <c r="L43" s="1274">
        <f ca="1">IF(L42="估价结果/万元",C19,C20)</f>
        <v>45575</v>
      </c>
      <c r="M43" s="1275">
        <f>C18</f>
        <v>0.3</v>
      </c>
      <c r="N43" s="1276">
        <f ca="1">IF(N42="测算结果/万元",G19,G20)</f>
        <v>148257</v>
      </c>
      <c r="O43" s="1277">
        <f ca="1">IF(O42="最终结果/万元",C32,C33)</f>
        <v>148257</v>
      </c>
      <c r="P43" s="2029"/>
      <c r="V43" s="2029"/>
    </row>
    <row r="44" spans="1:26" ht="18" thickBot="1">
      <c r="A44" s="3926" t="str">
        <f>IF(OR(项目基本情况!E8="抵押价格",项目基本情况!E8="已注销及未注销"),"3.抵押价格","——")</f>
        <v>——</v>
      </c>
      <c r="B44" s="392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比较法-工业</v>
      </c>
      <c r="L44" s="1279">
        <f ca="1">IF(L42="估价结果/万元",D19,D20)</f>
        <v>192263</v>
      </c>
      <c r="M44" s="1280">
        <f>D18</f>
        <v>0.7</v>
      </c>
      <c r="N44" s="1281"/>
      <c r="O44" s="1282"/>
      <c r="P44" s="2029"/>
      <c r="V44" s="2029"/>
    </row>
    <row r="45" spans="1:26" ht="13.8">
      <c r="A45" s="3931" t="str">
        <f>IF(项目基本情况!E8="已注销及未注销","4.抵押担保权已注销时的抵押价格",IF(项目基本情况!E8="已注销","3.抵押担保权已注销时的抵押价格","——"))</f>
        <v>——</v>
      </c>
      <c r="B45" s="393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928" t="str">
        <f>IF(项目基本情况!E9="抵押净值",IF(A45="——","4.抵押净值","5.抵押净值"),"——")</f>
        <v>——</v>
      </c>
      <c r="B46" s="392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895" t="s">
        <v>373</v>
      </c>
      <c r="B63" s="3896"/>
      <c r="C63" s="3897"/>
      <c r="D63" s="341">
        <f ca="1">ROUND(C42*F63,0)</f>
        <v>88954</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933" t="s">
        <v>377</v>
      </c>
      <c r="B64" s="3934"/>
      <c r="C64" s="3934"/>
      <c r="D64" s="3934"/>
      <c r="E64" s="3934"/>
      <c r="F64" s="3934"/>
      <c r="G64" s="3935"/>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930" t="s">
        <v>385</v>
      </c>
      <c r="B66" s="3902"/>
      <c r="C66" s="3902"/>
      <c r="D66" s="261">
        <f ca="1">IF(H66="情况1",0,IF(H66="情况2",D70,IF(H66="情况3",D71,IF(H66="情况4",D72))))</f>
        <v>4744</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871" t="s">
        <v>384</v>
      </c>
      <c r="M66" s="3872"/>
      <c r="N66" s="2483"/>
      <c r="O66" s="2484"/>
      <c r="P66" s="2485"/>
      <c r="Q66" s="2029"/>
      <c r="R66" s="2029"/>
      <c r="S66" s="2029"/>
      <c r="T66" s="2029"/>
      <c r="U66" s="2029"/>
      <c r="V66" s="2029"/>
    </row>
    <row r="67" spans="1:22" ht="25.5" customHeight="1">
      <c r="A67" s="352" t="s">
        <v>389</v>
      </c>
      <c r="B67" s="3913" t="s">
        <v>390</v>
      </c>
      <c r="C67" s="3913"/>
      <c r="D67" s="353">
        <v>0</v>
      </c>
      <c r="E67" s="41" t="s">
        <v>391</v>
      </c>
      <c r="F67" s="62" t="s">
        <v>21</v>
      </c>
      <c r="G67" s="3898"/>
      <c r="H67" s="311"/>
      <c r="I67" s="1292"/>
      <c r="J67" s="2036"/>
      <c r="K67" s="1977">
        <v>2</v>
      </c>
      <c r="L67" s="3870" t="s">
        <v>388</v>
      </c>
      <c r="M67" s="3870"/>
      <c r="N67" s="1325">
        <f>'数据-取费表'!B2</f>
        <v>43251</v>
      </c>
      <c r="O67" s="1325"/>
      <c r="P67" s="1325"/>
      <c r="Q67" s="2029"/>
      <c r="R67" s="2029"/>
      <c r="S67" s="2029"/>
      <c r="T67" s="2029"/>
      <c r="U67" s="2029"/>
      <c r="V67" s="2029"/>
    </row>
    <row r="68" spans="1:22" ht="25.5" customHeight="1">
      <c r="A68" s="354"/>
      <c r="B68" s="3913" t="s">
        <v>393</v>
      </c>
      <c r="C68" s="3913"/>
      <c r="D68" s="355"/>
      <c r="E68" s="77"/>
      <c r="F68" s="356"/>
      <c r="G68" s="3899"/>
      <c r="H68" s="311"/>
      <c r="I68" s="1292"/>
      <c r="J68" s="2036"/>
      <c r="K68" s="1977">
        <v>3</v>
      </c>
      <c r="L68" s="3870" t="s">
        <v>392</v>
      </c>
      <c r="M68" s="3870"/>
      <c r="N68" s="1293">
        <f ca="1">C42</f>
        <v>148257</v>
      </c>
      <c r="O68" s="1293"/>
      <c r="P68" s="1293"/>
      <c r="Q68" s="2029"/>
      <c r="R68" s="2029"/>
      <c r="S68" s="2029"/>
      <c r="T68" s="2029"/>
      <c r="U68" s="2029"/>
      <c r="V68" s="2029"/>
    </row>
    <row r="69" spans="1:22" ht="12" customHeight="1">
      <c r="A69" s="357"/>
      <c r="B69" s="3913" t="s">
        <v>394</v>
      </c>
      <c r="C69" s="3913"/>
      <c r="D69" s="358"/>
      <c r="E69" s="73"/>
      <c r="F69" s="356"/>
      <c r="G69" s="3900"/>
      <c r="H69" s="311"/>
      <c r="I69" s="1292"/>
      <c r="J69" s="2036"/>
      <c r="K69" s="1294">
        <v>4</v>
      </c>
      <c r="L69" s="3876" t="s">
        <v>2884</v>
      </c>
      <c r="M69" s="3877"/>
      <c r="N69" s="1295" t="str">
        <f>C44</f>
        <v>——</v>
      </c>
      <c r="O69" s="1295"/>
      <c r="P69" s="1295"/>
      <c r="Q69" s="2029"/>
      <c r="R69" s="2029"/>
      <c r="S69" s="2029"/>
      <c r="T69" s="2029"/>
      <c r="U69" s="2029"/>
      <c r="V69" s="2029"/>
    </row>
    <row r="70" spans="1:22" ht="24" customHeight="1">
      <c r="A70" s="359" t="s">
        <v>395</v>
      </c>
      <c r="B70" s="3913" t="s">
        <v>396</v>
      </c>
      <c r="C70" s="3913"/>
      <c r="D70" s="358">
        <f ca="1">ROUND(D63*'数据-取费表'!B41/(1+'数据-取费表'!C42),0)</f>
        <v>4744</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912" t="s">
        <v>404</v>
      </c>
      <c r="C71" s="3924"/>
      <c r="D71" s="358">
        <f ca="1">ROUND(D63*'数据-取费表'!B41/(1+'数据-取费表'!C42),0)</f>
        <v>4744</v>
      </c>
      <c r="E71" s="17" t="s">
        <v>397</v>
      </c>
      <c r="F71" s="360">
        <f>'数据-取费表'!B41</f>
        <v>5.6000000000000001E-2</v>
      </c>
      <c r="G71" s="361"/>
      <c r="H71" s="311"/>
      <c r="I71" s="1292"/>
      <c r="J71" s="2036"/>
      <c r="K71" s="3085" t="s">
        <v>398</v>
      </c>
      <c r="L71" s="3878" t="s">
        <v>399</v>
      </c>
      <c r="M71" s="3878"/>
      <c r="N71" s="3085" t="s">
        <v>400</v>
      </c>
      <c r="O71" s="3085" t="s">
        <v>401</v>
      </c>
      <c r="P71" s="3085" t="s">
        <v>402</v>
      </c>
      <c r="Q71" s="2029"/>
      <c r="R71" s="2029"/>
      <c r="S71" s="2029"/>
      <c r="T71" s="2029"/>
      <c r="U71" s="2029"/>
      <c r="V71" s="2029"/>
    </row>
    <row r="72" spans="1:22" ht="12" customHeight="1">
      <c r="A72" s="359" t="s">
        <v>406</v>
      </c>
      <c r="B72" s="3912" t="s">
        <v>407</v>
      </c>
      <c r="C72" s="3924"/>
      <c r="D72" s="358">
        <f ca="1">C86</f>
        <v>4632</v>
      </c>
      <c r="E72" s="73" t="s">
        <v>408</v>
      </c>
      <c r="F72" s="360">
        <f>'数据-取费表'!B41</f>
        <v>5.6000000000000001E-2</v>
      </c>
      <c r="G72" s="361"/>
      <c r="H72" s="1298"/>
      <c r="I72" s="1292"/>
      <c r="J72" s="2036"/>
      <c r="K72" s="1977">
        <v>1</v>
      </c>
      <c r="L72" s="3875" t="s">
        <v>405</v>
      </c>
      <c r="M72" s="3875"/>
      <c r="N72" s="1296">
        <f ca="1">D66</f>
        <v>4744</v>
      </c>
      <c r="O72" s="1860" t="str">
        <f>E66</f>
        <v>销售额×税（费）率</v>
      </c>
      <c r="P72" s="1297">
        <f>F66</f>
        <v>5.6000000000000001E-2</v>
      </c>
      <c r="Q72" s="2029"/>
      <c r="R72" s="2029"/>
      <c r="S72" s="2029"/>
      <c r="T72" s="2029"/>
      <c r="U72" s="2029"/>
      <c r="V72" s="2029"/>
    </row>
    <row r="73" spans="1:22" ht="24" customHeight="1">
      <c r="A73" s="3901" t="s">
        <v>410</v>
      </c>
      <c r="B73" s="3902"/>
      <c r="C73" s="3902"/>
      <c r="D73" s="362">
        <f>IF(H73="个人住宅",0,ROUND(D63*I73,0))</f>
        <v>0</v>
      </c>
      <c r="E73" s="17" t="s">
        <v>411</v>
      </c>
      <c r="F73" s="360" t="str">
        <f>IF(H73="正常",I73,"免征")</f>
        <v>免征</v>
      </c>
      <c r="G73" s="361"/>
      <c r="H73" s="191" t="s">
        <v>2458</v>
      </c>
      <c r="I73" s="360">
        <f>'数据-取费表'!B49</f>
        <v>5.0000000000000001E-4</v>
      </c>
      <c r="J73" s="2036"/>
      <c r="K73" s="1977">
        <v>2</v>
      </c>
      <c r="L73" s="3875" t="s">
        <v>409</v>
      </c>
      <c r="M73" s="3875"/>
      <c r="N73" s="1296">
        <f t="shared" ref="N73:P74" si="1">D73</f>
        <v>0</v>
      </c>
      <c r="O73" s="1860" t="str">
        <f t="shared" si="1"/>
        <v>销售额×税（费）率</v>
      </c>
      <c r="P73" s="1297" t="str">
        <f t="shared" si="1"/>
        <v>免征</v>
      </c>
      <c r="Q73" s="2029"/>
      <c r="R73" s="2029"/>
      <c r="S73" s="2029"/>
      <c r="T73" s="2029"/>
      <c r="U73" s="2029"/>
      <c r="V73" s="2029"/>
    </row>
    <row r="74" spans="1:22" ht="25.2">
      <c r="A74" s="3901" t="s">
        <v>414</v>
      </c>
      <c r="B74" s="3902"/>
      <c r="C74" s="3902"/>
      <c r="D74" s="362">
        <f ca="1">IF(H74="个人住宅",D75,D76)</f>
        <v>49693</v>
      </c>
      <c r="E74" s="17" t="s">
        <v>415</v>
      </c>
      <c r="F74" s="360" t="str">
        <f>IF(H74="正常",F76,"免征")</f>
        <v>——</v>
      </c>
      <c r="G74" s="983" t="s">
        <v>416</v>
      </c>
      <c r="H74" s="363" t="s">
        <v>412</v>
      </c>
      <c r="I74" s="42"/>
      <c r="J74" s="2036"/>
      <c r="K74" s="1977">
        <v>3</v>
      </c>
      <c r="L74" s="3875" t="s">
        <v>413</v>
      </c>
      <c r="M74" s="3875"/>
      <c r="N74" s="1296">
        <f t="shared" ca="1" si="1"/>
        <v>49693</v>
      </c>
      <c r="O74" s="1860" t="str">
        <f t="shared" si="1"/>
        <v>增值额×税（费）率</v>
      </c>
      <c r="P74" s="1299" t="str">
        <f t="shared" si="1"/>
        <v>——</v>
      </c>
      <c r="Q74" s="2029"/>
      <c r="R74" s="2029"/>
      <c r="S74" s="2029"/>
      <c r="T74" s="2029"/>
      <c r="U74" s="2029"/>
      <c r="V74" s="2029"/>
    </row>
    <row r="75" spans="1:22" ht="24">
      <c r="A75" s="359" t="s">
        <v>417</v>
      </c>
      <c r="B75" s="3882" t="s">
        <v>418</v>
      </c>
      <c r="C75" s="3883"/>
      <c r="D75" s="364">
        <v>0</v>
      </c>
      <c r="E75" s="41" t="s">
        <v>419</v>
      </c>
      <c r="F75" s="365"/>
      <c r="G75" s="361"/>
      <c r="H75" s="42"/>
      <c r="I75" s="42"/>
      <c r="J75" s="2036"/>
      <c r="K75" s="3078">
        <f>IF(H77="非个人房产","",4)</f>
        <v>4</v>
      </c>
      <c r="L75" s="3875" t="str">
        <f>IF(H77="非个人房产","——","个人所得税")</f>
        <v>个人所得税</v>
      </c>
      <c r="M75" s="3875"/>
      <c r="N75" s="1300">
        <f ca="1">D77</f>
        <v>890</v>
      </c>
      <c r="O75" s="1873" t="str">
        <f>E77</f>
        <v>销售额×税（费）率</v>
      </c>
      <c r="P75" s="1301">
        <f>F77</f>
        <v>0.01</v>
      </c>
      <c r="Q75" s="2029"/>
      <c r="R75" s="2029"/>
      <c r="S75" s="2029"/>
      <c r="T75" s="2029"/>
      <c r="U75" s="2029"/>
      <c r="V75" s="2029"/>
    </row>
    <row r="76" spans="1:22" ht="25.2">
      <c r="A76" s="359" t="s">
        <v>395</v>
      </c>
      <c r="B76" s="3882" t="s">
        <v>421</v>
      </c>
      <c r="C76" s="3923"/>
      <c r="D76" s="362">
        <f ca="1">IF(H76="转让取得",C99,C115)</f>
        <v>49693</v>
      </c>
      <c r="E76" s="17" t="s">
        <v>422</v>
      </c>
      <c r="F76" s="53" t="s">
        <v>21</v>
      </c>
      <c r="G76" s="361"/>
      <c r="H76" s="363" t="s">
        <v>423</v>
      </c>
      <c r="I76" s="42"/>
      <c r="J76" s="2036"/>
      <c r="K76" s="3078" t="str">
        <f>IF(项目基本情况!K6="上海银行",IF(K75="",4,K75+1),"")</f>
        <v/>
      </c>
      <c r="L76" s="3863" t="str">
        <f>IF(项目基本情况!K6="上海银行","其他处置费用","")</f>
        <v/>
      </c>
      <c r="M76" s="3864"/>
      <c r="N76" s="1296" t="str">
        <f>IF(项目基本情况!K6="上海银行",N89,"")</f>
        <v/>
      </c>
      <c r="O76" s="3865" t="str">
        <f>IF(项目基本情况!K6="上海银行","包含处置中涉及的律师、诉讼、拍卖、评估等费用","")</f>
        <v/>
      </c>
      <c r="P76" s="3866"/>
      <c r="Q76" s="2029"/>
      <c r="R76" s="2029"/>
      <c r="S76" s="2029"/>
      <c r="T76" s="2029"/>
      <c r="U76" s="2029"/>
      <c r="V76" s="2029"/>
    </row>
    <row r="77" spans="1:22" ht="27" thickBot="1">
      <c r="A77" s="3893" t="s">
        <v>425</v>
      </c>
      <c r="B77" s="3894"/>
      <c r="C77" s="3894"/>
      <c r="D77" s="366">
        <f ca="1">IF(H77="非个人房产","——",IF(H77="个人住宅",0,ROUND(D63*I77,0)))</f>
        <v>890</v>
      </c>
      <c r="E77" s="367" t="str">
        <f>IF(H77="非个人房产","——","销售额×税（费）率")</f>
        <v>销售额×税（费）率</v>
      </c>
      <c r="F77" s="368">
        <f>IF(H77="非个人房产","——",IF(H77="个人住宅","免征",I77))</f>
        <v>0.01</v>
      </c>
      <c r="G77" s="984" t="s">
        <v>416</v>
      </c>
      <c r="H77" s="363" t="s">
        <v>2885</v>
      </c>
      <c r="I77" s="369">
        <v>0.01</v>
      </c>
      <c r="J77" s="2036"/>
      <c r="K77" s="3889">
        <f>IF(AND(K75="",K76=""),4,IF(项目基本情况!K6="上海银行",K76+1,K75+1))</f>
        <v>5</v>
      </c>
      <c r="L77" s="3875" t="s">
        <v>2886</v>
      </c>
      <c r="M77" s="3084" t="s">
        <v>420</v>
      </c>
      <c r="N77" s="1302"/>
      <c r="O77" s="1303">
        <f ca="1">SUMIF(N72:N76,"&lt;9e307")</f>
        <v>55327</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889"/>
      <c r="L78" s="3875"/>
      <c r="M78" s="3084" t="s">
        <v>424</v>
      </c>
      <c r="N78" s="1302"/>
      <c r="O78" s="1303" t="str">
        <f ca="1">NUMBERSTRING(INT(O77*10000),2)&amp;"元整"</f>
        <v>伍亿伍仟叁佰贰拾柒万元整</v>
      </c>
      <c r="P78" s="1304"/>
      <c r="Q78" s="2029"/>
      <c r="R78" s="2029"/>
      <c r="S78" s="2029"/>
      <c r="T78" s="2029"/>
      <c r="U78" s="2029"/>
      <c r="V78" s="2029"/>
    </row>
    <row r="79" spans="1:22" ht="13.8" thickBot="1">
      <c r="A79" s="3879" t="s">
        <v>426</v>
      </c>
      <c r="B79" s="3879"/>
      <c r="C79" s="3879"/>
      <c r="D79" s="3879"/>
      <c r="E79" s="3879"/>
      <c r="F79" s="42"/>
      <c r="G79" s="42"/>
      <c r="H79" s="1003"/>
      <c r="I79" s="311"/>
      <c r="J79" s="2036"/>
      <c r="K79" s="3873">
        <f>K77+1</f>
        <v>6</v>
      </c>
      <c r="L79" s="3875" t="s">
        <v>2887</v>
      </c>
      <c r="M79" s="3084" t="s">
        <v>420</v>
      </c>
      <c r="N79" s="1302"/>
      <c r="O79" s="1303" t="e">
        <f ca="1">N69-O77</f>
        <v>#VALUE!</v>
      </c>
      <c r="P79" s="1304"/>
      <c r="Q79" s="2029"/>
      <c r="R79" s="2029"/>
      <c r="S79" s="2029"/>
      <c r="T79" s="2029"/>
      <c r="U79" s="2029"/>
      <c r="V79" s="2029"/>
    </row>
    <row r="80" spans="1:22" ht="13.2">
      <c r="A80" s="3880" t="s">
        <v>427</v>
      </c>
      <c r="B80" s="3881"/>
      <c r="C80" s="994"/>
      <c r="D80" s="994" t="s">
        <v>428</v>
      </c>
      <c r="E80" s="370" t="s">
        <v>429</v>
      </c>
      <c r="F80" s="42"/>
      <c r="G80" s="42"/>
      <c r="H80" s="1003"/>
      <c r="I80" s="311"/>
      <c r="J80" s="2029"/>
      <c r="K80" s="3874"/>
      <c r="L80" s="3875"/>
      <c r="M80" s="3084" t="s">
        <v>424</v>
      </c>
      <c r="N80" s="1302"/>
      <c r="O80" s="1303" t="e">
        <f ca="1">NUMBERSTRING(INT(O79*10000),2)&amp;"元整"</f>
        <v>#VALUE!</v>
      </c>
      <c r="P80" s="1304"/>
      <c r="Q80" s="2029"/>
      <c r="R80" s="2029"/>
      <c r="S80" s="2029"/>
      <c r="T80" s="2029"/>
      <c r="U80" s="2029"/>
      <c r="V80" s="2029"/>
    </row>
    <row r="81" spans="1:26" ht="13.8" thickBot="1">
      <c r="A81" s="381" t="s">
        <v>1823</v>
      </c>
      <c r="B81" s="371" t="s">
        <v>430</v>
      </c>
      <c r="C81" s="372">
        <f ca="1">ROUND((C82+C83)/(1+'数据-取费表'!C42),0)</f>
        <v>84718</v>
      </c>
      <c r="D81" s="373"/>
      <c r="E81" s="374"/>
      <c r="F81" s="42"/>
      <c r="G81" s="42"/>
      <c r="H81" s="1003"/>
      <c r="I81" s="311"/>
      <c r="J81" s="2029"/>
      <c r="K81" s="3078">
        <f>K79+1</f>
        <v>7</v>
      </c>
      <c r="L81" s="3887" t="s">
        <v>2888</v>
      </c>
      <c r="M81" s="3888"/>
      <c r="N81" s="1306"/>
      <c r="O81" s="1307" t="e">
        <f ca="1">ROUND(O79*10000/'数据-汇总表'!E3,0)</f>
        <v>#VALUE!</v>
      </c>
      <c r="P81" s="1308"/>
      <c r="Q81" s="2029"/>
      <c r="R81" s="2029"/>
      <c r="S81" s="2029"/>
      <c r="T81" s="2029"/>
      <c r="U81" s="2029"/>
      <c r="V81" s="2029"/>
    </row>
    <row r="82" spans="1:26" ht="13.8" thickTop="1">
      <c r="A82" s="375" t="s">
        <v>1824</v>
      </c>
      <c r="B82" s="376" t="s">
        <v>431</v>
      </c>
      <c r="C82" s="377">
        <f ca="1">D63</f>
        <v>88954</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432</v>
      </c>
      <c r="C83" s="380">
        <v>0</v>
      </c>
      <c r="D83" s="378"/>
      <c r="E83" s="379"/>
      <c r="F83" s="42"/>
      <c r="G83" s="42"/>
      <c r="H83" s="1003"/>
      <c r="I83" s="311"/>
      <c r="J83" s="2029"/>
      <c r="K83" s="3862"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25.2">
      <c r="A84" s="381" t="s">
        <v>1826</v>
      </c>
      <c r="B84" s="382" t="s">
        <v>433</v>
      </c>
      <c r="C84" s="383">
        <v>2000</v>
      </c>
      <c r="D84" s="384" t="s">
        <v>19</v>
      </c>
      <c r="E84" s="3122" t="s">
        <v>2940</v>
      </c>
      <c r="F84" s="42"/>
      <c r="G84" s="42"/>
      <c r="H84" s="1003"/>
      <c r="I84" s="311"/>
      <c r="J84" s="2029"/>
      <c r="K84" s="3862"/>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3.2">
      <c r="A85" s="381" t="s">
        <v>1827</v>
      </c>
      <c r="B85" s="382" t="s">
        <v>434</v>
      </c>
      <c r="C85" s="385">
        <f ca="1">C81-C84</f>
        <v>82718</v>
      </c>
      <c r="D85" s="378" t="s">
        <v>19</v>
      </c>
      <c r="E85" s="379"/>
      <c r="F85" s="42"/>
      <c r="G85" s="42"/>
      <c r="H85" s="1003"/>
      <c r="I85" s="311"/>
      <c r="J85" s="2029"/>
      <c r="K85" s="3862"/>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8" thickBot="1">
      <c r="A86" s="386" t="s">
        <v>1828</v>
      </c>
      <c r="B86" s="387" t="s">
        <v>435</v>
      </c>
      <c r="C86" s="388">
        <f ca="1">IF(C85&lt;=0,0,ROUND(C85*D86,0))</f>
        <v>4632</v>
      </c>
      <c r="D86" s="389">
        <f>'数据-取费表'!B41</f>
        <v>5.6000000000000001E-2</v>
      </c>
      <c r="E86" s="390"/>
      <c r="F86" s="42"/>
      <c r="G86" s="42"/>
      <c r="H86" s="1003"/>
      <c r="I86" s="311"/>
      <c r="J86" s="2029"/>
      <c r="K86" s="3862"/>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862"/>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4.4" thickBot="1">
      <c r="A88" s="3915" t="s">
        <v>436</v>
      </c>
      <c r="B88" s="3916"/>
      <c r="C88" s="3916"/>
      <c r="D88" s="3916"/>
      <c r="E88" s="3916"/>
      <c r="F88" s="3916"/>
      <c r="G88" s="3916"/>
      <c r="H88" s="3916"/>
      <c r="I88" s="1315"/>
      <c r="J88" s="2037"/>
      <c r="K88" s="3862"/>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3.8">
      <c r="A89" s="3880" t="s">
        <v>427</v>
      </c>
      <c r="B89" s="3881"/>
      <c r="C89" s="994"/>
      <c r="D89" s="994" t="s">
        <v>428</v>
      </c>
      <c r="E89" s="391" t="s">
        <v>437</v>
      </c>
      <c r="F89" s="392"/>
      <c r="G89" s="392"/>
      <c r="H89" s="393"/>
      <c r="I89" s="1316"/>
      <c r="J89" s="2039"/>
      <c r="K89" s="3862"/>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3.8">
      <c r="A90" s="381" t="s">
        <v>1823</v>
      </c>
      <c r="B90" s="382" t="s">
        <v>438</v>
      </c>
      <c r="C90" s="385">
        <f ca="1">ROUND(D63/(1+'数据-取费表'!C42),0)</f>
        <v>84718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439</v>
      </c>
      <c r="C91" s="385">
        <f ca="1">C92+C96</f>
        <v>3069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912" t="s">
        <v>446</v>
      </c>
      <c r="F94" s="3913"/>
      <c r="G94" s="3913"/>
      <c r="H94" s="391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508</v>
      </c>
      <c r="D96" s="406">
        <f>'数据-取费表'!B43</f>
        <v>6.000000000000001E-3</v>
      </c>
      <c r="E96" s="3903" t="s">
        <v>2431</v>
      </c>
      <c r="F96" s="3904"/>
      <c r="G96" s="3904"/>
      <c r="H96" s="390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1835</v>
      </c>
      <c r="B97" s="382" t="s">
        <v>450</v>
      </c>
      <c r="C97" s="385">
        <f ca="1">C90-C91</f>
        <v>81649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26.604431410883024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1837</v>
      </c>
      <c r="B99" s="387" t="s">
        <v>452</v>
      </c>
      <c r="C99" s="408">
        <f ca="1">ROUND(IF(C97&lt;=0,0,IF(C98&gt;=200%,C97*60%-C91*35%,IF(C98&gt;=100%,C97*50%-C91*15%,IF(C98&gt;=50%,C97*40%-C91*5%,IF(C98&lt;50%,C97*30%,0))))),0)</f>
        <v>47915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915" t="s">
        <v>453</v>
      </c>
      <c r="B101" s="3916"/>
      <c r="C101" s="3916"/>
      <c r="D101" s="3916"/>
      <c r="E101" s="3916"/>
      <c r="F101" s="3916"/>
      <c r="G101" s="3916"/>
      <c r="H101" s="391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880" t="s">
        <v>427</v>
      </c>
      <c r="B102" s="3881"/>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438</v>
      </c>
      <c r="C103" s="385">
        <f ca="1">ROUND(D63/(1+'数据-取费表'!C42),0)</f>
        <v>84718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439</v>
      </c>
      <c r="C104" s="385">
        <f ca="1">IF(H106="仅含出让金",C105+C108+C109+C110+C111+C112,C105+C109+C110+C111+C112)</f>
        <v>1198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906" t="s">
        <v>461</v>
      </c>
      <c r="F109" s="3904"/>
      <c r="G109" s="3904"/>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906" t="s">
        <v>463</v>
      </c>
      <c r="F110" s="3904"/>
      <c r="G110" s="3904"/>
      <c r="H110" s="390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508</v>
      </c>
      <c r="D111" s="406">
        <f>'数据-取费表'!B43</f>
        <v>6.000000000000001E-3</v>
      </c>
      <c r="E111" s="3903" t="s">
        <v>2431</v>
      </c>
      <c r="F111" s="3904"/>
      <c r="G111" s="3904"/>
      <c r="H111" s="390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906" t="s">
        <v>2456</v>
      </c>
      <c r="F112" s="3904"/>
      <c r="G112" s="3904"/>
      <c r="H112" s="390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1835</v>
      </c>
      <c r="B113" s="382" t="s">
        <v>450</v>
      </c>
      <c r="C113" s="385">
        <f ca="1">ROUND(C103-C104,0)</f>
        <v>83520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69.716193656093495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1837</v>
      </c>
      <c r="B115" s="387" t="s">
        <v>452</v>
      </c>
      <c r="C115" s="408">
        <f ca="1">ROUND(IF(C113&lt;=0,0,IF(C114&gt;=200%,C113*60%-C104*35%,IF(C114&gt;=100%,C113*50%-C104*15%,IF(C114&gt;=50%,C113*40%-C104*5%,IF(C114&lt;50%,C113*30%,0))))),0)</f>
        <v>49693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4"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108">
    <cfRule type="expression" dxfId="164" priority="3" stopIfTrue="1">
      <formula>$H$106&lt;&gt;"仅含出让金"</formula>
    </cfRule>
  </conditionalFormatting>
  <conditionalFormatting sqref="C109">
    <cfRule type="expression" dxfId="163" priority="2" stopIfTrue="1">
      <formula>$H$109="由企业提供"</formula>
    </cfRule>
  </conditionalFormatting>
  <conditionalFormatting sqref="I33">
    <cfRule type="expression" dxfId="16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abSelected="1" workbookViewId="0">
      <selection activeCell="A16" sqref="A16:G17"/>
    </sheetView>
  </sheetViews>
  <sheetFormatPr defaultRowHeight="14.4"/>
  <cols>
    <col min="2" max="2" width="9.109375" bestFit="1" customWidth="1"/>
    <col min="3" max="3" width="24.44140625" customWidth="1"/>
    <col min="4" max="4" width="14.77734375" customWidth="1"/>
    <col min="5" max="6" width="13.44140625" customWidth="1"/>
    <col min="7" max="7" width="52.21875" customWidth="1"/>
    <col min="9" max="9" width="19.4414062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3553</v>
      </c>
      <c r="C4" s="3537" t="s">
        <v>3554</v>
      </c>
      <c r="D4" s="3538" t="s">
        <v>3556</v>
      </c>
      <c r="E4" s="3539" t="s">
        <v>3606</v>
      </c>
      <c r="F4" s="3539" t="s">
        <v>3607</v>
      </c>
      <c r="G4" s="3531" t="s">
        <v>3555</v>
      </c>
      <c r="H4" s="3469"/>
      <c r="I4" s="3460"/>
      <c r="J4" s="3460"/>
      <c r="K4" s="3460"/>
      <c r="L4" s="3460"/>
      <c r="M4" s="3460"/>
      <c r="N4" s="3460"/>
      <c r="O4" s="3460"/>
      <c r="P4" s="3460"/>
      <c r="Q4" s="3461"/>
      <c r="R4" s="3460"/>
    </row>
    <row r="5" spans="1:20" s="3190" customFormat="1" ht="22.5" customHeight="1" thickTop="1">
      <c r="A5" s="3467"/>
      <c r="B5" s="3194" t="s">
        <v>3586</v>
      </c>
      <c r="C5" s="3540" t="s">
        <v>3588</v>
      </c>
      <c r="D5" s="3194" t="s">
        <v>3590</v>
      </c>
      <c r="E5" s="3541">
        <f ca="1">ROUND(结果表!C19*0.3+结果表!D19*0.7,0)</f>
        <v>148257</v>
      </c>
      <c r="F5" s="3541" t="s">
        <v>3608</v>
      </c>
      <c r="G5" s="3532" t="s">
        <v>3542</v>
      </c>
      <c r="H5" s="3470"/>
      <c r="I5" s="3221">
        <f ca="1">E5*10000/'数据-基础表'!A3</f>
        <v>8139.1302285541024</v>
      </c>
      <c r="J5" s="3221"/>
      <c r="K5" s="3221"/>
      <c r="L5" s="3221"/>
      <c r="M5" s="3221"/>
      <c r="N5" s="3221"/>
      <c r="O5" s="3221"/>
      <c r="P5" s="3223"/>
      <c r="Q5" s="3221"/>
      <c r="R5" s="3224"/>
      <c r="T5"/>
    </row>
    <row r="6" spans="1:20" s="3190" customFormat="1" ht="22.5" customHeight="1">
      <c r="A6" s="3467"/>
      <c r="B6" s="3194" t="s">
        <v>3587</v>
      </c>
      <c r="C6" s="3540" t="s">
        <v>3589</v>
      </c>
      <c r="D6" s="3194" t="s">
        <v>3591</v>
      </c>
      <c r="E6" s="3541" t="s">
        <v>3608</v>
      </c>
      <c r="F6" s="3541">
        <f ca="1">ROUND(('基准地价 (划拨)'!E29*0.3+'成本逼近法 (划拨)'!B2*0.7)-'基准地价 (划拨)'!E30,0)</f>
        <v>9011</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3557</v>
      </c>
      <c r="D7" s="3198" t="s">
        <v>3609</v>
      </c>
      <c r="E7" s="3197">
        <f>ROUND(('001汇总表'!F39+'001汇总表'!F46)/10000,2)</f>
        <v>6233.76</v>
      </c>
      <c r="F7" s="3197" t="s">
        <v>3608</v>
      </c>
      <c r="G7" s="3533" t="s">
        <v>3545</v>
      </c>
      <c r="H7" s="3471"/>
      <c r="I7" s="3199">
        <v>6233.57</v>
      </c>
      <c r="J7" s="3199"/>
      <c r="K7" s="3199"/>
      <c r="L7" s="3199"/>
      <c r="M7" s="3199"/>
      <c r="N7" s="3199"/>
      <c r="O7" s="3199"/>
      <c r="P7" s="3200"/>
      <c r="Q7" s="3199"/>
      <c r="R7" s="3208"/>
      <c r="T7"/>
    </row>
    <row r="8" spans="1:20" s="3190" customFormat="1" ht="41.25" customHeight="1">
      <c r="A8" s="3467"/>
      <c r="B8" s="3193">
        <v>3</v>
      </c>
      <c r="C8" s="3542" t="s">
        <v>3558</v>
      </c>
      <c r="D8" s="3194" t="s">
        <v>3551</v>
      </c>
      <c r="E8" s="3193">
        <f>'附属物-墙地泉'!G10+'附属物-树木'!F44</f>
        <v>376.76</v>
      </c>
      <c r="F8" s="3193" t="s">
        <v>3608</v>
      </c>
      <c r="G8" s="3534" t="s">
        <v>3546</v>
      </c>
      <c r="H8" s="3470"/>
      <c r="I8" s="3221"/>
      <c r="J8" s="3221"/>
      <c r="K8" s="3221"/>
      <c r="L8" s="3221"/>
      <c r="M8" s="3221"/>
      <c r="N8" s="3221"/>
      <c r="O8" s="3221"/>
      <c r="P8" s="3223"/>
      <c r="Q8" s="3221"/>
      <c r="R8" s="3224"/>
      <c r="T8"/>
    </row>
    <row r="9" spans="1:20" s="3190" customFormat="1" ht="45.75" customHeight="1">
      <c r="A9" s="3468"/>
      <c r="B9" s="3197">
        <v>4</v>
      </c>
      <c r="C9" s="3472" t="s">
        <v>3559</v>
      </c>
      <c r="D9" s="3198" t="s">
        <v>3551</v>
      </c>
      <c r="E9" s="3197">
        <v>9416.36</v>
      </c>
      <c r="F9" s="3197" t="s">
        <v>3608</v>
      </c>
      <c r="G9" s="3533" t="s">
        <v>3547</v>
      </c>
      <c r="H9" s="3471"/>
      <c r="I9" s="3199"/>
      <c r="J9" s="3199"/>
      <c r="K9" s="3199"/>
      <c r="L9" s="3199"/>
      <c r="M9" s="3199"/>
      <c r="N9" s="3199"/>
      <c r="O9" s="3199"/>
      <c r="P9" s="3200"/>
      <c r="Q9" s="3199"/>
      <c r="R9" s="3208"/>
      <c r="T9"/>
    </row>
    <row r="10" spans="1:20" s="3190" customFormat="1" ht="67.5" customHeight="1">
      <c r="A10" s="3467"/>
      <c r="B10" s="3193">
        <v>5</v>
      </c>
      <c r="C10" s="3542" t="s">
        <v>3560</v>
      </c>
      <c r="D10" s="3194" t="s">
        <v>3551</v>
      </c>
      <c r="E10" s="3193">
        <f>停产停业损失补偿!G9</f>
        <v>4109.3599999999997</v>
      </c>
      <c r="F10" s="3193" t="s">
        <v>3608</v>
      </c>
      <c r="G10" s="3534" t="s">
        <v>3550</v>
      </c>
      <c r="H10" s="3470"/>
      <c r="I10" s="3221"/>
      <c r="J10" s="3221"/>
      <c r="K10" s="3221"/>
      <c r="L10" s="3221"/>
      <c r="M10" s="3221"/>
      <c r="N10" s="3221"/>
      <c r="O10" s="3221"/>
      <c r="P10" s="3223"/>
      <c r="Q10" s="3221"/>
      <c r="R10" s="3224"/>
      <c r="T10"/>
    </row>
    <row r="11" spans="1:20" s="3190" customFormat="1" ht="84" customHeight="1" thickBot="1">
      <c r="A11" s="3468"/>
      <c r="B11" s="3197">
        <v>6</v>
      </c>
      <c r="C11" s="3472" t="s">
        <v>3543</v>
      </c>
      <c r="D11" s="3198" t="s">
        <v>3561</v>
      </c>
      <c r="E11" s="3197">
        <f>搬迁费!D5</f>
        <v>313.58</v>
      </c>
      <c r="F11" s="3197" t="s">
        <v>3608</v>
      </c>
      <c r="G11" s="3535" t="s">
        <v>3549</v>
      </c>
      <c r="H11" s="3471"/>
      <c r="I11" s="3199"/>
      <c r="J11" s="3199"/>
      <c r="K11" s="3199"/>
      <c r="L11" s="3199"/>
      <c r="M11" s="3199"/>
      <c r="N11" s="3199"/>
      <c r="O11" s="3199"/>
      <c r="P11" s="3200"/>
      <c r="Q11" s="3199"/>
      <c r="R11" s="3208"/>
      <c r="T11"/>
    </row>
    <row r="12" spans="1:20" s="3190" customFormat="1" ht="22.5" customHeight="1" thickTop="1" thickBot="1">
      <c r="A12" s="3467"/>
      <c r="B12" s="3543" t="s">
        <v>3552</v>
      </c>
      <c r="C12" s="3544" t="s">
        <v>3544</v>
      </c>
      <c r="D12" s="3545" t="s">
        <v>3610</v>
      </c>
      <c r="E12" s="3543">
        <f ca="1">SUM(E5:E11)</f>
        <v>168706.81999999998</v>
      </c>
      <c r="F12" s="3543">
        <f ca="1">SUM(F6:F11)</f>
        <v>9011</v>
      </c>
      <c r="G12" s="3536" t="s">
        <v>3548</v>
      </c>
      <c r="H12" s="3470"/>
      <c r="I12" s="3221"/>
      <c r="J12" s="3221"/>
      <c r="K12" s="3221"/>
      <c r="L12" s="3221"/>
      <c r="M12" s="3221"/>
      <c r="N12" s="3221"/>
      <c r="O12" s="3221"/>
      <c r="P12" s="3223"/>
      <c r="Q12" s="3221"/>
      <c r="R12" s="3224"/>
      <c r="T12"/>
    </row>
    <row r="13" spans="1:20" ht="20.100000000000001" customHeight="1"/>
    <row r="14" spans="1:20" ht="20.100000000000001" customHeight="1">
      <c r="E14">
        <f ca="1">ROUND(E12*10000/182153.37,0)</f>
        <v>9262</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3570</v>
      </c>
      <c r="C19" s="3478" t="s">
        <v>3571</v>
      </c>
      <c r="D19" s="3479" t="s">
        <v>3572</v>
      </c>
      <c r="E19" s="3480" t="s">
        <v>3573</v>
      </c>
      <c r="F19" s="3528"/>
    </row>
    <row r="20" spans="2:13" ht="56.25" customHeight="1" thickTop="1">
      <c r="B20" s="3482" t="s">
        <v>3566</v>
      </c>
      <c r="C20" s="3483" t="s">
        <v>3576</v>
      </c>
      <c r="D20" s="3483">
        <v>54.943399999999997</v>
      </c>
      <c r="E20" s="3484">
        <f>ROUND(2699.07597636841,0)</f>
        <v>2699</v>
      </c>
      <c r="F20" s="3529"/>
    </row>
    <row r="21" spans="2:13" ht="56.25" customHeight="1">
      <c r="B21" s="3485" t="s">
        <v>3567</v>
      </c>
      <c r="C21" s="3472" t="s">
        <v>3575</v>
      </c>
      <c r="D21" s="3486">
        <v>63.74803</v>
      </c>
      <c r="E21" s="3487">
        <v>4260</v>
      </c>
      <c r="F21" s="3530"/>
    </row>
    <row r="22" spans="2:13" ht="56.25" customHeight="1" thickBot="1">
      <c r="B22" s="3488" t="s">
        <v>3568</v>
      </c>
      <c r="C22" s="3481" t="s">
        <v>3574</v>
      </c>
      <c r="D22" s="3489">
        <v>15.28</v>
      </c>
      <c r="E22" s="3490">
        <v>10901</v>
      </c>
      <c r="F22" s="3529"/>
    </row>
    <row r="23" spans="2:13" ht="15" thickBot="1"/>
    <row r="24" spans="2:13" ht="16.2" thickBot="1">
      <c r="H24" s="3938" t="s">
        <v>2378</v>
      </c>
      <c r="I24" s="3938" t="s">
        <v>3577</v>
      </c>
      <c r="J24" s="3940" t="s">
        <v>3578</v>
      </c>
      <c r="K24" s="3941"/>
      <c r="L24" s="3942"/>
      <c r="M24" s="3938" t="s">
        <v>3579</v>
      </c>
    </row>
    <row r="25" spans="2:13" ht="16.2" thickBot="1">
      <c r="H25" s="3939"/>
      <c r="I25" s="3939"/>
      <c r="J25" s="3491" t="s">
        <v>3008</v>
      </c>
      <c r="K25" s="3492" t="s">
        <v>3580</v>
      </c>
      <c r="L25" s="3492" t="s">
        <v>24</v>
      </c>
      <c r="M25" s="3939"/>
    </row>
    <row r="26" spans="2:13" ht="31.8" thickBot="1">
      <c r="H26" s="3493">
        <v>36892</v>
      </c>
      <c r="I26" s="3494" t="s">
        <v>3581</v>
      </c>
      <c r="J26" s="3495">
        <v>43120</v>
      </c>
      <c r="K26" s="3495">
        <v>2748</v>
      </c>
      <c r="L26" s="3495">
        <v>45868</v>
      </c>
      <c r="M26" s="3494" t="s">
        <v>951</v>
      </c>
    </row>
    <row r="27" spans="2:13" ht="359.4" thickBot="1">
      <c r="H27" s="3493">
        <v>36893</v>
      </c>
      <c r="I27" s="3494" t="s">
        <v>3183</v>
      </c>
      <c r="J27" s="3495">
        <v>118395</v>
      </c>
      <c r="K27" s="3495">
        <v>7731</v>
      </c>
      <c r="L27" s="3495">
        <v>126126</v>
      </c>
      <c r="M27" s="3494" t="s">
        <v>3582</v>
      </c>
    </row>
    <row r="45" spans="9:12" ht="5.25" customHeight="1" thickBot="1"/>
    <row r="46" spans="9:12" ht="15" hidden="1" thickBot="1"/>
    <row r="47" spans="9:12" ht="20.25" customHeight="1">
      <c r="I47" s="3943" t="s">
        <v>3577</v>
      </c>
      <c r="J47" s="3945" t="s">
        <v>3578</v>
      </c>
      <c r="K47" s="3946"/>
      <c r="L47" s="3947"/>
    </row>
    <row r="48" spans="9:12" ht="20.25" customHeight="1" thickBot="1">
      <c r="I48" s="3944"/>
      <c r="J48" s="3504" t="s">
        <v>3008</v>
      </c>
      <c r="K48" s="3505" t="s">
        <v>3580</v>
      </c>
      <c r="L48" s="3506" t="s">
        <v>24</v>
      </c>
    </row>
    <row r="49" spans="9:12" ht="36" customHeight="1">
      <c r="I49" s="3502" t="s">
        <v>3581</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F28" sqref="F28"/>
    </sheetView>
  </sheetViews>
  <sheetFormatPr defaultRowHeight="15.6"/>
  <cols>
    <col min="1" max="1" width="9" style="3507"/>
    <col min="2" max="2" width="9" style="3507" hidden="1" customWidth="1"/>
    <col min="3" max="3" width="20.44140625" style="3507" customWidth="1"/>
    <col min="4" max="4" width="23.88671875" style="3507" customWidth="1"/>
    <col min="5" max="5" width="24.6640625" style="3516" hidden="1" customWidth="1"/>
    <col min="6" max="6" width="23.44140625" style="3507" customWidth="1"/>
    <col min="7" max="7" width="12.88671875" style="3507" hidden="1" customWidth="1"/>
    <col min="8" max="8" width="14.109375" style="3507" hidden="1" customWidth="1"/>
    <col min="9" max="9" width="15.33203125" style="3507" hidden="1" customWidth="1"/>
    <col min="10" max="10" width="16" style="3507" hidden="1" customWidth="1"/>
    <col min="11" max="11" width="16.44140625" style="3507" hidden="1" customWidth="1"/>
    <col min="12" max="12" width="7.109375" style="3507" hidden="1" customWidth="1"/>
    <col min="13" max="13" width="12.77734375" style="3507" bestFit="1" customWidth="1"/>
    <col min="14" max="15" width="9" style="3507"/>
    <col min="16" max="16" width="9.33203125" style="3507" bestFit="1" customWidth="1"/>
    <col min="17" max="17" width="9.44140625" style="3507" bestFit="1" customWidth="1"/>
    <col min="18" max="18" width="15" style="3507" bestFit="1" customWidth="1"/>
    <col min="19" max="257" width="9" style="3507"/>
    <col min="258" max="258" width="0" style="3507" hidden="1" customWidth="1"/>
    <col min="259" max="259" width="20.44140625" style="3507" customWidth="1"/>
    <col min="260" max="260" width="23.88671875" style="3507" customWidth="1"/>
    <col min="261" max="261" width="0" style="3507" hidden="1" customWidth="1"/>
    <col min="262" max="262" width="23.44140625" style="3507" customWidth="1"/>
    <col min="263" max="268" width="0" style="3507" hidden="1" customWidth="1"/>
    <col min="269" max="269" width="12.77734375" style="3507" bestFit="1" customWidth="1"/>
    <col min="270" max="271" width="9" style="3507"/>
    <col min="272" max="272" width="9.33203125" style="3507" bestFit="1" customWidth="1"/>
    <col min="273" max="513" width="9" style="3507"/>
    <col min="514" max="514" width="0" style="3507" hidden="1" customWidth="1"/>
    <col min="515" max="515" width="20.44140625" style="3507" customWidth="1"/>
    <col min="516" max="516" width="23.88671875" style="3507" customWidth="1"/>
    <col min="517" max="517" width="0" style="3507" hidden="1" customWidth="1"/>
    <col min="518" max="518" width="23.44140625" style="3507" customWidth="1"/>
    <col min="519" max="524" width="0" style="3507" hidden="1" customWidth="1"/>
    <col min="525" max="525" width="12.77734375" style="3507" bestFit="1" customWidth="1"/>
    <col min="526" max="527" width="9" style="3507"/>
    <col min="528" max="528" width="9.33203125" style="3507" bestFit="1" customWidth="1"/>
    <col min="529" max="769" width="9" style="3507"/>
    <col min="770" max="770" width="0" style="3507" hidden="1" customWidth="1"/>
    <col min="771" max="771" width="20.44140625" style="3507" customWidth="1"/>
    <col min="772" max="772" width="23.88671875" style="3507" customWidth="1"/>
    <col min="773" max="773" width="0" style="3507" hidden="1" customWidth="1"/>
    <col min="774" max="774" width="23.44140625" style="3507" customWidth="1"/>
    <col min="775" max="780" width="0" style="3507" hidden="1" customWidth="1"/>
    <col min="781" max="781" width="12.77734375" style="3507" bestFit="1" customWidth="1"/>
    <col min="782" max="783" width="9" style="3507"/>
    <col min="784" max="784" width="9.33203125" style="3507" bestFit="1" customWidth="1"/>
    <col min="785" max="1025" width="9" style="3507"/>
    <col min="1026" max="1026" width="0" style="3507" hidden="1" customWidth="1"/>
    <col min="1027" max="1027" width="20.44140625" style="3507" customWidth="1"/>
    <col min="1028" max="1028" width="23.88671875" style="3507" customWidth="1"/>
    <col min="1029" max="1029" width="0" style="3507" hidden="1" customWidth="1"/>
    <col min="1030" max="1030" width="23.44140625" style="3507" customWidth="1"/>
    <col min="1031" max="1036" width="0" style="3507" hidden="1" customWidth="1"/>
    <col min="1037" max="1037" width="12.77734375" style="3507" bestFit="1" customWidth="1"/>
    <col min="1038" max="1039" width="9" style="3507"/>
    <col min="1040" max="1040" width="9.33203125" style="3507" bestFit="1" customWidth="1"/>
    <col min="1041" max="1281" width="9" style="3507"/>
    <col min="1282" max="1282" width="0" style="3507" hidden="1" customWidth="1"/>
    <col min="1283" max="1283" width="20.44140625" style="3507" customWidth="1"/>
    <col min="1284" max="1284" width="23.88671875" style="3507" customWidth="1"/>
    <col min="1285" max="1285" width="0" style="3507" hidden="1" customWidth="1"/>
    <col min="1286" max="1286" width="23.44140625" style="3507" customWidth="1"/>
    <col min="1287" max="1292" width="0" style="3507" hidden="1" customWidth="1"/>
    <col min="1293" max="1293" width="12.77734375" style="3507" bestFit="1" customWidth="1"/>
    <col min="1294" max="1295" width="9" style="3507"/>
    <col min="1296" max="1296" width="9.33203125" style="3507" bestFit="1" customWidth="1"/>
    <col min="1297" max="1537" width="9" style="3507"/>
    <col min="1538" max="1538" width="0" style="3507" hidden="1" customWidth="1"/>
    <col min="1539" max="1539" width="20.44140625" style="3507" customWidth="1"/>
    <col min="1540" max="1540" width="23.88671875" style="3507" customWidth="1"/>
    <col min="1541" max="1541" width="0" style="3507" hidden="1" customWidth="1"/>
    <col min="1542" max="1542" width="23.44140625" style="3507" customWidth="1"/>
    <col min="1543" max="1548" width="0" style="3507" hidden="1" customWidth="1"/>
    <col min="1549" max="1549" width="12.77734375" style="3507" bestFit="1" customWidth="1"/>
    <col min="1550" max="1551" width="9" style="3507"/>
    <col min="1552" max="1552" width="9.33203125" style="3507" bestFit="1" customWidth="1"/>
    <col min="1553" max="1793" width="9" style="3507"/>
    <col min="1794" max="1794" width="0" style="3507" hidden="1" customWidth="1"/>
    <col min="1795" max="1795" width="20.44140625" style="3507" customWidth="1"/>
    <col min="1796" max="1796" width="23.88671875" style="3507" customWidth="1"/>
    <col min="1797" max="1797" width="0" style="3507" hidden="1" customWidth="1"/>
    <col min="1798" max="1798" width="23.44140625" style="3507" customWidth="1"/>
    <col min="1799" max="1804" width="0" style="3507" hidden="1" customWidth="1"/>
    <col min="1805" max="1805" width="12.77734375" style="3507" bestFit="1" customWidth="1"/>
    <col min="1806" max="1807" width="9" style="3507"/>
    <col min="1808" max="1808" width="9.33203125" style="3507" bestFit="1" customWidth="1"/>
    <col min="1809" max="2049" width="9" style="3507"/>
    <col min="2050" max="2050" width="0" style="3507" hidden="1" customWidth="1"/>
    <col min="2051" max="2051" width="20.44140625" style="3507" customWidth="1"/>
    <col min="2052" max="2052" width="23.88671875" style="3507" customWidth="1"/>
    <col min="2053" max="2053" width="0" style="3507" hidden="1" customWidth="1"/>
    <col min="2054" max="2054" width="23.44140625" style="3507" customWidth="1"/>
    <col min="2055" max="2060" width="0" style="3507" hidden="1" customWidth="1"/>
    <col min="2061" max="2061" width="12.77734375" style="3507" bestFit="1" customWidth="1"/>
    <col min="2062" max="2063" width="9" style="3507"/>
    <col min="2064" max="2064" width="9.33203125" style="3507" bestFit="1" customWidth="1"/>
    <col min="2065" max="2305" width="9" style="3507"/>
    <col min="2306" max="2306" width="0" style="3507" hidden="1" customWidth="1"/>
    <col min="2307" max="2307" width="20.44140625" style="3507" customWidth="1"/>
    <col min="2308" max="2308" width="23.88671875" style="3507" customWidth="1"/>
    <col min="2309" max="2309" width="0" style="3507" hidden="1" customWidth="1"/>
    <col min="2310" max="2310" width="23.44140625" style="3507" customWidth="1"/>
    <col min="2311" max="2316" width="0" style="3507" hidden="1" customWidth="1"/>
    <col min="2317" max="2317" width="12.77734375" style="3507" bestFit="1" customWidth="1"/>
    <col min="2318" max="2319" width="9" style="3507"/>
    <col min="2320" max="2320" width="9.33203125" style="3507" bestFit="1" customWidth="1"/>
    <col min="2321" max="2561" width="9" style="3507"/>
    <col min="2562" max="2562" width="0" style="3507" hidden="1" customWidth="1"/>
    <col min="2563" max="2563" width="20.44140625" style="3507" customWidth="1"/>
    <col min="2564" max="2564" width="23.88671875" style="3507" customWidth="1"/>
    <col min="2565" max="2565" width="0" style="3507" hidden="1" customWidth="1"/>
    <col min="2566" max="2566" width="23.44140625" style="3507" customWidth="1"/>
    <col min="2567" max="2572" width="0" style="3507" hidden="1" customWidth="1"/>
    <col min="2573" max="2573" width="12.77734375" style="3507" bestFit="1" customWidth="1"/>
    <col min="2574" max="2575" width="9" style="3507"/>
    <col min="2576" max="2576" width="9.33203125" style="3507" bestFit="1" customWidth="1"/>
    <col min="2577" max="2817" width="9" style="3507"/>
    <col min="2818" max="2818" width="0" style="3507" hidden="1" customWidth="1"/>
    <col min="2819" max="2819" width="20.44140625" style="3507" customWidth="1"/>
    <col min="2820" max="2820" width="23.88671875" style="3507" customWidth="1"/>
    <col min="2821" max="2821" width="0" style="3507" hidden="1" customWidth="1"/>
    <col min="2822" max="2822" width="23.44140625" style="3507" customWidth="1"/>
    <col min="2823" max="2828" width="0" style="3507" hidden="1" customWidth="1"/>
    <col min="2829" max="2829" width="12.77734375" style="3507" bestFit="1" customWidth="1"/>
    <col min="2830" max="2831" width="9" style="3507"/>
    <col min="2832" max="2832" width="9.33203125" style="3507" bestFit="1" customWidth="1"/>
    <col min="2833" max="3073" width="9" style="3507"/>
    <col min="3074" max="3074" width="0" style="3507" hidden="1" customWidth="1"/>
    <col min="3075" max="3075" width="20.44140625" style="3507" customWidth="1"/>
    <col min="3076" max="3076" width="23.88671875" style="3507" customWidth="1"/>
    <col min="3077" max="3077" width="0" style="3507" hidden="1" customWidth="1"/>
    <col min="3078" max="3078" width="23.44140625" style="3507" customWidth="1"/>
    <col min="3079" max="3084" width="0" style="3507" hidden="1" customWidth="1"/>
    <col min="3085" max="3085" width="12.77734375" style="3507" bestFit="1" customWidth="1"/>
    <col min="3086" max="3087" width="9" style="3507"/>
    <col min="3088" max="3088" width="9.33203125" style="3507" bestFit="1" customWidth="1"/>
    <col min="3089" max="3329" width="9" style="3507"/>
    <col min="3330" max="3330" width="0" style="3507" hidden="1" customWidth="1"/>
    <col min="3331" max="3331" width="20.44140625" style="3507" customWidth="1"/>
    <col min="3332" max="3332" width="23.88671875" style="3507" customWidth="1"/>
    <col min="3333" max="3333" width="0" style="3507" hidden="1" customWidth="1"/>
    <col min="3334" max="3334" width="23.44140625" style="3507" customWidth="1"/>
    <col min="3335" max="3340" width="0" style="3507" hidden="1" customWidth="1"/>
    <col min="3341" max="3341" width="12.77734375" style="3507" bestFit="1" customWidth="1"/>
    <col min="3342" max="3343" width="9" style="3507"/>
    <col min="3344" max="3344" width="9.33203125" style="3507" bestFit="1" customWidth="1"/>
    <col min="3345" max="3585" width="9" style="3507"/>
    <col min="3586" max="3586" width="0" style="3507" hidden="1" customWidth="1"/>
    <col min="3587" max="3587" width="20.44140625" style="3507" customWidth="1"/>
    <col min="3588" max="3588" width="23.88671875" style="3507" customWidth="1"/>
    <col min="3589" max="3589" width="0" style="3507" hidden="1" customWidth="1"/>
    <col min="3590" max="3590" width="23.44140625" style="3507" customWidth="1"/>
    <col min="3591" max="3596" width="0" style="3507" hidden="1" customWidth="1"/>
    <col min="3597" max="3597" width="12.77734375" style="3507" bestFit="1" customWidth="1"/>
    <col min="3598" max="3599" width="9" style="3507"/>
    <col min="3600" max="3600" width="9.33203125" style="3507" bestFit="1" customWidth="1"/>
    <col min="3601" max="3841" width="9" style="3507"/>
    <col min="3842" max="3842" width="0" style="3507" hidden="1" customWidth="1"/>
    <col min="3843" max="3843" width="20.44140625" style="3507" customWidth="1"/>
    <col min="3844" max="3844" width="23.88671875" style="3507" customWidth="1"/>
    <col min="3845" max="3845" width="0" style="3507" hidden="1" customWidth="1"/>
    <col min="3846" max="3846" width="23.44140625" style="3507" customWidth="1"/>
    <col min="3847" max="3852" width="0" style="3507" hidden="1" customWidth="1"/>
    <col min="3853" max="3853" width="12.77734375" style="3507" bestFit="1" customWidth="1"/>
    <col min="3854" max="3855" width="9" style="3507"/>
    <col min="3856" max="3856" width="9.33203125" style="3507" bestFit="1" customWidth="1"/>
    <col min="3857" max="4097" width="9" style="3507"/>
    <col min="4098" max="4098" width="0" style="3507" hidden="1" customWidth="1"/>
    <col min="4099" max="4099" width="20.44140625" style="3507" customWidth="1"/>
    <col min="4100" max="4100" width="23.88671875" style="3507" customWidth="1"/>
    <col min="4101" max="4101" width="0" style="3507" hidden="1" customWidth="1"/>
    <col min="4102" max="4102" width="23.44140625" style="3507" customWidth="1"/>
    <col min="4103" max="4108" width="0" style="3507" hidden="1" customWidth="1"/>
    <col min="4109" max="4109" width="12.77734375" style="3507" bestFit="1" customWidth="1"/>
    <col min="4110" max="4111" width="9" style="3507"/>
    <col min="4112" max="4112" width="9.33203125" style="3507" bestFit="1" customWidth="1"/>
    <col min="4113" max="4353" width="9" style="3507"/>
    <col min="4354" max="4354" width="0" style="3507" hidden="1" customWidth="1"/>
    <col min="4355" max="4355" width="20.44140625" style="3507" customWidth="1"/>
    <col min="4356" max="4356" width="23.88671875" style="3507" customWidth="1"/>
    <col min="4357" max="4357" width="0" style="3507" hidden="1" customWidth="1"/>
    <col min="4358" max="4358" width="23.44140625" style="3507" customWidth="1"/>
    <col min="4359" max="4364" width="0" style="3507" hidden="1" customWidth="1"/>
    <col min="4365" max="4365" width="12.77734375" style="3507" bestFit="1" customWidth="1"/>
    <col min="4366" max="4367" width="9" style="3507"/>
    <col min="4368" max="4368" width="9.33203125" style="3507" bestFit="1" customWidth="1"/>
    <col min="4369" max="4609" width="9" style="3507"/>
    <col min="4610" max="4610" width="0" style="3507" hidden="1" customWidth="1"/>
    <col min="4611" max="4611" width="20.44140625" style="3507" customWidth="1"/>
    <col min="4612" max="4612" width="23.88671875" style="3507" customWidth="1"/>
    <col min="4613" max="4613" width="0" style="3507" hidden="1" customWidth="1"/>
    <col min="4614" max="4614" width="23.44140625" style="3507" customWidth="1"/>
    <col min="4615" max="4620" width="0" style="3507" hidden="1" customWidth="1"/>
    <col min="4621" max="4621" width="12.77734375" style="3507" bestFit="1" customWidth="1"/>
    <col min="4622" max="4623" width="9" style="3507"/>
    <col min="4624" max="4624" width="9.33203125" style="3507" bestFit="1" customWidth="1"/>
    <col min="4625" max="4865" width="9" style="3507"/>
    <col min="4866" max="4866" width="0" style="3507" hidden="1" customWidth="1"/>
    <col min="4867" max="4867" width="20.44140625" style="3507" customWidth="1"/>
    <col min="4868" max="4868" width="23.88671875" style="3507" customWidth="1"/>
    <col min="4869" max="4869" width="0" style="3507" hidden="1" customWidth="1"/>
    <col min="4870" max="4870" width="23.44140625" style="3507" customWidth="1"/>
    <col min="4871" max="4876" width="0" style="3507" hidden="1" customWidth="1"/>
    <col min="4877" max="4877" width="12.77734375" style="3507" bestFit="1" customWidth="1"/>
    <col min="4878" max="4879" width="9" style="3507"/>
    <col min="4880" max="4880" width="9.33203125" style="3507" bestFit="1" customWidth="1"/>
    <col min="4881" max="5121" width="9" style="3507"/>
    <col min="5122" max="5122" width="0" style="3507" hidden="1" customWidth="1"/>
    <col min="5123" max="5123" width="20.44140625" style="3507" customWidth="1"/>
    <col min="5124" max="5124" width="23.88671875" style="3507" customWidth="1"/>
    <col min="5125" max="5125" width="0" style="3507" hidden="1" customWidth="1"/>
    <col min="5126" max="5126" width="23.44140625" style="3507" customWidth="1"/>
    <col min="5127" max="5132" width="0" style="3507" hidden="1" customWidth="1"/>
    <col min="5133" max="5133" width="12.77734375" style="3507" bestFit="1" customWidth="1"/>
    <col min="5134" max="5135" width="9" style="3507"/>
    <col min="5136" max="5136" width="9.33203125" style="3507" bestFit="1" customWidth="1"/>
    <col min="5137" max="5377" width="9" style="3507"/>
    <col min="5378" max="5378" width="0" style="3507" hidden="1" customWidth="1"/>
    <col min="5379" max="5379" width="20.44140625" style="3507" customWidth="1"/>
    <col min="5380" max="5380" width="23.88671875" style="3507" customWidth="1"/>
    <col min="5381" max="5381" width="0" style="3507" hidden="1" customWidth="1"/>
    <col min="5382" max="5382" width="23.44140625" style="3507" customWidth="1"/>
    <col min="5383" max="5388" width="0" style="3507" hidden="1" customWidth="1"/>
    <col min="5389" max="5389" width="12.77734375" style="3507" bestFit="1" customWidth="1"/>
    <col min="5390" max="5391" width="9" style="3507"/>
    <col min="5392" max="5392" width="9.33203125" style="3507" bestFit="1" customWidth="1"/>
    <col min="5393" max="5633" width="9" style="3507"/>
    <col min="5634" max="5634" width="0" style="3507" hidden="1" customWidth="1"/>
    <col min="5635" max="5635" width="20.44140625" style="3507" customWidth="1"/>
    <col min="5636" max="5636" width="23.88671875" style="3507" customWidth="1"/>
    <col min="5637" max="5637" width="0" style="3507" hidden="1" customWidth="1"/>
    <col min="5638" max="5638" width="23.44140625" style="3507" customWidth="1"/>
    <col min="5639" max="5644" width="0" style="3507" hidden="1" customWidth="1"/>
    <col min="5645" max="5645" width="12.77734375" style="3507" bestFit="1" customWidth="1"/>
    <col min="5646" max="5647" width="9" style="3507"/>
    <col min="5648" max="5648" width="9.33203125" style="3507" bestFit="1" customWidth="1"/>
    <col min="5649" max="5889" width="9" style="3507"/>
    <col min="5890" max="5890" width="0" style="3507" hidden="1" customWidth="1"/>
    <col min="5891" max="5891" width="20.44140625" style="3507" customWidth="1"/>
    <col min="5892" max="5892" width="23.88671875" style="3507" customWidth="1"/>
    <col min="5893" max="5893" width="0" style="3507" hidden="1" customWidth="1"/>
    <col min="5894" max="5894" width="23.44140625" style="3507" customWidth="1"/>
    <col min="5895" max="5900" width="0" style="3507" hidden="1" customWidth="1"/>
    <col min="5901" max="5901" width="12.77734375" style="3507" bestFit="1" customWidth="1"/>
    <col min="5902" max="5903" width="9" style="3507"/>
    <col min="5904" max="5904" width="9.33203125" style="3507" bestFit="1" customWidth="1"/>
    <col min="5905" max="6145" width="9" style="3507"/>
    <col min="6146" max="6146" width="0" style="3507" hidden="1" customWidth="1"/>
    <col min="6147" max="6147" width="20.44140625" style="3507" customWidth="1"/>
    <col min="6148" max="6148" width="23.88671875" style="3507" customWidth="1"/>
    <col min="6149" max="6149" width="0" style="3507" hidden="1" customWidth="1"/>
    <col min="6150" max="6150" width="23.44140625" style="3507" customWidth="1"/>
    <col min="6151" max="6156" width="0" style="3507" hidden="1" customWidth="1"/>
    <col min="6157" max="6157" width="12.77734375" style="3507" bestFit="1" customWidth="1"/>
    <col min="6158" max="6159" width="9" style="3507"/>
    <col min="6160" max="6160" width="9.33203125" style="3507" bestFit="1" customWidth="1"/>
    <col min="6161" max="6401" width="9" style="3507"/>
    <col min="6402" max="6402" width="0" style="3507" hidden="1" customWidth="1"/>
    <col min="6403" max="6403" width="20.44140625" style="3507" customWidth="1"/>
    <col min="6404" max="6404" width="23.88671875" style="3507" customWidth="1"/>
    <col min="6405" max="6405" width="0" style="3507" hidden="1" customWidth="1"/>
    <col min="6406" max="6406" width="23.44140625" style="3507" customWidth="1"/>
    <col min="6407" max="6412" width="0" style="3507" hidden="1" customWidth="1"/>
    <col min="6413" max="6413" width="12.77734375" style="3507" bestFit="1" customWidth="1"/>
    <col min="6414" max="6415" width="9" style="3507"/>
    <col min="6416" max="6416" width="9.33203125" style="3507" bestFit="1" customWidth="1"/>
    <col min="6417" max="6657" width="9" style="3507"/>
    <col min="6658" max="6658" width="0" style="3507" hidden="1" customWidth="1"/>
    <col min="6659" max="6659" width="20.44140625" style="3507" customWidth="1"/>
    <col min="6660" max="6660" width="23.88671875" style="3507" customWidth="1"/>
    <col min="6661" max="6661" width="0" style="3507" hidden="1" customWidth="1"/>
    <col min="6662" max="6662" width="23.44140625" style="3507" customWidth="1"/>
    <col min="6663" max="6668" width="0" style="3507" hidden="1" customWidth="1"/>
    <col min="6669" max="6669" width="12.77734375" style="3507" bestFit="1" customWidth="1"/>
    <col min="6670" max="6671" width="9" style="3507"/>
    <col min="6672" max="6672" width="9.33203125" style="3507" bestFit="1" customWidth="1"/>
    <col min="6673" max="6913" width="9" style="3507"/>
    <col min="6914" max="6914" width="0" style="3507" hidden="1" customWidth="1"/>
    <col min="6915" max="6915" width="20.44140625" style="3507" customWidth="1"/>
    <col min="6916" max="6916" width="23.88671875" style="3507" customWidth="1"/>
    <col min="6917" max="6917" width="0" style="3507" hidden="1" customWidth="1"/>
    <col min="6918" max="6918" width="23.44140625" style="3507" customWidth="1"/>
    <col min="6919" max="6924" width="0" style="3507" hidden="1" customWidth="1"/>
    <col min="6925" max="6925" width="12.77734375" style="3507" bestFit="1" customWidth="1"/>
    <col min="6926" max="6927" width="9" style="3507"/>
    <col min="6928" max="6928" width="9.33203125" style="3507" bestFit="1" customWidth="1"/>
    <col min="6929" max="7169" width="9" style="3507"/>
    <col min="7170" max="7170" width="0" style="3507" hidden="1" customWidth="1"/>
    <col min="7171" max="7171" width="20.44140625" style="3507" customWidth="1"/>
    <col min="7172" max="7172" width="23.88671875" style="3507" customWidth="1"/>
    <col min="7173" max="7173" width="0" style="3507" hidden="1" customWidth="1"/>
    <col min="7174" max="7174" width="23.44140625" style="3507" customWidth="1"/>
    <col min="7175" max="7180" width="0" style="3507" hidden="1" customWidth="1"/>
    <col min="7181" max="7181" width="12.77734375" style="3507" bestFit="1" customWidth="1"/>
    <col min="7182" max="7183" width="9" style="3507"/>
    <col min="7184" max="7184" width="9.33203125" style="3507" bestFit="1" customWidth="1"/>
    <col min="7185" max="7425" width="9" style="3507"/>
    <col min="7426" max="7426" width="0" style="3507" hidden="1" customWidth="1"/>
    <col min="7427" max="7427" width="20.44140625" style="3507" customWidth="1"/>
    <col min="7428" max="7428" width="23.88671875" style="3507" customWidth="1"/>
    <col min="7429" max="7429" width="0" style="3507" hidden="1" customWidth="1"/>
    <col min="7430" max="7430" width="23.44140625" style="3507" customWidth="1"/>
    <col min="7431" max="7436" width="0" style="3507" hidden="1" customWidth="1"/>
    <col min="7437" max="7437" width="12.77734375" style="3507" bestFit="1" customWidth="1"/>
    <col min="7438" max="7439" width="9" style="3507"/>
    <col min="7440" max="7440" width="9.33203125" style="3507" bestFit="1" customWidth="1"/>
    <col min="7441" max="7681" width="9" style="3507"/>
    <col min="7682" max="7682" width="0" style="3507" hidden="1" customWidth="1"/>
    <col min="7683" max="7683" width="20.44140625" style="3507" customWidth="1"/>
    <col min="7684" max="7684" width="23.88671875" style="3507" customWidth="1"/>
    <col min="7685" max="7685" width="0" style="3507" hidden="1" customWidth="1"/>
    <col min="7686" max="7686" width="23.44140625" style="3507" customWidth="1"/>
    <col min="7687" max="7692" width="0" style="3507" hidden="1" customWidth="1"/>
    <col min="7693" max="7693" width="12.77734375" style="3507" bestFit="1" customWidth="1"/>
    <col min="7694" max="7695" width="9" style="3507"/>
    <col min="7696" max="7696" width="9.33203125" style="3507" bestFit="1" customWidth="1"/>
    <col min="7697" max="7937" width="9" style="3507"/>
    <col min="7938" max="7938" width="0" style="3507" hidden="1" customWidth="1"/>
    <col min="7939" max="7939" width="20.44140625" style="3507" customWidth="1"/>
    <col min="7940" max="7940" width="23.88671875" style="3507" customWidth="1"/>
    <col min="7941" max="7941" width="0" style="3507" hidden="1" customWidth="1"/>
    <col min="7942" max="7942" width="23.44140625" style="3507" customWidth="1"/>
    <col min="7943" max="7948" width="0" style="3507" hidden="1" customWidth="1"/>
    <col min="7949" max="7949" width="12.77734375" style="3507" bestFit="1" customWidth="1"/>
    <col min="7950" max="7951" width="9" style="3507"/>
    <col min="7952" max="7952" width="9.33203125" style="3507" bestFit="1" customWidth="1"/>
    <col min="7953" max="8193" width="9" style="3507"/>
    <col min="8194" max="8194" width="0" style="3507" hidden="1" customWidth="1"/>
    <col min="8195" max="8195" width="20.44140625" style="3507" customWidth="1"/>
    <col min="8196" max="8196" width="23.88671875" style="3507" customWidth="1"/>
    <col min="8197" max="8197" width="0" style="3507" hidden="1" customWidth="1"/>
    <col min="8198" max="8198" width="23.44140625" style="3507" customWidth="1"/>
    <col min="8199" max="8204" width="0" style="3507" hidden="1" customWidth="1"/>
    <col min="8205" max="8205" width="12.77734375" style="3507" bestFit="1" customWidth="1"/>
    <col min="8206" max="8207" width="9" style="3507"/>
    <col min="8208" max="8208" width="9.33203125" style="3507" bestFit="1" customWidth="1"/>
    <col min="8209" max="8449" width="9" style="3507"/>
    <col min="8450" max="8450" width="0" style="3507" hidden="1" customWidth="1"/>
    <col min="8451" max="8451" width="20.44140625" style="3507" customWidth="1"/>
    <col min="8452" max="8452" width="23.88671875" style="3507" customWidth="1"/>
    <col min="8453" max="8453" width="0" style="3507" hidden="1" customWidth="1"/>
    <col min="8454" max="8454" width="23.44140625" style="3507" customWidth="1"/>
    <col min="8455" max="8460" width="0" style="3507" hidden="1" customWidth="1"/>
    <col min="8461" max="8461" width="12.77734375" style="3507" bestFit="1" customWidth="1"/>
    <col min="8462" max="8463" width="9" style="3507"/>
    <col min="8464" max="8464" width="9.33203125" style="3507" bestFit="1" customWidth="1"/>
    <col min="8465" max="8705" width="9" style="3507"/>
    <col min="8706" max="8706" width="0" style="3507" hidden="1" customWidth="1"/>
    <col min="8707" max="8707" width="20.44140625" style="3507" customWidth="1"/>
    <col min="8708" max="8708" width="23.88671875" style="3507" customWidth="1"/>
    <col min="8709" max="8709" width="0" style="3507" hidden="1" customWidth="1"/>
    <col min="8710" max="8710" width="23.44140625" style="3507" customWidth="1"/>
    <col min="8711" max="8716" width="0" style="3507" hidden="1" customWidth="1"/>
    <col min="8717" max="8717" width="12.77734375" style="3507" bestFit="1" customWidth="1"/>
    <col min="8718" max="8719" width="9" style="3507"/>
    <col min="8720" max="8720" width="9.33203125" style="3507" bestFit="1" customWidth="1"/>
    <col min="8721" max="8961" width="9" style="3507"/>
    <col min="8962" max="8962" width="0" style="3507" hidden="1" customWidth="1"/>
    <col min="8963" max="8963" width="20.44140625" style="3507" customWidth="1"/>
    <col min="8964" max="8964" width="23.88671875" style="3507" customWidth="1"/>
    <col min="8965" max="8965" width="0" style="3507" hidden="1" customWidth="1"/>
    <col min="8966" max="8966" width="23.44140625" style="3507" customWidth="1"/>
    <col min="8967" max="8972" width="0" style="3507" hidden="1" customWidth="1"/>
    <col min="8973" max="8973" width="12.77734375" style="3507" bestFit="1" customWidth="1"/>
    <col min="8974" max="8975" width="9" style="3507"/>
    <col min="8976" max="8976" width="9.33203125" style="3507" bestFit="1" customWidth="1"/>
    <col min="8977" max="9217" width="9" style="3507"/>
    <col min="9218" max="9218" width="0" style="3507" hidden="1" customWidth="1"/>
    <col min="9219" max="9219" width="20.44140625" style="3507" customWidth="1"/>
    <col min="9220" max="9220" width="23.88671875" style="3507" customWidth="1"/>
    <col min="9221" max="9221" width="0" style="3507" hidden="1" customWidth="1"/>
    <col min="9222" max="9222" width="23.44140625" style="3507" customWidth="1"/>
    <col min="9223" max="9228" width="0" style="3507" hidden="1" customWidth="1"/>
    <col min="9229" max="9229" width="12.77734375" style="3507" bestFit="1" customWidth="1"/>
    <col min="9230" max="9231" width="9" style="3507"/>
    <col min="9232" max="9232" width="9.33203125" style="3507" bestFit="1" customWidth="1"/>
    <col min="9233" max="9473" width="9" style="3507"/>
    <col min="9474" max="9474" width="0" style="3507" hidden="1" customWidth="1"/>
    <col min="9475" max="9475" width="20.44140625" style="3507" customWidth="1"/>
    <col min="9476" max="9476" width="23.88671875" style="3507" customWidth="1"/>
    <col min="9477" max="9477" width="0" style="3507" hidden="1" customWidth="1"/>
    <col min="9478" max="9478" width="23.44140625" style="3507" customWidth="1"/>
    <col min="9479" max="9484" width="0" style="3507" hidden="1" customWidth="1"/>
    <col min="9485" max="9485" width="12.77734375" style="3507" bestFit="1" customWidth="1"/>
    <col min="9486" max="9487" width="9" style="3507"/>
    <col min="9488" max="9488" width="9.33203125" style="3507" bestFit="1" customWidth="1"/>
    <col min="9489" max="9729" width="9" style="3507"/>
    <col min="9730" max="9730" width="0" style="3507" hidden="1" customWidth="1"/>
    <col min="9731" max="9731" width="20.44140625" style="3507" customWidth="1"/>
    <col min="9732" max="9732" width="23.88671875" style="3507" customWidth="1"/>
    <col min="9733" max="9733" width="0" style="3507" hidden="1" customWidth="1"/>
    <col min="9734" max="9734" width="23.44140625" style="3507" customWidth="1"/>
    <col min="9735" max="9740" width="0" style="3507" hidden="1" customWidth="1"/>
    <col min="9741" max="9741" width="12.77734375" style="3507" bestFit="1" customWidth="1"/>
    <col min="9742" max="9743" width="9" style="3507"/>
    <col min="9744" max="9744" width="9.33203125" style="3507" bestFit="1" customWidth="1"/>
    <col min="9745" max="9985" width="9" style="3507"/>
    <col min="9986" max="9986" width="0" style="3507" hidden="1" customWidth="1"/>
    <col min="9987" max="9987" width="20.44140625" style="3507" customWidth="1"/>
    <col min="9988" max="9988" width="23.88671875" style="3507" customWidth="1"/>
    <col min="9989" max="9989" width="0" style="3507" hidden="1" customWidth="1"/>
    <col min="9990" max="9990" width="23.44140625" style="3507" customWidth="1"/>
    <col min="9991" max="9996" width="0" style="3507" hidden="1" customWidth="1"/>
    <col min="9997" max="9997" width="12.77734375" style="3507" bestFit="1" customWidth="1"/>
    <col min="9998" max="9999" width="9" style="3507"/>
    <col min="10000" max="10000" width="9.33203125" style="3507" bestFit="1" customWidth="1"/>
    <col min="10001" max="10241" width="9" style="3507"/>
    <col min="10242" max="10242" width="0" style="3507" hidden="1" customWidth="1"/>
    <col min="10243" max="10243" width="20.44140625" style="3507" customWidth="1"/>
    <col min="10244" max="10244" width="23.88671875" style="3507" customWidth="1"/>
    <col min="10245" max="10245" width="0" style="3507" hidden="1" customWidth="1"/>
    <col min="10246" max="10246" width="23.44140625" style="3507" customWidth="1"/>
    <col min="10247" max="10252" width="0" style="3507" hidden="1" customWidth="1"/>
    <col min="10253" max="10253" width="12.77734375" style="3507" bestFit="1" customWidth="1"/>
    <col min="10254" max="10255" width="9" style="3507"/>
    <col min="10256" max="10256" width="9.33203125" style="3507" bestFit="1" customWidth="1"/>
    <col min="10257" max="10497" width="9" style="3507"/>
    <col min="10498" max="10498" width="0" style="3507" hidden="1" customWidth="1"/>
    <col min="10499" max="10499" width="20.44140625" style="3507" customWidth="1"/>
    <col min="10500" max="10500" width="23.88671875" style="3507" customWidth="1"/>
    <col min="10501" max="10501" width="0" style="3507" hidden="1" customWidth="1"/>
    <col min="10502" max="10502" width="23.44140625" style="3507" customWidth="1"/>
    <col min="10503" max="10508" width="0" style="3507" hidden="1" customWidth="1"/>
    <col min="10509" max="10509" width="12.77734375" style="3507" bestFit="1" customWidth="1"/>
    <col min="10510" max="10511" width="9" style="3507"/>
    <col min="10512" max="10512" width="9.33203125" style="3507" bestFit="1" customWidth="1"/>
    <col min="10513" max="10753" width="9" style="3507"/>
    <col min="10754" max="10754" width="0" style="3507" hidden="1" customWidth="1"/>
    <col min="10755" max="10755" width="20.44140625" style="3507" customWidth="1"/>
    <col min="10756" max="10756" width="23.88671875" style="3507" customWidth="1"/>
    <col min="10757" max="10757" width="0" style="3507" hidden="1" customWidth="1"/>
    <col min="10758" max="10758" width="23.44140625" style="3507" customWidth="1"/>
    <col min="10759" max="10764" width="0" style="3507" hidden="1" customWidth="1"/>
    <col min="10765" max="10765" width="12.77734375" style="3507" bestFit="1" customWidth="1"/>
    <col min="10766" max="10767" width="9" style="3507"/>
    <col min="10768" max="10768" width="9.33203125" style="3507" bestFit="1" customWidth="1"/>
    <col min="10769" max="11009" width="9" style="3507"/>
    <col min="11010" max="11010" width="0" style="3507" hidden="1" customWidth="1"/>
    <col min="11011" max="11011" width="20.44140625" style="3507" customWidth="1"/>
    <col min="11012" max="11012" width="23.88671875" style="3507" customWidth="1"/>
    <col min="11013" max="11013" width="0" style="3507" hidden="1" customWidth="1"/>
    <col min="11014" max="11014" width="23.44140625" style="3507" customWidth="1"/>
    <col min="11015" max="11020" width="0" style="3507" hidden="1" customWidth="1"/>
    <col min="11021" max="11021" width="12.77734375" style="3507" bestFit="1" customWidth="1"/>
    <col min="11022" max="11023" width="9" style="3507"/>
    <col min="11024" max="11024" width="9.33203125" style="3507" bestFit="1" customWidth="1"/>
    <col min="11025" max="11265" width="9" style="3507"/>
    <col min="11266" max="11266" width="0" style="3507" hidden="1" customWidth="1"/>
    <col min="11267" max="11267" width="20.44140625" style="3507" customWidth="1"/>
    <col min="11268" max="11268" width="23.88671875" style="3507" customWidth="1"/>
    <col min="11269" max="11269" width="0" style="3507" hidden="1" customWidth="1"/>
    <col min="11270" max="11270" width="23.44140625" style="3507" customWidth="1"/>
    <col min="11271" max="11276" width="0" style="3507" hidden="1" customWidth="1"/>
    <col min="11277" max="11277" width="12.77734375" style="3507" bestFit="1" customWidth="1"/>
    <col min="11278" max="11279" width="9" style="3507"/>
    <col min="11280" max="11280" width="9.33203125" style="3507" bestFit="1" customWidth="1"/>
    <col min="11281" max="11521" width="9" style="3507"/>
    <col min="11522" max="11522" width="0" style="3507" hidden="1" customWidth="1"/>
    <col min="11523" max="11523" width="20.44140625" style="3507" customWidth="1"/>
    <col min="11524" max="11524" width="23.88671875" style="3507" customWidth="1"/>
    <col min="11525" max="11525" width="0" style="3507" hidden="1" customWidth="1"/>
    <col min="11526" max="11526" width="23.44140625" style="3507" customWidth="1"/>
    <col min="11527" max="11532" width="0" style="3507" hidden="1" customWidth="1"/>
    <col min="11533" max="11533" width="12.77734375" style="3507" bestFit="1" customWidth="1"/>
    <col min="11534" max="11535" width="9" style="3507"/>
    <col min="11536" max="11536" width="9.33203125" style="3507" bestFit="1" customWidth="1"/>
    <col min="11537" max="11777" width="9" style="3507"/>
    <col min="11778" max="11778" width="0" style="3507" hidden="1" customWidth="1"/>
    <col min="11779" max="11779" width="20.44140625" style="3507" customWidth="1"/>
    <col min="11780" max="11780" width="23.88671875" style="3507" customWidth="1"/>
    <col min="11781" max="11781" width="0" style="3507" hidden="1" customWidth="1"/>
    <col min="11782" max="11782" width="23.44140625" style="3507" customWidth="1"/>
    <col min="11783" max="11788" width="0" style="3507" hidden="1" customWidth="1"/>
    <col min="11789" max="11789" width="12.77734375" style="3507" bestFit="1" customWidth="1"/>
    <col min="11790" max="11791" width="9" style="3507"/>
    <col min="11792" max="11792" width="9.33203125" style="3507" bestFit="1" customWidth="1"/>
    <col min="11793" max="12033" width="9" style="3507"/>
    <col min="12034" max="12034" width="0" style="3507" hidden="1" customWidth="1"/>
    <col min="12035" max="12035" width="20.44140625" style="3507" customWidth="1"/>
    <col min="12036" max="12036" width="23.88671875" style="3507" customWidth="1"/>
    <col min="12037" max="12037" width="0" style="3507" hidden="1" customWidth="1"/>
    <col min="12038" max="12038" width="23.44140625" style="3507" customWidth="1"/>
    <col min="12039" max="12044" width="0" style="3507" hidden="1" customWidth="1"/>
    <col min="12045" max="12045" width="12.77734375" style="3507" bestFit="1" customWidth="1"/>
    <col min="12046" max="12047" width="9" style="3507"/>
    <col min="12048" max="12048" width="9.33203125" style="3507" bestFit="1" customWidth="1"/>
    <col min="12049" max="12289" width="9" style="3507"/>
    <col min="12290" max="12290" width="0" style="3507" hidden="1" customWidth="1"/>
    <col min="12291" max="12291" width="20.44140625" style="3507" customWidth="1"/>
    <col min="12292" max="12292" width="23.88671875" style="3507" customWidth="1"/>
    <col min="12293" max="12293" width="0" style="3507" hidden="1" customWidth="1"/>
    <col min="12294" max="12294" width="23.44140625" style="3507" customWidth="1"/>
    <col min="12295" max="12300" width="0" style="3507" hidden="1" customWidth="1"/>
    <col min="12301" max="12301" width="12.77734375" style="3507" bestFit="1" customWidth="1"/>
    <col min="12302" max="12303" width="9" style="3507"/>
    <col min="12304" max="12304" width="9.33203125" style="3507" bestFit="1" customWidth="1"/>
    <col min="12305" max="12545" width="9" style="3507"/>
    <col min="12546" max="12546" width="0" style="3507" hidden="1" customWidth="1"/>
    <col min="12547" max="12547" width="20.44140625" style="3507" customWidth="1"/>
    <col min="12548" max="12548" width="23.88671875" style="3507" customWidth="1"/>
    <col min="12549" max="12549" width="0" style="3507" hidden="1" customWidth="1"/>
    <col min="12550" max="12550" width="23.44140625" style="3507" customWidth="1"/>
    <col min="12551" max="12556" width="0" style="3507" hidden="1" customWidth="1"/>
    <col min="12557" max="12557" width="12.77734375" style="3507" bestFit="1" customWidth="1"/>
    <col min="12558" max="12559" width="9" style="3507"/>
    <col min="12560" max="12560" width="9.33203125" style="3507" bestFit="1" customWidth="1"/>
    <col min="12561" max="12801" width="9" style="3507"/>
    <col min="12802" max="12802" width="0" style="3507" hidden="1" customWidth="1"/>
    <col min="12803" max="12803" width="20.44140625" style="3507" customWidth="1"/>
    <col min="12804" max="12804" width="23.88671875" style="3507" customWidth="1"/>
    <col min="12805" max="12805" width="0" style="3507" hidden="1" customWidth="1"/>
    <col min="12806" max="12806" width="23.44140625" style="3507" customWidth="1"/>
    <col min="12807" max="12812" width="0" style="3507" hidden="1" customWidth="1"/>
    <col min="12813" max="12813" width="12.77734375" style="3507" bestFit="1" customWidth="1"/>
    <col min="12814" max="12815" width="9" style="3507"/>
    <col min="12816" max="12816" width="9.33203125" style="3507" bestFit="1" customWidth="1"/>
    <col min="12817" max="13057" width="9" style="3507"/>
    <col min="13058" max="13058" width="0" style="3507" hidden="1" customWidth="1"/>
    <col min="13059" max="13059" width="20.44140625" style="3507" customWidth="1"/>
    <col min="13060" max="13060" width="23.88671875" style="3507" customWidth="1"/>
    <col min="13061" max="13061" width="0" style="3507" hidden="1" customWidth="1"/>
    <col min="13062" max="13062" width="23.44140625" style="3507" customWidth="1"/>
    <col min="13063" max="13068" width="0" style="3507" hidden="1" customWidth="1"/>
    <col min="13069" max="13069" width="12.77734375" style="3507" bestFit="1" customWidth="1"/>
    <col min="13070" max="13071" width="9" style="3507"/>
    <col min="13072" max="13072" width="9.33203125" style="3507" bestFit="1" customWidth="1"/>
    <col min="13073" max="13313" width="9" style="3507"/>
    <col min="13314" max="13314" width="0" style="3507" hidden="1" customWidth="1"/>
    <col min="13315" max="13315" width="20.44140625" style="3507" customWidth="1"/>
    <col min="13316" max="13316" width="23.88671875" style="3507" customWidth="1"/>
    <col min="13317" max="13317" width="0" style="3507" hidden="1" customWidth="1"/>
    <col min="13318" max="13318" width="23.44140625" style="3507" customWidth="1"/>
    <col min="13319" max="13324" width="0" style="3507" hidden="1" customWidth="1"/>
    <col min="13325" max="13325" width="12.77734375" style="3507" bestFit="1" customWidth="1"/>
    <col min="13326" max="13327" width="9" style="3507"/>
    <col min="13328" max="13328" width="9.33203125" style="3507" bestFit="1" customWidth="1"/>
    <col min="13329" max="13569" width="9" style="3507"/>
    <col min="13570" max="13570" width="0" style="3507" hidden="1" customWidth="1"/>
    <col min="13571" max="13571" width="20.44140625" style="3507" customWidth="1"/>
    <col min="13572" max="13572" width="23.88671875" style="3507" customWidth="1"/>
    <col min="13573" max="13573" width="0" style="3507" hidden="1" customWidth="1"/>
    <col min="13574" max="13574" width="23.44140625" style="3507" customWidth="1"/>
    <col min="13575" max="13580" width="0" style="3507" hidden="1" customWidth="1"/>
    <col min="13581" max="13581" width="12.77734375" style="3507" bestFit="1" customWidth="1"/>
    <col min="13582" max="13583" width="9" style="3507"/>
    <col min="13584" max="13584" width="9.33203125" style="3507" bestFit="1" customWidth="1"/>
    <col min="13585" max="13825" width="9" style="3507"/>
    <col min="13826" max="13826" width="0" style="3507" hidden="1" customWidth="1"/>
    <col min="13827" max="13827" width="20.44140625" style="3507" customWidth="1"/>
    <col min="13828" max="13828" width="23.88671875" style="3507" customWidth="1"/>
    <col min="13829" max="13829" width="0" style="3507" hidden="1" customWidth="1"/>
    <col min="13830" max="13830" width="23.44140625" style="3507" customWidth="1"/>
    <col min="13831" max="13836" width="0" style="3507" hidden="1" customWidth="1"/>
    <col min="13837" max="13837" width="12.77734375" style="3507" bestFit="1" customWidth="1"/>
    <col min="13838" max="13839" width="9" style="3507"/>
    <col min="13840" max="13840" width="9.33203125" style="3507" bestFit="1" customWidth="1"/>
    <col min="13841" max="14081" width="9" style="3507"/>
    <col min="14082" max="14082" width="0" style="3507" hidden="1" customWidth="1"/>
    <col min="14083" max="14083" width="20.44140625" style="3507" customWidth="1"/>
    <col min="14084" max="14084" width="23.88671875" style="3507" customWidth="1"/>
    <col min="14085" max="14085" width="0" style="3507" hidden="1" customWidth="1"/>
    <col min="14086" max="14086" width="23.44140625" style="3507" customWidth="1"/>
    <col min="14087" max="14092" width="0" style="3507" hidden="1" customWidth="1"/>
    <col min="14093" max="14093" width="12.77734375" style="3507" bestFit="1" customWidth="1"/>
    <col min="14094" max="14095" width="9" style="3507"/>
    <col min="14096" max="14096" width="9.33203125" style="3507" bestFit="1" customWidth="1"/>
    <col min="14097" max="14337" width="9" style="3507"/>
    <col min="14338" max="14338" width="0" style="3507" hidden="1" customWidth="1"/>
    <col min="14339" max="14339" width="20.44140625" style="3507" customWidth="1"/>
    <col min="14340" max="14340" width="23.88671875" style="3507" customWidth="1"/>
    <col min="14341" max="14341" width="0" style="3507" hidden="1" customWidth="1"/>
    <col min="14342" max="14342" width="23.44140625" style="3507" customWidth="1"/>
    <col min="14343" max="14348" width="0" style="3507" hidden="1" customWidth="1"/>
    <col min="14349" max="14349" width="12.77734375" style="3507" bestFit="1" customWidth="1"/>
    <col min="14350" max="14351" width="9" style="3507"/>
    <col min="14352" max="14352" width="9.33203125" style="3507" bestFit="1" customWidth="1"/>
    <col min="14353" max="14593" width="9" style="3507"/>
    <col min="14594" max="14594" width="0" style="3507" hidden="1" customWidth="1"/>
    <col min="14595" max="14595" width="20.44140625" style="3507" customWidth="1"/>
    <col min="14596" max="14596" width="23.88671875" style="3507" customWidth="1"/>
    <col min="14597" max="14597" width="0" style="3507" hidden="1" customWidth="1"/>
    <col min="14598" max="14598" width="23.44140625" style="3507" customWidth="1"/>
    <col min="14599" max="14604" width="0" style="3507" hidden="1" customWidth="1"/>
    <col min="14605" max="14605" width="12.77734375" style="3507" bestFit="1" customWidth="1"/>
    <col min="14606" max="14607" width="9" style="3507"/>
    <col min="14608" max="14608" width="9.33203125" style="3507" bestFit="1" customWidth="1"/>
    <col min="14609" max="14849" width="9" style="3507"/>
    <col min="14850" max="14850" width="0" style="3507" hidden="1" customWidth="1"/>
    <col min="14851" max="14851" width="20.44140625" style="3507" customWidth="1"/>
    <col min="14852" max="14852" width="23.88671875" style="3507" customWidth="1"/>
    <col min="14853" max="14853" width="0" style="3507" hidden="1" customWidth="1"/>
    <col min="14854" max="14854" width="23.44140625" style="3507" customWidth="1"/>
    <col min="14855" max="14860" width="0" style="3507" hidden="1" customWidth="1"/>
    <col min="14861" max="14861" width="12.77734375" style="3507" bestFit="1" customWidth="1"/>
    <col min="14862" max="14863" width="9" style="3507"/>
    <col min="14864" max="14864" width="9.33203125" style="3507" bestFit="1" customWidth="1"/>
    <col min="14865" max="15105" width="9" style="3507"/>
    <col min="15106" max="15106" width="0" style="3507" hidden="1" customWidth="1"/>
    <col min="15107" max="15107" width="20.44140625" style="3507" customWidth="1"/>
    <col min="15108" max="15108" width="23.88671875" style="3507" customWidth="1"/>
    <col min="15109" max="15109" width="0" style="3507" hidden="1" customWidth="1"/>
    <col min="15110" max="15110" width="23.44140625" style="3507" customWidth="1"/>
    <col min="15111" max="15116" width="0" style="3507" hidden="1" customWidth="1"/>
    <col min="15117" max="15117" width="12.77734375" style="3507" bestFit="1" customWidth="1"/>
    <col min="15118" max="15119" width="9" style="3507"/>
    <col min="15120" max="15120" width="9.33203125" style="3507" bestFit="1" customWidth="1"/>
    <col min="15121" max="15361" width="9" style="3507"/>
    <col min="15362" max="15362" width="0" style="3507" hidden="1" customWidth="1"/>
    <col min="15363" max="15363" width="20.44140625" style="3507" customWidth="1"/>
    <col min="15364" max="15364" width="23.88671875" style="3507" customWidth="1"/>
    <col min="15365" max="15365" width="0" style="3507" hidden="1" customWidth="1"/>
    <col min="15366" max="15366" width="23.44140625" style="3507" customWidth="1"/>
    <col min="15367" max="15372" width="0" style="3507" hidden="1" customWidth="1"/>
    <col min="15373" max="15373" width="12.77734375" style="3507" bestFit="1" customWidth="1"/>
    <col min="15374" max="15375" width="9" style="3507"/>
    <col min="15376" max="15376" width="9.33203125" style="3507" bestFit="1" customWidth="1"/>
    <col min="15377" max="15617" width="9" style="3507"/>
    <col min="15618" max="15618" width="0" style="3507" hidden="1" customWidth="1"/>
    <col min="15619" max="15619" width="20.44140625" style="3507" customWidth="1"/>
    <col min="15620" max="15620" width="23.88671875" style="3507" customWidth="1"/>
    <col min="15621" max="15621" width="0" style="3507" hidden="1" customWidth="1"/>
    <col min="15622" max="15622" width="23.44140625" style="3507" customWidth="1"/>
    <col min="15623" max="15628" width="0" style="3507" hidden="1" customWidth="1"/>
    <col min="15629" max="15629" width="12.77734375" style="3507" bestFit="1" customWidth="1"/>
    <col min="15630" max="15631" width="9" style="3507"/>
    <col min="15632" max="15632" width="9.33203125" style="3507" bestFit="1" customWidth="1"/>
    <col min="15633" max="15873" width="9" style="3507"/>
    <col min="15874" max="15874" width="0" style="3507" hidden="1" customWidth="1"/>
    <col min="15875" max="15875" width="20.44140625" style="3507" customWidth="1"/>
    <col min="15876" max="15876" width="23.88671875" style="3507" customWidth="1"/>
    <col min="15877" max="15877" width="0" style="3507" hidden="1" customWidth="1"/>
    <col min="15878" max="15878" width="23.44140625" style="3507" customWidth="1"/>
    <col min="15879" max="15884" width="0" style="3507" hidden="1" customWidth="1"/>
    <col min="15885" max="15885" width="12.77734375" style="3507" bestFit="1" customWidth="1"/>
    <col min="15886" max="15887" width="9" style="3507"/>
    <col min="15888" max="15888" width="9.33203125" style="3507" bestFit="1" customWidth="1"/>
    <col min="15889" max="16129" width="9" style="3507"/>
    <col min="16130" max="16130" width="0" style="3507" hidden="1" customWidth="1"/>
    <col min="16131" max="16131" width="20.44140625" style="3507" customWidth="1"/>
    <col min="16132" max="16132" width="23.88671875" style="3507" customWidth="1"/>
    <col min="16133" max="16133" width="0" style="3507" hidden="1" customWidth="1"/>
    <col min="16134" max="16134" width="23.44140625" style="3507" customWidth="1"/>
    <col min="16135" max="16140" width="0" style="3507" hidden="1" customWidth="1"/>
    <col min="16141" max="16141" width="12.77734375" style="3507" bestFit="1" customWidth="1"/>
    <col min="16142" max="16143" width="9" style="3507"/>
    <col min="16144" max="16144" width="9.33203125" style="3507" bestFit="1" customWidth="1"/>
    <col min="16145" max="16384" width="9" style="3507"/>
  </cols>
  <sheetData>
    <row r="1" spans="1:18" ht="21.9" customHeight="1">
      <c r="A1" s="3948" t="s">
        <v>2378</v>
      </c>
      <c r="B1" s="3948" t="s">
        <v>3593</v>
      </c>
      <c r="C1" s="3948" t="s">
        <v>3594</v>
      </c>
      <c r="D1" s="3948" t="s">
        <v>3595</v>
      </c>
      <c r="E1" s="3954" t="s">
        <v>3596</v>
      </c>
      <c r="F1" s="3948" t="s">
        <v>3597</v>
      </c>
      <c r="G1" s="3948" t="s">
        <v>3598</v>
      </c>
      <c r="H1" s="3949" t="s">
        <v>3599</v>
      </c>
      <c r="I1" s="3949"/>
      <c r="J1" s="3949"/>
      <c r="K1" s="3950" t="s">
        <v>3600</v>
      </c>
      <c r="L1" s="3950"/>
    </row>
    <row r="2" spans="1:18" ht="9" customHeight="1">
      <c r="A2" s="3948"/>
      <c r="B2" s="3948"/>
      <c r="C2" s="3948"/>
      <c r="D2" s="3948"/>
      <c r="E2" s="3954"/>
      <c r="F2" s="3948"/>
      <c r="G2" s="3948"/>
      <c r="H2" s="3508" t="s">
        <v>3601</v>
      </c>
      <c r="I2" s="3508" t="s">
        <v>3602</v>
      </c>
      <c r="J2" s="3508" t="s">
        <v>3603</v>
      </c>
      <c r="K2" s="3509" t="s">
        <v>3604</v>
      </c>
      <c r="L2" s="3509" t="s">
        <v>3605</v>
      </c>
    </row>
    <row r="3" spans="1:18" ht="22.5" customHeight="1">
      <c r="A3" s="3510">
        <v>1</v>
      </c>
      <c r="B3" s="3511">
        <f>'[4]1'!$B$2</f>
        <v>0</v>
      </c>
      <c r="C3" s="3511" t="str">
        <f>'[4]1'!$B$1</f>
        <v>1办公楼</v>
      </c>
      <c r="D3" s="3511">
        <f>'[4]1'!$G$2</f>
        <v>2680.4</v>
      </c>
      <c r="E3" s="3512" t="str">
        <f>'[4]1'!$A$102</f>
        <v>建筑面积合计</v>
      </c>
      <c r="F3" s="3513">
        <f>'[4]1'!C30</f>
        <v>4241600.9768979996</v>
      </c>
      <c r="G3" s="3511">
        <f>'[4]1'!$B$129</f>
        <v>0</v>
      </c>
      <c r="H3" s="3514">
        <f>'[4]1'!$G$78</f>
        <v>0</v>
      </c>
      <c r="I3" s="3514">
        <f>'[4]1'!$C$79</f>
        <v>1200000</v>
      </c>
      <c r="J3" s="3508">
        <f>'[4]1'!$B$131</f>
        <v>9906321</v>
      </c>
      <c r="K3" s="3515">
        <f>'[4]1'!$C$142</f>
        <v>4185200</v>
      </c>
      <c r="L3" s="3509">
        <f>'[4]1'!$B$195</f>
        <v>23998256.119999997</v>
      </c>
      <c r="M3" s="3507">
        <f>ROUND(F3/D3,2)</f>
        <v>1582.45</v>
      </c>
    </row>
    <row r="4" spans="1:18" ht="22.5" customHeight="1">
      <c r="A4" s="3510">
        <v>2</v>
      </c>
      <c r="B4" s="3511">
        <f>'[4]2'!B2</f>
        <v>0</v>
      </c>
      <c r="C4" s="3511" t="str">
        <f>'[4]2'!$B$1</f>
        <v>2食堂</v>
      </c>
      <c r="D4" s="3511">
        <f>'[4]2'!$G$2</f>
        <v>1268.0999999999999</v>
      </c>
      <c r="E4" s="3512">
        <f>'[4]2'!$B$101</f>
        <v>0</v>
      </c>
      <c r="F4" s="3513">
        <f>'[4]2'!C30</f>
        <v>1400286.7439999999</v>
      </c>
      <c r="G4" s="3511" t="str">
        <f>'[4]2'!$B$128</f>
        <v/>
      </c>
      <c r="H4" s="3514">
        <f>'[4]2'!$G$78</f>
        <v>267</v>
      </c>
      <c r="I4" s="3514">
        <f>'[4]2'!$C$79</f>
        <v>1602000</v>
      </c>
      <c r="J4" s="3508">
        <f>'[4]2'!$B$130</f>
        <v>0</v>
      </c>
      <c r="K4" s="3515">
        <f>'[4]2'!$C$141</f>
        <v>1268.0999999999999</v>
      </c>
      <c r="L4" s="3509">
        <f>'[4]2'!$B$193</f>
        <v>0</v>
      </c>
      <c r="M4" s="3507">
        <f t="shared" ref="M4:M38" si="0">ROUND(F4/D4,2)</f>
        <v>1104.24</v>
      </c>
    </row>
    <row r="5" spans="1:18" ht="22.5" customHeight="1">
      <c r="A5" s="3510">
        <v>3</v>
      </c>
      <c r="B5" s="3511" t="e">
        <f>#REF!</f>
        <v>#REF!</v>
      </c>
      <c r="C5" s="3511" t="str">
        <f>'[4]3'!B1</f>
        <v>3浴室</v>
      </c>
      <c r="D5" s="3511">
        <f>'[4]3'!C8</f>
        <v>399.6</v>
      </c>
      <c r="E5" s="3512" t="e">
        <f>#REF!</f>
        <v>#REF!</v>
      </c>
      <c r="F5" s="3513">
        <f>'[4]3'!C30</f>
        <v>441254.304</v>
      </c>
      <c r="G5" s="3511" t="e">
        <f>#REF!</f>
        <v>#REF!</v>
      </c>
      <c r="H5" s="3514" t="e">
        <f>#REF!</f>
        <v>#REF!</v>
      </c>
      <c r="I5" s="3514" t="e">
        <f>#REF!</f>
        <v>#REF!</v>
      </c>
      <c r="J5" s="3508" t="e">
        <f>#REF!</f>
        <v>#REF!</v>
      </c>
      <c r="K5" s="3515" t="e">
        <f>#REF!</f>
        <v>#REF!</v>
      </c>
      <c r="L5" s="3509" t="e">
        <f>#REF!</f>
        <v>#REF!</v>
      </c>
      <c r="M5" s="3507">
        <f t="shared" si="0"/>
        <v>1104.24</v>
      </c>
      <c r="Q5" s="3507">
        <f>D39+D46</f>
        <v>62715.369999999988</v>
      </c>
      <c r="R5" s="3507">
        <f>ROUND(D6/Q5*'数据-基础表'!A3,0)</f>
        <v>11911</v>
      </c>
    </row>
    <row r="6" spans="1:18" ht="22.5" customHeight="1">
      <c r="A6" s="3510">
        <v>4</v>
      </c>
      <c r="B6" s="3511" t="e">
        <f>#REF!</f>
        <v>#REF!</v>
      </c>
      <c r="C6" s="3511" t="str">
        <f>'[4]4'!B1</f>
        <v>4宿舍楼</v>
      </c>
      <c r="D6" s="3511">
        <f>'[4]4'!C8</f>
        <v>4101</v>
      </c>
      <c r="E6" s="3512" t="e">
        <f>#REF!</f>
        <v>#REF!</v>
      </c>
      <c r="F6" s="3513">
        <f>'[4]4'!C30</f>
        <v>5433241.0175999999</v>
      </c>
      <c r="G6" s="3511" t="e">
        <f>#REF!</f>
        <v>#REF!</v>
      </c>
      <c r="H6" s="3514" t="e">
        <f>#REF!</f>
        <v>#REF!</v>
      </c>
      <c r="I6" s="3514" t="e">
        <f>#REF!</f>
        <v>#REF!</v>
      </c>
      <c r="J6" s="3508" t="e">
        <f>#REF!</f>
        <v>#REF!</v>
      </c>
      <c r="K6" s="3515" t="e">
        <f>#REF!</f>
        <v>#REF!</v>
      </c>
      <c r="L6" s="3509" t="e">
        <f>#REF!</f>
        <v>#REF!</v>
      </c>
      <c r="M6" s="3507">
        <f t="shared" si="0"/>
        <v>1324.86</v>
      </c>
      <c r="R6" s="3507">
        <f ca="1">ROUND(D6/Q5*'数据-基础表'!A3*'结果（终）'!I5,0)</f>
        <v>96946244</v>
      </c>
    </row>
    <row r="7" spans="1:18" ht="22.5" customHeight="1">
      <c r="A7" s="3510">
        <v>5</v>
      </c>
      <c r="B7" s="3511" t="e">
        <f>#REF!</f>
        <v>#REF!</v>
      </c>
      <c r="C7" s="3511" t="str">
        <f>'[4]5'!B1</f>
        <v>5仓库</v>
      </c>
      <c r="D7" s="3511">
        <f>'[4]5'!C8</f>
        <v>13.2</v>
      </c>
      <c r="E7" s="3512" t="e">
        <f>#REF!</f>
        <v>#REF!</v>
      </c>
      <c r="F7" s="3513">
        <f>'[4]5'!C30</f>
        <v>11274</v>
      </c>
      <c r="G7" s="3511" t="e">
        <f>#REF!</f>
        <v>#REF!</v>
      </c>
      <c r="H7" s="3514" t="e">
        <f>#REF!</f>
        <v>#REF!</v>
      </c>
      <c r="I7" s="3514" t="e">
        <f>#REF!</f>
        <v>#REF!</v>
      </c>
      <c r="J7" s="3508" t="e">
        <f>#REF!</f>
        <v>#REF!</v>
      </c>
      <c r="K7" s="3515" t="e">
        <f>#REF!</f>
        <v>#REF!</v>
      </c>
      <c r="L7" s="3509" t="e">
        <f>#REF!</f>
        <v>#REF!</v>
      </c>
      <c r="M7" s="3507">
        <f t="shared" si="0"/>
        <v>854.09</v>
      </c>
      <c r="R7" s="3546">
        <f ca="1">R6+F6</f>
        <v>102379485.0176</v>
      </c>
    </row>
    <row r="8" spans="1:18" ht="22.5" customHeight="1">
      <c r="A8" s="3510">
        <v>6</v>
      </c>
      <c r="B8" s="3511" t="e">
        <f>#REF!</f>
        <v>#REF!</v>
      </c>
      <c r="C8" s="3511" t="str">
        <f>'[4]6'!B1</f>
        <v>6销售办公室</v>
      </c>
      <c r="D8" s="3511">
        <f>'[4]6'!C8</f>
        <v>65.099999999999994</v>
      </c>
      <c r="E8" s="3512" t="e">
        <f>#REF!</f>
        <v>#REF!</v>
      </c>
      <c r="F8" s="3513">
        <f>'[4]6'!C30</f>
        <v>44225</v>
      </c>
      <c r="G8" s="3511" t="e">
        <f>#REF!</f>
        <v>#REF!</v>
      </c>
      <c r="H8" s="3514" t="e">
        <f>#REF!</f>
        <v>#REF!</v>
      </c>
      <c r="I8" s="3514" t="e">
        <f>#REF!</f>
        <v>#REF!</v>
      </c>
      <c r="J8" s="3508" t="e">
        <f>#REF!</f>
        <v>#REF!</v>
      </c>
      <c r="K8" s="3515" t="e">
        <f>#REF!</f>
        <v>#REF!</v>
      </c>
      <c r="L8" s="3509" t="e">
        <f>#REF!</f>
        <v>#REF!</v>
      </c>
      <c r="M8" s="3507">
        <f t="shared" si="0"/>
        <v>679.34</v>
      </c>
    </row>
    <row r="9" spans="1:18" ht="22.5" customHeight="1">
      <c r="A9" s="3510">
        <v>7</v>
      </c>
      <c r="B9" s="3511" t="e">
        <f>#REF!</f>
        <v>#REF!</v>
      </c>
      <c r="C9" s="3511" t="str">
        <f>'[4]7'!B1</f>
        <v>7销售办公室</v>
      </c>
      <c r="D9" s="3511">
        <f>'[4]7'!C8</f>
        <v>57.5</v>
      </c>
      <c r="E9" s="3512" t="e">
        <f>#REF!</f>
        <v>#REF!</v>
      </c>
      <c r="F9" s="3513">
        <f>'[4]7'!C30</f>
        <v>39181</v>
      </c>
      <c r="G9" s="3511" t="e">
        <f>#REF!</f>
        <v>#REF!</v>
      </c>
      <c r="H9" s="3514" t="e">
        <f>#REF!</f>
        <v>#REF!</v>
      </c>
      <c r="I9" s="3514" t="e">
        <f>#REF!</f>
        <v>#REF!</v>
      </c>
      <c r="J9" s="3508" t="e">
        <f>#REF!</f>
        <v>#REF!</v>
      </c>
      <c r="K9" s="3515" t="e">
        <f>#REF!</f>
        <v>#REF!</v>
      </c>
      <c r="L9" s="3509" t="e">
        <f>#REF!</f>
        <v>#REF!</v>
      </c>
      <c r="M9" s="3507">
        <f t="shared" si="0"/>
        <v>681.41</v>
      </c>
    </row>
    <row r="10" spans="1:18" ht="22.5" customHeight="1">
      <c r="A10" s="3510">
        <v>8</v>
      </c>
      <c r="B10" s="3511" t="e">
        <f>#REF!</f>
        <v>#REF!</v>
      </c>
      <c r="C10" s="3511" t="str">
        <f>'[4]8'!B1</f>
        <v>8销售办公室</v>
      </c>
      <c r="D10" s="3511">
        <f>'[4]8'!C8</f>
        <v>40.5</v>
      </c>
      <c r="E10" s="3512" t="e">
        <f>#REF!</f>
        <v>#REF!</v>
      </c>
      <c r="F10" s="3513">
        <f>'[4]8'!C30</f>
        <v>27511</v>
      </c>
      <c r="G10" s="3511" t="e">
        <f>#REF!</f>
        <v>#REF!</v>
      </c>
      <c r="H10" s="3514" t="e">
        <f>#REF!</f>
        <v>#REF!</v>
      </c>
      <c r="I10" s="3514" t="e">
        <f>#REF!</f>
        <v>#REF!</v>
      </c>
      <c r="J10" s="3508" t="e">
        <f>#REF!</f>
        <v>#REF!</v>
      </c>
      <c r="K10" s="3515" t="e">
        <f>#REF!</f>
        <v>#REF!</v>
      </c>
      <c r="L10" s="3509" t="e">
        <f>#REF!</f>
        <v>#REF!</v>
      </c>
      <c r="M10" s="3507">
        <f t="shared" si="0"/>
        <v>679.28</v>
      </c>
    </row>
    <row r="11" spans="1:18" ht="22.5" customHeight="1">
      <c r="A11" s="3510">
        <v>9</v>
      </c>
      <c r="B11" s="3511" t="e">
        <f>#REF!</f>
        <v>#REF!</v>
      </c>
      <c r="C11" s="3511" t="str">
        <f>'[4]9'!B1</f>
        <v>9销售办公室</v>
      </c>
      <c r="D11" s="3511">
        <f>'[4]9'!C8</f>
        <v>68.400000000000006</v>
      </c>
      <c r="E11" s="3512" t="e">
        <f>#REF!</f>
        <v>#REF!</v>
      </c>
      <c r="F11" s="3513">
        <f>'[4]9'!C30</f>
        <v>46523</v>
      </c>
      <c r="G11" s="3511" t="e">
        <f>#REF!</f>
        <v>#REF!</v>
      </c>
      <c r="H11" s="3514" t="e">
        <f>#REF!</f>
        <v>#REF!</v>
      </c>
      <c r="I11" s="3514" t="e">
        <f>#REF!</f>
        <v>#REF!</v>
      </c>
      <c r="J11" s="3508" t="e">
        <f>#REF!</f>
        <v>#REF!</v>
      </c>
      <c r="K11" s="3515" t="e">
        <f>#REF!</f>
        <v>#REF!</v>
      </c>
      <c r="L11" s="3509" t="e">
        <f>#REF!</f>
        <v>#REF!</v>
      </c>
      <c r="M11" s="3507">
        <f t="shared" si="0"/>
        <v>680.16</v>
      </c>
    </row>
    <row r="12" spans="1:18" ht="22.5" customHeight="1">
      <c r="A12" s="3510">
        <v>10</v>
      </c>
      <c r="B12" s="3511" t="e">
        <f>#REF!</f>
        <v>#REF!</v>
      </c>
      <c r="C12" s="3511" t="str">
        <f>'[4]10'!B1</f>
        <v>10（小车库）</v>
      </c>
      <c r="D12" s="3511">
        <f>'[4]10'!C8</f>
        <v>222.5</v>
      </c>
      <c r="E12" s="3512" t="e">
        <f>#REF!</f>
        <v>#REF!</v>
      </c>
      <c r="F12" s="3513">
        <f>'[4]10'!C30</f>
        <v>151260</v>
      </c>
      <c r="G12" s="3511" t="e">
        <f>#REF!</f>
        <v>#REF!</v>
      </c>
      <c r="H12" s="3514" t="e">
        <f>#REF!</f>
        <v>#REF!</v>
      </c>
      <c r="I12" s="3514" t="e">
        <f>#REF!</f>
        <v>#REF!</v>
      </c>
      <c r="J12" s="3508" t="e">
        <f>#REF!</f>
        <v>#REF!</v>
      </c>
      <c r="K12" s="3515" t="e">
        <f>#REF!</f>
        <v>#REF!</v>
      </c>
      <c r="L12" s="3509" t="e">
        <f>#REF!</f>
        <v>#REF!</v>
      </c>
      <c r="M12" s="3507">
        <f t="shared" si="0"/>
        <v>679.82</v>
      </c>
    </row>
    <row r="13" spans="1:18" ht="26.1" customHeight="1">
      <c r="A13" s="3510">
        <v>11</v>
      </c>
      <c r="C13" s="3511" t="str">
        <f>'[4]11'!B1</f>
        <v>12休息室</v>
      </c>
      <c r="D13" s="3511">
        <f>'[4]11'!C8</f>
        <v>58.4</v>
      </c>
      <c r="F13" s="3513">
        <f>'[4]11'!C30</f>
        <v>49631</v>
      </c>
      <c r="M13" s="3507">
        <f t="shared" si="0"/>
        <v>849.85</v>
      </c>
    </row>
    <row r="14" spans="1:18" ht="24" customHeight="1">
      <c r="A14" s="3510">
        <v>12</v>
      </c>
      <c r="C14" s="3511">
        <f>'[4]12'!B1</f>
        <v>13</v>
      </c>
      <c r="D14" s="3511">
        <f>'[4]12'!C8</f>
        <v>60.2</v>
      </c>
      <c r="F14" s="3513">
        <f>'[4]12'!C30</f>
        <v>42615</v>
      </c>
      <c r="M14" s="3507">
        <f t="shared" si="0"/>
        <v>707.89</v>
      </c>
    </row>
    <row r="15" spans="1:18" ht="26.1" customHeight="1">
      <c r="A15" s="3510">
        <v>13</v>
      </c>
      <c r="C15" s="3511" t="str">
        <f>'[4]13'!B1</f>
        <v>14大车库</v>
      </c>
      <c r="D15" s="3511">
        <f>'[4]13'!C8</f>
        <v>836.6</v>
      </c>
      <c r="F15" s="3513">
        <f>'[4]13'!C30</f>
        <v>710552</v>
      </c>
      <c r="M15" s="3507">
        <f t="shared" si="0"/>
        <v>849.33</v>
      </c>
    </row>
    <row r="16" spans="1:18" ht="24" customHeight="1">
      <c r="A16" s="3510">
        <v>14</v>
      </c>
      <c r="C16" s="3511" t="str">
        <f>'[4]14'!B1</f>
        <v>15包材库</v>
      </c>
      <c r="D16" s="3511">
        <f>'[4]14'!C8</f>
        <v>1792.5</v>
      </c>
      <c r="F16" s="3513">
        <f>'[4]14'!C30</f>
        <v>1522322</v>
      </c>
      <c r="M16" s="3507">
        <f t="shared" si="0"/>
        <v>849.27</v>
      </c>
    </row>
    <row r="17" spans="1:13" ht="23.1" customHeight="1">
      <c r="A17" s="3510">
        <v>15</v>
      </c>
      <c r="C17" s="3511" t="str">
        <f>'[4]15'!B1</f>
        <v>16水泵房</v>
      </c>
      <c r="D17" s="3511">
        <f>'[4]15'!C8</f>
        <v>179</v>
      </c>
      <c r="F17" s="3513">
        <f>'[4]15'!C30</f>
        <v>152152</v>
      </c>
      <c r="M17" s="3507">
        <f t="shared" si="0"/>
        <v>850.01</v>
      </c>
    </row>
    <row r="18" spans="1:13" ht="23.1" customHeight="1">
      <c r="A18" s="3510">
        <v>16</v>
      </c>
      <c r="C18" s="3511" t="str">
        <f>'[4]16'!B1</f>
        <v>17包装+酒库</v>
      </c>
      <c r="D18" s="3511">
        <f>'[4]16'!C8</f>
        <v>11252.1</v>
      </c>
      <c r="F18" s="3513">
        <f>'[4]16'!C30</f>
        <v>10352214</v>
      </c>
      <c r="M18" s="3507">
        <f t="shared" si="0"/>
        <v>920.03</v>
      </c>
    </row>
    <row r="19" spans="1:13" ht="26.1" customHeight="1">
      <c r="A19" s="3510">
        <v>17</v>
      </c>
      <c r="C19" s="3511" t="str">
        <f>'[4]17'!B1</f>
        <v>18配电室</v>
      </c>
      <c r="D19" s="3511">
        <f>'[4]17'!C8</f>
        <v>310.89999999999998</v>
      </c>
      <c r="F19" s="3513">
        <f>'[4]17'!C30</f>
        <v>264018</v>
      </c>
      <c r="M19" s="3507">
        <f t="shared" si="0"/>
        <v>849.21</v>
      </c>
    </row>
    <row r="20" spans="1:13" ht="26.1" customHeight="1">
      <c r="A20" s="3510">
        <v>18</v>
      </c>
      <c r="C20" s="3511" t="str">
        <f>'[4]18'!B1</f>
        <v>19发芽</v>
      </c>
      <c r="D20" s="3511">
        <f>'[4]18'!C8</f>
        <v>6069.2</v>
      </c>
      <c r="F20" s="3513">
        <f>'[4]18'!C30</f>
        <v>5583833.5734479995</v>
      </c>
      <c r="M20" s="3507">
        <f t="shared" si="0"/>
        <v>920.03</v>
      </c>
    </row>
    <row r="21" spans="1:13" ht="24" customHeight="1">
      <c r="A21" s="3510">
        <v>19</v>
      </c>
      <c r="C21" s="3511" t="str">
        <f>'[4]19'!B1</f>
        <v>20空压冷冻</v>
      </c>
      <c r="D21" s="3511">
        <f>'[4]19'!C8</f>
        <v>1510.6</v>
      </c>
      <c r="F21" s="3513">
        <f>'[4]19'!C30</f>
        <v>1389825</v>
      </c>
      <c r="M21" s="3507">
        <f t="shared" si="0"/>
        <v>920.05</v>
      </c>
    </row>
    <row r="22" spans="1:13" ht="26.1" customHeight="1">
      <c r="A22" s="3510">
        <v>20</v>
      </c>
      <c r="C22" s="3511" t="str">
        <f>'[4]20'!B1</f>
        <v>21加工间</v>
      </c>
      <c r="D22" s="3511">
        <f>'[4]20'!C8</f>
        <v>9213.2000000000007</v>
      </c>
      <c r="F22" s="3513">
        <f>'[4]20'!C30</f>
        <v>8476338.5827840008</v>
      </c>
      <c r="M22" s="3507">
        <f t="shared" si="0"/>
        <v>920.02</v>
      </c>
    </row>
    <row r="23" spans="1:13" ht="21.9" customHeight="1">
      <c r="A23" s="3510">
        <v>21</v>
      </c>
      <c r="C23" s="3511" t="str">
        <f>'[4]21'!B1</f>
        <v>22工程部</v>
      </c>
      <c r="D23" s="3511">
        <f>'[4]21'!C8</f>
        <v>1452.1</v>
      </c>
      <c r="F23" s="3513">
        <f>'[4]21'!C30</f>
        <v>1336023.7727199998</v>
      </c>
      <c r="M23" s="3507">
        <f t="shared" si="0"/>
        <v>920.06</v>
      </c>
    </row>
    <row r="24" spans="1:13" ht="21.9" customHeight="1">
      <c r="A24" s="3510">
        <v>22</v>
      </c>
      <c r="C24" s="3511">
        <f>'[4]22'!B1</f>
        <v>23</v>
      </c>
      <c r="D24" s="3511">
        <f>'[4]22'!C8</f>
        <v>3265</v>
      </c>
      <c r="F24" s="3513">
        <f>'[4]22'!C30</f>
        <v>2772815.6159999999</v>
      </c>
      <c r="M24" s="3507">
        <f t="shared" si="0"/>
        <v>849.25</v>
      </c>
    </row>
    <row r="25" spans="1:13" ht="21.9" customHeight="1">
      <c r="A25" s="3510">
        <v>23</v>
      </c>
      <c r="C25" s="3511" t="str">
        <f>'[4]23'!B1</f>
        <v>24卸麦间（铁路）</v>
      </c>
      <c r="D25" s="3511">
        <f>'[4]23'!C8</f>
        <v>2300.5</v>
      </c>
      <c r="F25" s="3513">
        <f>'[4]23'!C30</f>
        <v>3516714</v>
      </c>
      <c r="M25" s="3507">
        <f t="shared" si="0"/>
        <v>1528.67</v>
      </c>
    </row>
    <row r="26" spans="1:13" ht="24" customHeight="1">
      <c r="A26" s="3510">
        <v>24</v>
      </c>
      <c r="C26" s="3511" t="str">
        <f>'[4]24'!B1</f>
        <v>27化工库</v>
      </c>
      <c r="D26" s="3511">
        <f>'[4]24'!C8</f>
        <v>256.60000000000002</v>
      </c>
      <c r="F26" s="3513">
        <f>'[4]24'!C30</f>
        <v>217942</v>
      </c>
      <c r="M26" s="3507">
        <f t="shared" si="0"/>
        <v>849.35</v>
      </c>
    </row>
    <row r="27" spans="1:13" ht="24" customHeight="1">
      <c r="A27" s="3510">
        <v>25</v>
      </c>
      <c r="C27" s="3511">
        <f>'[4]25'!B1</f>
        <v>28</v>
      </c>
      <c r="D27" s="3511">
        <f>'[4]25'!C8</f>
        <v>109.7</v>
      </c>
      <c r="F27" s="3513">
        <f>'[4]25'!C30</f>
        <v>100915.16915</v>
      </c>
      <c r="M27" s="3507">
        <f t="shared" si="0"/>
        <v>919.92</v>
      </c>
    </row>
    <row r="28" spans="1:13" ht="23.1" customHeight="1">
      <c r="A28" s="3510">
        <v>26</v>
      </c>
      <c r="C28" s="3511">
        <f>'[4]26'!B1</f>
        <v>29</v>
      </c>
      <c r="D28" s="3511">
        <f>'[4]26'!C8</f>
        <v>140.19999999999999</v>
      </c>
      <c r="F28" s="3513">
        <f>'[4]26'!C30</f>
        <v>129348</v>
      </c>
      <c r="M28" s="3507">
        <f t="shared" si="0"/>
        <v>922.6</v>
      </c>
    </row>
    <row r="29" spans="1:13" ht="24" customHeight="1">
      <c r="A29" s="3510">
        <v>27</v>
      </c>
      <c r="C29" s="3511">
        <f>'[4]27'!B1</f>
        <v>30</v>
      </c>
      <c r="D29" s="3511">
        <f>'[4]27'!C8</f>
        <v>90.2</v>
      </c>
      <c r="F29" s="3513">
        <f>'[4]27'!C30</f>
        <v>76646</v>
      </c>
      <c r="M29" s="3507">
        <f t="shared" si="0"/>
        <v>849.73</v>
      </c>
    </row>
    <row r="30" spans="1:13" ht="24" customHeight="1">
      <c r="A30" s="3510">
        <v>28</v>
      </c>
      <c r="C30" s="3511">
        <f>'[4]28'!B1</f>
        <v>31</v>
      </c>
      <c r="D30" s="3511">
        <f>'[4]28'!C8</f>
        <v>175.8</v>
      </c>
      <c r="F30" s="3513">
        <f>'[4]28'!C30</f>
        <v>161849</v>
      </c>
      <c r="M30" s="3507">
        <f t="shared" si="0"/>
        <v>920.64</v>
      </c>
    </row>
    <row r="31" spans="1:13" ht="24" customHeight="1">
      <c r="A31" s="3517">
        <v>29</v>
      </c>
      <c r="C31" s="3518">
        <f>'[4]29'!B1</f>
        <v>32</v>
      </c>
      <c r="D31" s="3511">
        <f>'[4]29'!C8</f>
        <v>174.2</v>
      </c>
      <c r="F31" s="3519">
        <f>'[4]29'!C30</f>
        <v>160303</v>
      </c>
      <c r="M31" s="3507">
        <f t="shared" si="0"/>
        <v>920.22</v>
      </c>
    </row>
    <row r="32" spans="1:13" ht="24.9" customHeight="1">
      <c r="A32" s="3517">
        <v>30</v>
      </c>
      <c r="C32" s="3518" t="str">
        <f>'[4]30'!B1</f>
        <v>33机修车间</v>
      </c>
      <c r="D32" s="3511">
        <f>'[4]30'!C8</f>
        <v>1001.7</v>
      </c>
      <c r="F32" s="3519">
        <f>'[4]30'!C30</f>
        <v>850722</v>
      </c>
      <c r="M32" s="3507">
        <f t="shared" si="0"/>
        <v>849.28</v>
      </c>
    </row>
    <row r="33" spans="1:16" ht="24" customHeight="1">
      <c r="A33" s="3517">
        <v>31</v>
      </c>
      <c r="C33" s="3518" t="str">
        <f>'[4]31'!B1</f>
        <v>34备件库</v>
      </c>
      <c r="D33" s="3511">
        <f>'[4]31'!C8</f>
        <v>822.6</v>
      </c>
      <c r="F33" s="3519">
        <f>'[4]31'!C30</f>
        <v>698624</v>
      </c>
      <c r="M33" s="3507">
        <f t="shared" si="0"/>
        <v>849.29</v>
      </c>
    </row>
    <row r="34" spans="1:16" ht="23.1" customHeight="1">
      <c r="A34" s="3517">
        <v>32</v>
      </c>
      <c r="C34" s="3518" t="str">
        <f>'[4]32'!B1</f>
        <v>35锅炉房</v>
      </c>
      <c r="D34" s="3511">
        <f>'[4]32'!C8</f>
        <v>1847.9</v>
      </c>
      <c r="F34" s="3519">
        <f>'[4]32'!C30</f>
        <v>1700130.4590200002</v>
      </c>
      <c r="M34" s="3507">
        <f t="shared" si="0"/>
        <v>920.03</v>
      </c>
      <c r="P34" s="3513"/>
    </row>
    <row r="35" spans="1:16" ht="23.1" customHeight="1">
      <c r="A35" s="3517">
        <v>33</v>
      </c>
      <c r="C35" s="3518" t="str">
        <f>'[4]33'!B1</f>
        <v>36糖化</v>
      </c>
      <c r="D35" s="3511">
        <f>'[4]33'!C8</f>
        <v>5042.6000000000004</v>
      </c>
      <c r="F35" s="3519">
        <f>'[4]33'!C30</f>
        <v>4639321.0905600004</v>
      </c>
      <c r="M35" s="3507">
        <f t="shared" si="0"/>
        <v>920.03</v>
      </c>
    </row>
    <row r="36" spans="1:16" ht="24" customHeight="1">
      <c r="A36" s="3517">
        <v>34</v>
      </c>
      <c r="C36" s="3518" t="str">
        <f>'[4]34'!B1</f>
        <v>37办公楼</v>
      </c>
      <c r="D36" s="3511">
        <f>'[4]34'!C8</f>
        <v>2200.3000000000002</v>
      </c>
      <c r="F36" s="3519">
        <f>'[4]34'!C30</f>
        <v>2024332.3276800003</v>
      </c>
      <c r="M36" s="3507">
        <f t="shared" si="0"/>
        <v>920.03</v>
      </c>
    </row>
    <row r="37" spans="1:16" ht="24" customHeight="1">
      <c r="A37" s="3517">
        <v>35</v>
      </c>
      <c r="C37" s="3518" t="str">
        <f>'[4]35'!B1</f>
        <v>37办公楼（地下室）</v>
      </c>
      <c r="D37" s="3511">
        <f>'[4]35'!C8</f>
        <v>1023.2</v>
      </c>
      <c r="F37" s="3519">
        <f>'[4]35'!C30</f>
        <v>941399.96904000011</v>
      </c>
      <c r="M37" s="3507">
        <f t="shared" si="0"/>
        <v>920.05</v>
      </c>
    </row>
    <row r="38" spans="1:16" ht="23.1" customHeight="1">
      <c r="A38" s="3517">
        <v>36</v>
      </c>
      <c r="C38" s="3518" t="str">
        <f>'[4]36'!B1</f>
        <v>38叉车修理间</v>
      </c>
      <c r="D38" s="3511">
        <f>'[4]36'!C8</f>
        <v>371.9</v>
      </c>
      <c r="F38" s="3519">
        <f>'[4]36'!C30</f>
        <v>342232</v>
      </c>
      <c r="M38" s="3507">
        <f t="shared" si="0"/>
        <v>920.23</v>
      </c>
    </row>
    <row r="39" spans="1:16" ht="32.1" customHeight="1">
      <c r="A39" s="3951" t="s">
        <v>24</v>
      </c>
      <c r="B39" s="3952"/>
      <c r="C39" s="3953"/>
      <c r="D39" s="3511">
        <f>SUM(D3:D38)</f>
        <v>60473.499999999985</v>
      </c>
      <c r="F39" s="3519">
        <f>SUM(F3:F38)</f>
        <v>60049176.602899998</v>
      </c>
    </row>
    <row r="40" spans="1:16" ht="27" customHeight="1">
      <c r="A40" s="3520">
        <v>37</v>
      </c>
      <c r="C40" s="3521" t="str">
        <f>'[4]37'!B1</f>
        <v>13地磅房（中衡）</v>
      </c>
      <c r="D40" s="3511">
        <f>'[4]37'!C8</f>
        <v>234.44</v>
      </c>
      <c r="F40" s="3519">
        <f>'[4]37'!C30</f>
        <v>215746</v>
      </c>
      <c r="M40" s="3507">
        <f>ROUND(F40/D40,2)</f>
        <v>920.26</v>
      </c>
    </row>
    <row r="41" spans="1:16" ht="27" customHeight="1">
      <c r="A41" s="3522">
        <v>38</v>
      </c>
      <c r="C41" s="3518" t="str">
        <f>'[4]38'!B1</f>
        <v>26卸煤间</v>
      </c>
      <c r="D41" s="3511">
        <f>'[4]38'!C8</f>
        <v>1073</v>
      </c>
      <c r="F41" s="3519">
        <f>'[4]38'!C30</f>
        <v>1093516.1891999999</v>
      </c>
      <c r="M41" s="3507">
        <f t="shared" ref="M41:M45" si="1">ROUND(F41/D41,2)</f>
        <v>1019.12</v>
      </c>
    </row>
    <row r="42" spans="1:16" ht="24.9" customHeight="1">
      <c r="A42" s="3522">
        <v>39</v>
      </c>
      <c r="C42" s="3518" t="str">
        <f>'[4]39'!B1</f>
        <v>14瓶箱厕所</v>
      </c>
      <c r="D42" s="3511">
        <f>'[4]39'!C8</f>
        <v>38.75</v>
      </c>
      <c r="F42" s="3519">
        <f>'[4]39'!C30</f>
        <v>35710</v>
      </c>
      <c r="M42" s="3507">
        <f t="shared" si="1"/>
        <v>921.55</v>
      </c>
    </row>
    <row r="43" spans="1:16" ht="24" customHeight="1">
      <c r="A43" s="3522">
        <v>40</v>
      </c>
      <c r="C43" s="3518" t="str">
        <f>'[4]40'!B1</f>
        <v>12油库及附属设施</v>
      </c>
      <c r="D43" s="3511">
        <f>'[4]40'!C8</f>
        <v>210.25</v>
      </c>
      <c r="F43" s="3519">
        <f>'[4]40'!C30</f>
        <v>193408</v>
      </c>
      <c r="M43" s="3507">
        <f t="shared" si="1"/>
        <v>919.9</v>
      </c>
    </row>
    <row r="44" spans="1:16" ht="24.9" customHeight="1">
      <c r="A44" s="3522">
        <v>41</v>
      </c>
      <c r="C44" s="3518" t="str">
        <f>'[4]41'!B1</f>
        <v>37污水处理厂</v>
      </c>
      <c r="D44" s="3511">
        <f>'[4]41'!C8</f>
        <v>607</v>
      </c>
      <c r="F44" s="3519">
        <f>'[4]41'!C30</f>
        <v>670143</v>
      </c>
      <c r="M44" s="3507">
        <f t="shared" si="1"/>
        <v>1104.02</v>
      </c>
    </row>
    <row r="45" spans="1:16" ht="26.1" customHeight="1">
      <c r="A45" s="3522">
        <v>42</v>
      </c>
      <c r="C45" s="3518" t="str">
        <f>'[4]42'!B1</f>
        <v>18营业室</v>
      </c>
      <c r="D45" s="3518">
        <f>'[4]42'!C8</f>
        <v>78.430000000000007</v>
      </c>
      <c r="F45" s="3519">
        <f>'[4]42'!C30</f>
        <v>79922</v>
      </c>
      <c r="M45" s="3507">
        <f t="shared" si="1"/>
        <v>1019.02</v>
      </c>
    </row>
    <row r="46" spans="1:16" ht="30" customHeight="1">
      <c r="A46" s="3951" t="s">
        <v>24</v>
      </c>
      <c r="B46" s="3952"/>
      <c r="C46" s="3953"/>
      <c r="D46" s="3511">
        <f>SUM(D40:D45)</f>
        <v>2241.87</v>
      </c>
      <c r="E46" s="3511"/>
      <c r="F46" s="3519">
        <f>SUM(F40:F45)</f>
        <v>2288445.1891999999</v>
      </c>
    </row>
    <row r="47" spans="1:16" ht="27" customHeight="1">
      <c r="A47" s="3523">
        <v>43</v>
      </c>
      <c r="C47" s="3521" t="str">
        <f>'[4]43'!B1</f>
        <v>1易拉罐暂存库</v>
      </c>
      <c r="D47" s="3524">
        <f>'[4]43'!C8</f>
        <v>2790</v>
      </c>
      <c r="F47" s="3519">
        <f>'[4]43'!C30</f>
        <v>2155934</v>
      </c>
    </row>
    <row r="48" spans="1:16" ht="30" customHeight="1">
      <c r="A48" s="3525">
        <v>44</v>
      </c>
      <c r="C48" s="3518" t="str">
        <f>'[4]44'!B1</f>
        <v>2成品麦芽暂存库</v>
      </c>
      <c r="D48" s="3511">
        <f>'[4]44'!C8</f>
        <v>9890</v>
      </c>
      <c r="F48" s="3519">
        <f>'[4]44'!C30</f>
        <v>7642139</v>
      </c>
    </row>
    <row r="49" spans="1:6" ht="27.9" customHeight="1">
      <c r="A49" s="3525">
        <v>45</v>
      </c>
      <c r="C49" s="3518" t="str">
        <f>'[4]45'!B1</f>
        <v>3酒库大棚</v>
      </c>
      <c r="D49" s="3511">
        <f>'[4]45'!C8</f>
        <v>2486</v>
      </c>
      <c r="F49" s="3519">
        <f>'[4]45'!C30</f>
        <v>1921038</v>
      </c>
    </row>
    <row r="50" spans="1:6" ht="30" customHeight="1">
      <c r="A50" s="3525">
        <v>46</v>
      </c>
      <c r="C50" s="3518" t="str">
        <f>'[4]46'!B1</f>
        <v>4冷冻简易房</v>
      </c>
      <c r="D50" s="3518">
        <f>'[4]46'!C8</f>
        <v>154.56</v>
      </c>
      <c r="F50" s="3519">
        <f>'[4]46'!C30</f>
        <v>119419</v>
      </c>
    </row>
    <row r="51" spans="1:6" ht="30" customHeight="1">
      <c r="A51" s="3525">
        <v>47</v>
      </c>
      <c r="B51" s="3526"/>
      <c r="C51" s="3511" t="str">
        <f>'[4]47'!B1</f>
        <v>5易拉罐空罐库</v>
      </c>
      <c r="D51" s="3511">
        <f>'[4]47'!C8</f>
        <v>356.25</v>
      </c>
      <c r="E51" s="3527"/>
      <c r="F51" s="3513">
        <f>'[4]47'!C30</f>
        <v>275341</v>
      </c>
    </row>
    <row r="52" spans="1:6" ht="27" customHeight="1">
      <c r="A52" s="3525">
        <v>48</v>
      </c>
      <c r="B52" s="3526"/>
      <c r="C52" s="3511" t="str">
        <f>'[4]48'!B1</f>
        <v>6易拉罐杀菌机房</v>
      </c>
      <c r="D52" s="3511">
        <f>'[4]48'!C8</f>
        <v>184.1</v>
      </c>
      <c r="E52" s="3527"/>
      <c r="F52" s="3513">
        <f>'[4]48'!C30</f>
        <v>142331</v>
      </c>
    </row>
    <row r="53" spans="1:6" ht="30" customHeight="1">
      <c r="A53" s="3525">
        <v>49</v>
      </c>
      <c r="B53" s="3526"/>
      <c r="C53" s="3511" t="str">
        <f>'[4]49'!B1</f>
        <v>7洗瓶场（棚，未封）</v>
      </c>
      <c r="D53" s="3511">
        <f>'[4]49'!C8</f>
        <v>1071.6500000000001</v>
      </c>
      <c r="E53" s="3527"/>
      <c r="F53" s="3513">
        <f>'[4]49'!C30</f>
        <v>345039</v>
      </c>
    </row>
    <row r="54" spans="1:6" ht="27" customHeight="1">
      <c r="A54" s="3525">
        <v>50</v>
      </c>
      <c r="B54" s="3526"/>
      <c r="C54" s="3511" t="str">
        <f>'[4]50'!B1</f>
        <v>8扎啤空桶库</v>
      </c>
      <c r="D54" s="3511">
        <f>'[4]50'!C8</f>
        <v>205.86</v>
      </c>
      <c r="E54" s="3527"/>
      <c r="F54" s="3513">
        <f>'[4]50'!C30</f>
        <v>159145</v>
      </c>
    </row>
    <row r="55" spans="1:6" ht="27" customHeight="1">
      <c r="A55" s="3525">
        <v>51</v>
      </c>
      <c r="B55" s="3526"/>
      <c r="C55" s="3511" t="str">
        <f>'[4]51'!B1</f>
        <v>9扎啤车间</v>
      </c>
      <c r="D55" s="3511">
        <f>'[4]51'!C8</f>
        <v>369.66</v>
      </c>
      <c r="E55" s="3527"/>
      <c r="F55" s="3513">
        <f>'[4]51'!C30</f>
        <v>238022</v>
      </c>
    </row>
    <row r="56" spans="1:6" ht="27" customHeight="1">
      <c r="A56" s="3525">
        <v>52</v>
      </c>
      <c r="B56" s="3526"/>
      <c r="C56" s="3511" t="str">
        <f>'[4]52'!B1</f>
        <v>10扎啤成品库</v>
      </c>
      <c r="D56" s="3511">
        <f>'[4]52'!C8</f>
        <v>178.12</v>
      </c>
      <c r="E56" s="3527"/>
      <c r="F56" s="3513">
        <f>'[4]52'!C30</f>
        <v>137608</v>
      </c>
    </row>
    <row r="57" spans="1:6" ht="27.9" customHeight="1">
      <c r="A57" s="3525">
        <v>53</v>
      </c>
      <c r="B57" s="3526"/>
      <c r="C57" s="3511" t="str">
        <f>'[4]53'!B1</f>
        <v>11（5升桶生产车间）</v>
      </c>
      <c r="D57" s="3511">
        <f>'[4]53'!C8</f>
        <v>1288.56</v>
      </c>
      <c r="E57" s="3527"/>
      <c r="F57" s="3513">
        <f>'[4]53'!C30</f>
        <v>995730</v>
      </c>
    </row>
    <row r="58" spans="1:6" ht="27" customHeight="1">
      <c r="A58" s="3525">
        <v>54</v>
      </c>
      <c r="B58" s="3526"/>
      <c r="C58" s="3511" t="str">
        <f>'[4]54'!B1</f>
        <v>12油库及附属设施</v>
      </c>
      <c r="D58" s="3511">
        <f>'[4]54'!C8</f>
        <v>111</v>
      </c>
      <c r="E58" s="3527"/>
      <c r="F58" s="3513">
        <f>'[4]54'!C30</f>
        <v>71520</v>
      </c>
    </row>
    <row r="59" spans="1:6" ht="26.1" customHeight="1">
      <c r="A59" s="3525">
        <v>55</v>
      </c>
      <c r="B59" s="3526"/>
      <c r="C59" s="3511" t="str">
        <f>'[4]55'!B1</f>
        <v>15销售办公房</v>
      </c>
      <c r="D59" s="3511">
        <f>'[4]55'!C8</f>
        <v>298.2</v>
      </c>
      <c r="E59" s="3527"/>
      <c r="F59" s="3513">
        <f>'[4]55'!C30</f>
        <v>192094</v>
      </c>
    </row>
    <row r="60" spans="1:6" ht="27" customHeight="1">
      <c r="A60" s="3525">
        <v>56</v>
      </c>
      <c r="B60" s="3526"/>
      <c r="C60" s="3511" t="str">
        <f>'[4]56'!B1</f>
        <v>16警队休息室</v>
      </c>
      <c r="D60" s="3511">
        <f>'[4]56'!C8</f>
        <v>103.68</v>
      </c>
      <c r="E60" s="3527"/>
      <c r="F60" s="3513">
        <f>'[4]56'!C30</f>
        <v>66809</v>
      </c>
    </row>
    <row r="61" spans="1:6" ht="27" customHeight="1">
      <c r="A61" s="3525">
        <v>57</v>
      </c>
      <c r="B61" s="3526"/>
      <c r="C61" s="3511" t="str">
        <f>'[4]57'!B1</f>
        <v>17绿化队休息室</v>
      </c>
      <c r="D61" s="3511">
        <f>'[4]57'!C8</f>
        <v>178.2</v>
      </c>
      <c r="E61" s="3527"/>
      <c r="F61" s="3513">
        <f>'[4]57'!C30</f>
        <v>114715</v>
      </c>
    </row>
    <row r="62" spans="1:6" ht="24" customHeight="1">
      <c r="A62" s="3525">
        <v>58</v>
      </c>
      <c r="B62" s="3526"/>
      <c r="C62" s="3511" t="str">
        <f>'[4]58'!B1</f>
        <v>19基建库房</v>
      </c>
      <c r="D62" s="3511">
        <f>'[4]58'!C8</f>
        <v>316.62</v>
      </c>
      <c r="E62" s="3527"/>
      <c r="F62" s="3513">
        <f>'[4]58'!C30</f>
        <v>203907</v>
      </c>
    </row>
    <row r="63" spans="1:6" ht="26.1" customHeight="1">
      <c r="A63" s="3525">
        <v>59</v>
      </c>
      <c r="B63" s="3526"/>
      <c r="C63" s="3511" t="str">
        <f>'[4]59'!B1</f>
        <v>20西门岗</v>
      </c>
      <c r="D63" s="3511">
        <f>'[4]59'!C8</f>
        <v>16.32</v>
      </c>
      <c r="E63" s="3527"/>
      <c r="F63" s="3513">
        <f>'[4]59'!C30</f>
        <v>10535</v>
      </c>
    </row>
    <row r="64" spans="1:6" ht="27" customHeight="1">
      <c r="A64" s="3525">
        <v>60</v>
      </c>
      <c r="B64" s="3526"/>
      <c r="C64" s="3511" t="str">
        <f>'[4]60'!B1</f>
        <v>21传达室</v>
      </c>
      <c r="D64" s="3511">
        <f>'[4]60'!C8</f>
        <v>64.599999999999994</v>
      </c>
      <c r="E64" s="3527"/>
      <c r="F64" s="3513">
        <f>'[4]60'!C30</f>
        <v>41635</v>
      </c>
    </row>
    <row r="65" spans="1:6" ht="26.1" customHeight="1">
      <c r="A65" s="3525">
        <v>61</v>
      </c>
      <c r="B65" s="3526"/>
      <c r="C65" s="3511" t="str">
        <f>'[4]61'!B1</f>
        <v>22自行车棚（内）</v>
      </c>
      <c r="D65" s="3511">
        <f>'[4]61'!C8</f>
        <v>191.7</v>
      </c>
      <c r="E65" s="3527"/>
      <c r="F65" s="3513">
        <f>'[4]61'!C30</f>
        <v>148104</v>
      </c>
    </row>
    <row r="66" spans="1:6" ht="24" customHeight="1">
      <c r="A66" s="3525">
        <v>62</v>
      </c>
      <c r="B66" s="3526"/>
      <c r="C66" s="3511" t="str">
        <f>'[4]62'!B1</f>
        <v>23扎啤临时库房</v>
      </c>
      <c r="D66" s="3511">
        <f>'[4]62'!C8</f>
        <v>247.5</v>
      </c>
      <c r="E66" s="3527"/>
      <c r="F66" s="3513">
        <f>'[4]62'!C30</f>
        <v>191238</v>
      </c>
    </row>
    <row r="67" spans="1:6" ht="26.1" customHeight="1">
      <c r="A67" s="3525">
        <v>63</v>
      </c>
      <c r="B67" s="3526"/>
      <c r="C67" s="3511" t="str">
        <f>'[4]63'!B1</f>
        <v>24包材库办公室</v>
      </c>
      <c r="D67" s="3511">
        <f>'[4]63'!C8</f>
        <v>39.69</v>
      </c>
      <c r="E67" s="3527"/>
      <c r="F67" s="3513">
        <f>'[4]63'!C30</f>
        <v>25629</v>
      </c>
    </row>
    <row r="68" spans="1:6" ht="26.1" customHeight="1">
      <c r="A68" s="3525">
        <v>64</v>
      </c>
      <c r="B68" s="3526"/>
      <c r="C68" s="3511" t="str">
        <f>'[4]64'!B1</f>
        <v>25酒糟干燥车间</v>
      </c>
      <c r="D68" s="3511">
        <f>'[4]64'!C8</f>
        <v>624.24</v>
      </c>
      <c r="E68" s="3527"/>
      <c r="F68" s="3513">
        <f>'[4]64'!C30</f>
        <v>482932</v>
      </c>
    </row>
    <row r="69" spans="1:6" ht="24.9" customHeight="1">
      <c r="A69" s="3525">
        <v>65</v>
      </c>
      <c r="B69" s="3526"/>
      <c r="C69" s="3511" t="str">
        <f>'[4]65'!B1</f>
        <v>27铁道值班室</v>
      </c>
      <c r="D69" s="3511">
        <f>'[4]65'!C8</f>
        <v>121</v>
      </c>
      <c r="E69" s="3527"/>
      <c r="F69" s="3513">
        <f>'[4]65'!C30</f>
        <v>77939</v>
      </c>
    </row>
    <row r="70" spans="1:6" ht="30" customHeight="1">
      <c r="A70" s="3525">
        <v>66</v>
      </c>
      <c r="B70" s="3526"/>
      <c r="C70" s="3511" t="str">
        <f>'[4]66'!B1</f>
        <v>28浴室旁地泵房东</v>
      </c>
      <c r="D70" s="3511">
        <f>'[4]66'!C8</f>
        <v>29.61</v>
      </c>
      <c r="E70" s="3527"/>
      <c r="F70" s="3513">
        <f>'[4]66'!C30</f>
        <v>19120</v>
      </c>
    </row>
    <row r="71" spans="1:6" ht="23.1" customHeight="1">
      <c r="A71" s="3525">
        <v>67</v>
      </c>
      <c r="B71" s="3526"/>
      <c r="C71" s="3511" t="str">
        <f>'[4]67'!B1</f>
        <v>29浴室旁地泵房西</v>
      </c>
      <c r="D71" s="3511">
        <f>'[4]67'!C8</f>
        <v>29.61</v>
      </c>
      <c r="E71" s="3527"/>
      <c r="F71" s="3513">
        <f>'[4]67'!C30</f>
        <v>19120</v>
      </c>
    </row>
    <row r="72" spans="1:6" ht="27" customHeight="1">
      <c r="A72" s="3525">
        <v>68</v>
      </c>
      <c r="B72" s="3526"/>
      <c r="C72" s="3511" t="str">
        <f>'[4]68'!B1</f>
        <v>30包装休息室</v>
      </c>
      <c r="D72" s="3511">
        <f>'[4]68'!C8</f>
        <v>282</v>
      </c>
      <c r="E72" s="3527"/>
      <c r="F72" s="3513">
        <f>'[4]68'!C30</f>
        <v>217940</v>
      </c>
    </row>
    <row r="73" spans="1:6" ht="23.1" customHeight="1">
      <c r="A73" s="3525">
        <v>69</v>
      </c>
      <c r="B73" s="3526"/>
      <c r="C73" s="3511" t="str">
        <f>'[4]69'!B1</f>
        <v>31硅土压力间</v>
      </c>
      <c r="D73" s="3511">
        <f>'[4]69'!C8</f>
        <v>34.5</v>
      </c>
      <c r="E73" s="3527"/>
      <c r="F73" s="3513">
        <f>'[4]69'!C30</f>
        <v>26709</v>
      </c>
    </row>
    <row r="74" spans="1:6" ht="21.9" customHeight="1">
      <c r="A74" s="3525">
        <v>70</v>
      </c>
      <c r="B74" s="3526"/>
      <c r="C74" s="3511" t="str">
        <f>'[4]70'!B1</f>
        <v>32销售办公室对面</v>
      </c>
      <c r="D74" s="3511">
        <f>'[4]70'!C8</f>
        <v>90</v>
      </c>
      <c r="E74" s="3527"/>
      <c r="F74" s="3513">
        <f>'[4]70'!C30</f>
        <v>58042</v>
      </c>
    </row>
    <row r="75" spans="1:6" ht="27.9" customHeight="1">
      <c r="A75" s="3525">
        <v>71</v>
      </c>
      <c r="B75" s="3526"/>
      <c r="C75" s="3511" t="str">
        <f>'[4]71'!B1</f>
        <v>33临建</v>
      </c>
      <c r="D75" s="3511">
        <f>'[4]71'!C8</f>
        <v>105.4</v>
      </c>
      <c r="E75" s="3527"/>
      <c r="F75" s="3513">
        <f>'[4]71'!C30</f>
        <v>67924</v>
      </c>
    </row>
    <row r="76" spans="1:6" ht="27.9" customHeight="1">
      <c r="A76" s="3951" t="s">
        <v>24</v>
      </c>
      <c r="B76" s="3952"/>
      <c r="C76" s="3953"/>
      <c r="D76" s="3511">
        <f>SUM(D47:D75)</f>
        <v>21858.630000000005</v>
      </c>
      <c r="E76" s="3527"/>
      <c r="F76" s="3513">
        <f>SUM(F47:F75)</f>
        <v>16167658</v>
      </c>
    </row>
  </sheetData>
  <mergeCells count="12">
    <mergeCell ref="A76:C76"/>
    <mergeCell ref="A1:A2"/>
    <mergeCell ref="B1:B2"/>
    <mergeCell ref="C1:C2"/>
    <mergeCell ref="D1:D2"/>
    <mergeCell ref="G1:G2"/>
    <mergeCell ref="H1:J1"/>
    <mergeCell ref="K1:L1"/>
    <mergeCell ref="A39:C39"/>
    <mergeCell ref="A46:C46"/>
    <mergeCell ref="E1:E2"/>
    <mergeCell ref="F1:F2"/>
  </mergeCells>
  <phoneticPr fontId="238"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P49" sqref="P49"/>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5" width="12" style="1405"/>
    <col min="16" max="16" width="12.77734375" style="1405" bestFit="1" customWidth="1"/>
    <col min="17"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6">
      <c r="A2" s="1406" t="s">
        <v>919</v>
      </c>
      <c r="B2" s="1038">
        <f ca="1">C26</f>
        <v>45575</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4192</v>
      </c>
      <c r="U2" s="2951"/>
      <c r="V2" s="2962">
        <f ca="1">ROUND(T2*U2/10000,0)</f>
        <v>0</v>
      </c>
      <c r="W2" s="2190"/>
      <c r="X2" s="2190"/>
      <c r="Y2" s="2190"/>
      <c r="Z2" s="2190"/>
      <c r="AA2" s="2190"/>
      <c r="AB2" s="2190"/>
      <c r="AC2" s="2191"/>
    </row>
    <row r="3" spans="1:39" ht="15.6">
      <c r="A3" s="1411" t="s">
        <v>1687</v>
      </c>
      <c r="B3" s="1038">
        <f ca="1">ROUND(B2*10000/D1,0)</f>
        <v>2502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3009</v>
      </c>
      <c r="U3" s="2951"/>
      <c r="V3" s="2962">
        <f t="shared" ref="V3:V16" ca="1" si="1">ROUND(T3*U3/10000,0)</f>
        <v>0</v>
      </c>
      <c r="W3" s="2190"/>
      <c r="X3" s="2190"/>
      <c r="Y3" s="2190"/>
      <c r="Z3" s="2190"/>
      <c r="AA3" s="2190"/>
      <c r="AB3" s="2190"/>
      <c r="AC3" s="2191"/>
    </row>
    <row r="4" spans="1:39" ht="31.2">
      <c r="A4" s="1892" t="s">
        <v>2282</v>
      </c>
      <c r="B4" s="2478">
        <f ca="1">ROUND(B2*10000/F1,0)</f>
        <v>2502</v>
      </c>
      <c r="C4" s="1895" t="s">
        <v>2256</v>
      </c>
      <c r="D4" s="1895">
        <f ca="1">ROUND(B2/(F1/666.67),0)</f>
        <v>167</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2427</v>
      </c>
      <c r="U4" s="2951"/>
      <c r="V4" s="2962">
        <f t="shared" ca="1"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1948</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1659</v>
      </c>
      <c r="U6" s="2951"/>
      <c r="V6" s="2962">
        <f t="shared" ca="1" si="1"/>
        <v>0</v>
      </c>
      <c r="W6" s="2190"/>
      <c r="X6" s="2190"/>
      <c r="Y6" s="2190"/>
      <c r="Z6" s="2190"/>
      <c r="AA6" s="2190"/>
      <c r="AB6" s="2190"/>
      <c r="AC6" s="2192"/>
      <c r="AD6" s="1419"/>
      <c r="AE6" s="1419"/>
      <c r="AF6" s="1419"/>
      <c r="AG6" s="1419"/>
      <c r="AH6" s="1419"/>
      <c r="AI6" s="1419"/>
      <c r="AJ6" s="1420"/>
    </row>
    <row r="7" spans="1:39" ht="24">
      <c r="A7" s="3956"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1459</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957"/>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966" t="s">
        <v>2785</v>
      </c>
      <c r="X8" s="396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57"/>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96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57"/>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96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57"/>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96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56"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96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58"/>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96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58"/>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959"/>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956"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24.6" thickBot="1">
      <c r="A17" s="3957"/>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P47</f>
        <v>1.3037815639045218</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1.0634999999999999</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 ca="1">E29+SUM(E33:E39)</f>
        <v>45575</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2502</v>
      </c>
      <c r="D29" s="1504">
        <f>'数据-基础表'!A3</f>
        <v>182153.37</v>
      </c>
      <c r="E29" s="1850">
        <f ca="1">ROUND(C29*D29/10000,0)</f>
        <v>45575</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 ca="1">ROUND(IF(E2="工业",C29*M39,C29*M38),0)</f>
        <v>375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62"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63"/>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63"/>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64"/>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 ca="1">ROUND(C5*C19*C20*C24*F37,0)</f>
        <v>563</v>
      </c>
      <c r="D37" s="1537"/>
      <c r="E37" s="1048">
        <f t="shared" ca="1" si="7"/>
        <v>0</v>
      </c>
      <c r="F37" s="1063">
        <f>SUMIF(修正!A45:A56,G2,修正!F45:F56)</f>
        <v>0.25</v>
      </c>
      <c r="G37" s="1048">
        <f t="shared" ca="1" si="6"/>
        <v>141</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 ca="1">ROUND(C5*C19*C20*C24*F38,0)</f>
        <v>563</v>
      </c>
      <c r="D38" s="1537"/>
      <c r="E38" s="1048">
        <f t="shared" ca="1" si="7"/>
        <v>0</v>
      </c>
      <c r="F38" s="1063">
        <f>SUMIF(修正!A45:A56,G2,修正!G45:G56)</f>
        <v>0.25</v>
      </c>
      <c r="G38" s="1048">
        <f t="shared" ca="1" si="6"/>
        <v>141</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 ca="1">ROUND(C5*C19*C20*C24*F39,0)</f>
        <v>450</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ustomHeight="1">
      <c r="A45" s="2449" t="s">
        <v>1007</v>
      </c>
      <c r="B45" s="2450">
        <f>1+E47</f>
        <v>1</v>
      </c>
      <c r="C45" s="2451"/>
      <c r="D45" s="2452"/>
      <c r="E45" s="2453"/>
      <c r="F45" s="2454"/>
      <c r="G45" s="2448"/>
      <c r="H45" s="2448"/>
      <c r="I45" s="1066"/>
      <c r="J45" s="1066"/>
      <c r="K45" s="1066"/>
      <c r="L45" s="1066"/>
      <c r="M45" s="1066"/>
      <c r="O45" s="2197"/>
      <c r="P45" s="2197">
        <f>(((1+0.03%)*(1-0.63%)*(1+1.23%)*(1-2.87%))-1)/365*64</f>
        <v>-3.9722696375778304E-3</v>
      </c>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f>((1+1.68%)*(1+1.72%)*(1+1.43%)*(1+2.01%)-1)/365*61</f>
        <v>1.1726336821605872E-2</v>
      </c>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f>(1+1.36%)*(1+1.52%)*(1+0.72%)*(1+0.89%)*(1+0.93%)*(1+0.88%)*(1+1.26%)*(1+1.89%)*(1+1.48%)*(1+1.41%)*(1+1.97%)*(1+1.57%)*(1+1.58%)*(1+1.68%)*(1+1.72%)*(1+1.43%)*(1+2.01%)*(1+2.44%)</f>
        <v>1.3037815639045218</v>
      </c>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f>P47/1.0136/1.0244</f>
        <v>1.2556501820309407</v>
      </c>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1.0634999999999999</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3185</v>
      </c>
      <c r="D80" s="2442">
        <f t="shared" ref="D80:D87" si="25">SUMIF($J$79:$N$79,C80,J80:N80)</f>
        <v>1.6899999999999998E-2</v>
      </c>
      <c r="E80" s="2461">
        <f>ROUND(SUM(D80:D87),4)</f>
        <v>6.3500000000000001E-2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3184</v>
      </c>
      <c r="D82" s="2442">
        <f t="shared" si="25"/>
        <v>0</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0" t="s">
        <v>1633</v>
      </c>
      <c r="B90" s="3960"/>
      <c r="C90" s="3960"/>
      <c r="D90" s="3960"/>
      <c r="E90" s="3960"/>
      <c r="F90" s="3960"/>
      <c r="G90" s="3960"/>
      <c r="H90" s="3960"/>
      <c r="I90" s="3960"/>
      <c r="J90" s="3960"/>
      <c r="K90" s="2475"/>
      <c r="L90" s="2475"/>
      <c r="M90" s="2475"/>
      <c r="N90" s="2475"/>
    </row>
    <row r="91" spans="1:40">
      <c r="A91" s="3961" t="s">
        <v>1443</v>
      </c>
      <c r="B91" s="3961" t="s">
        <v>1634</v>
      </c>
      <c r="C91" s="1140" t="s">
        <v>1635</v>
      </c>
      <c r="D91" s="1141"/>
      <c r="E91" s="1141"/>
      <c r="F91" s="1141"/>
      <c r="G91" s="1141"/>
      <c r="H91" s="1141"/>
      <c r="I91" s="1141"/>
      <c r="J91" s="1142"/>
      <c r="K91" s="1134"/>
      <c r="L91" s="1134"/>
      <c r="M91" s="1134"/>
      <c r="N91" s="1134"/>
    </row>
    <row r="92" spans="1:40">
      <c r="A92" s="3961"/>
      <c r="B92" s="3961"/>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96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6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6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6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6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6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6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7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6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6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6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6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6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6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6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69"/>
      <c r="B108" s="397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70"/>
      <c r="B109" s="397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55" t="s">
        <v>1639</v>
      </c>
      <c r="B110" s="3955"/>
      <c r="C110" s="3955"/>
      <c r="D110" s="3955"/>
      <c r="E110" s="3955"/>
      <c r="F110" s="3955"/>
      <c r="G110" s="3955"/>
      <c r="H110" s="3955"/>
      <c r="I110" s="3955"/>
      <c r="J110" s="3955"/>
      <c r="K110" s="2473"/>
      <c r="L110" s="2473"/>
      <c r="M110" s="2473"/>
      <c r="N110" s="2473"/>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8"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961" t="s">
        <v>1007</v>
      </c>
      <c r="B18" s="1154" t="s">
        <v>1446</v>
      </c>
      <c r="C18" s="1131" t="s">
        <v>1447</v>
      </c>
      <c r="D18" s="1132"/>
      <c r="E18" s="1154">
        <v>1</v>
      </c>
      <c r="F18" s="1133" t="s">
        <v>1448</v>
      </c>
      <c r="G18" s="1134"/>
      <c r="H18" s="1105"/>
      <c r="I18" s="1105"/>
    </row>
    <row r="19" spans="1:9" s="1599" customFormat="1" ht="19.5" customHeight="1">
      <c r="A19" s="3961"/>
      <c r="B19" s="3961" t="s">
        <v>1449</v>
      </c>
      <c r="C19" s="1131" t="s">
        <v>1450</v>
      </c>
      <c r="D19" s="1132"/>
      <c r="E19" s="1154">
        <v>0.9</v>
      </c>
      <c r="F19" s="1133" t="s">
        <v>1451</v>
      </c>
      <c r="G19" s="1134"/>
      <c r="H19" s="1105"/>
      <c r="I19" s="1105"/>
    </row>
    <row r="20" spans="1:9" s="1599" customFormat="1" ht="19.5" customHeight="1">
      <c r="A20" s="3961"/>
      <c r="B20" s="3961"/>
      <c r="C20" s="1131" t="s">
        <v>1452</v>
      </c>
      <c r="D20" s="1132"/>
      <c r="E20" s="1154">
        <v>1.1000000000000001</v>
      </c>
      <c r="F20" s="1133" t="s">
        <v>1453</v>
      </c>
      <c r="G20" s="1134"/>
      <c r="H20" s="1105"/>
      <c r="I20" s="1105"/>
    </row>
    <row r="21" spans="1:9" s="1599" customFormat="1" ht="19.5" customHeight="1">
      <c r="A21" s="3961"/>
      <c r="B21" s="3961"/>
      <c r="C21" s="1131" t="s">
        <v>1454</v>
      </c>
      <c r="D21" s="1132"/>
      <c r="E21" s="1154">
        <v>0.8</v>
      </c>
      <c r="F21" s="1133" t="s">
        <v>1455</v>
      </c>
      <c r="G21" s="1134"/>
      <c r="H21" s="1105"/>
      <c r="I21" s="1105"/>
    </row>
    <row r="22" spans="1:9" s="1599" customFormat="1" ht="19.5" customHeight="1">
      <c r="A22" s="3961"/>
      <c r="B22" s="3961"/>
      <c r="C22" s="1131" t="s">
        <v>1456</v>
      </c>
      <c r="D22" s="1132"/>
      <c r="E22" s="1154">
        <v>0.5</v>
      </c>
      <c r="F22" s="1133"/>
      <c r="G22" s="1134"/>
      <c r="H22" s="1105"/>
      <c r="I22" s="1105"/>
    </row>
    <row r="23" spans="1:9" s="1599" customFormat="1" ht="19.5" customHeight="1">
      <c r="A23" s="3961" t="s">
        <v>1029</v>
      </c>
      <c r="B23" s="1154" t="s">
        <v>1446</v>
      </c>
      <c r="C23" s="1131" t="s">
        <v>1457</v>
      </c>
      <c r="D23" s="1132"/>
      <c r="E23" s="1154">
        <v>1</v>
      </c>
      <c r="F23" s="1133" t="s">
        <v>1458</v>
      </c>
      <c r="G23" s="1134"/>
      <c r="H23" s="1105"/>
      <c r="I23" s="1105"/>
    </row>
    <row r="24" spans="1:9" s="1599" customFormat="1" ht="19.5" customHeight="1">
      <c r="A24" s="3961"/>
      <c r="B24" s="3961" t="s">
        <v>1449</v>
      </c>
      <c r="C24" s="1131" t="s">
        <v>1459</v>
      </c>
      <c r="D24" s="1132"/>
      <c r="E24" s="1154">
        <v>0.5</v>
      </c>
      <c r="F24" s="1133"/>
      <c r="G24" s="1134"/>
      <c r="H24" s="1105"/>
      <c r="I24" s="1105"/>
    </row>
    <row r="25" spans="1:9" s="1599" customFormat="1" ht="19.5" customHeight="1">
      <c r="A25" s="3961"/>
      <c r="B25" s="3961"/>
      <c r="C25" s="1131" t="s">
        <v>1460</v>
      </c>
      <c r="D25" s="1132"/>
      <c r="E25" s="1154">
        <v>1.1000000000000001</v>
      </c>
      <c r="F25" s="1133"/>
      <c r="G25" s="1134"/>
      <c r="H25" s="1105"/>
      <c r="I25" s="1105"/>
    </row>
    <row r="26" spans="1:9" s="1599" customFormat="1" ht="19.5" customHeight="1">
      <c r="A26" s="3961"/>
      <c r="B26" s="3961"/>
      <c r="C26" s="1131" t="s">
        <v>1461</v>
      </c>
      <c r="D26" s="1132"/>
      <c r="E26" s="1154">
        <v>1.1000000000000001</v>
      </c>
      <c r="F26" s="1133"/>
      <c r="G26" s="1134"/>
      <c r="H26" s="1105"/>
      <c r="I26" s="1105"/>
    </row>
    <row r="27" spans="1:9" s="1599" customFormat="1" ht="19.5" customHeight="1">
      <c r="A27" s="3961"/>
      <c r="B27" s="3961"/>
      <c r="C27" s="1131" t="s">
        <v>1462</v>
      </c>
      <c r="D27" s="1132"/>
      <c r="E27" s="1154">
        <v>0.9</v>
      </c>
      <c r="F27" s="1133" t="s">
        <v>1463</v>
      </c>
      <c r="G27" s="1134"/>
      <c r="H27" s="1105"/>
      <c r="I27" s="1105"/>
    </row>
    <row r="28" spans="1:9" s="1599" customFormat="1" ht="19.5" customHeight="1">
      <c r="A28" s="3961"/>
      <c r="B28" s="3961"/>
      <c r="C28" s="1131" t="s">
        <v>1464</v>
      </c>
      <c r="D28" s="1132"/>
      <c r="E28" s="1154">
        <v>0.9</v>
      </c>
      <c r="F28" s="1133" t="s">
        <v>1465</v>
      </c>
      <c r="G28" s="1134"/>
      <c r="H28" s="1105"/>
      <c r="I28" s="1105"/>
    </row>
    <row r="29" spans="1:9" s="1599" customFormat="1" ht="19.5" customHeight="1">
      <c r="A29" s="3961"/>
      <c r="B29" s="3961"/>
      <c r="C29" s="1131" t="s">
        <v>1466</v>
      </c>
      <c r="D29" s="1132"/>
      <c r="E29" s="1154">
        <v>0.9</v>
      </c>
      <c r="F29" s="1133" t="s">
        <v>1467</v>
      </c>
      <c r="G29" s="1134"/>
      <c r="H29" s="1105"/>
      <c r="I29" s="1105"/>
    </row>
    <row r="30" spans="1:9" s="1599" customFormat="1" ht="19.5" customHeight="1">
      <c r="A30" s="3961"/>
      <c r="B30" s="3961"/>
      <c r="C30" s="1131" t="s">
        <v>1468</v>
      </c>
      <c r="D30" s="1132"/>
      <c r="E30" s="1154">
        <v>0.9</v>
      </c>
      <c r="F30" s="1133" t="s">
        <v>1469</v>
      </c>
      <c r="G30" s="1134"/>
      <c r="H30" s="1105"/>
      <c r="I30" s="1105"/>
    </row>
    <row r="31" spans="1:9" s="1599" customFormat="1" ht="19.5" customHeight="1">
      <c r="A31" s="3961"/>
      <c r="B31" s="3961"/>
      <c r="C31" s="1131" t="s">
        <v>1470</v>
      </c>
      <c r="D31" s="1132"/>
      <c r="E31" s="1154">
        <v>0.8</v>
      </c>
      <c r="F31" s="1133" t="s">
        <v>1471</v>
      </c>
      <c r="G31" s="1134"/>
      <c r="H31" s="1105"/>
      <c r="I31" s="1105"/>
    </row>
    <row r="32" spans="1:9" s="1599" customFormat="1" ht="19.5" customHeight="1">
      <c r="A32" s="3961"/>
      <c r="B32" s="3961"/>
      <c r="C32" s="1131" t="s">
        <v>1472</v>
      </c>
      <c r="D32" s="1132"/>
      <c r="E32" s="1154">
        <v>0.8</v>
      </c>
      <c r="F32" s="1133" t="s">
        <v>1473</v>
      </c>
      <c r="G32" s="1134"/>
      <c r="H32" s="1105"/>
      <c r="I32" s="1105"/>
    </row>
    <row r="33" spans="1:9" s="1599" customFormat="1" ht="19.5" customHeight="1">
      <c r="A33" s="3961" t="s">
        <v>1474</v>
      </c>
      <c r="B33" s="1154" t="s">
        <v>1446</v>
      </c>
      <c r="C33" s="1131" t="s">
        <v>1475</v>
      </c>
      <c r="D33" s="1132"/>
      <c r="E33" s="1154">
        <v>1</v>
      </c>
      <c r="F33" s="1133" t="s">
        <v>1476</v>
      </c>
      <c r="G33" s="1134"/>
      <c r="H33" s="1105"/>
      <c r="I33" s="1105"/>
    </row>
    <row r="34" spans="1:9" s="1599" customFormat="1" ht="19.5" customHeight="1">
      <c r="A34" s="3961"/>
      <c r="B34" s="1154" t="s">
        <v>1449</v>
      </c>
      <c r="C34" s="1131" t="s">
        <v>1477</v>
      </c>
      <c r="D34" s="1132"/>
      <c r="E34" s="1154">
        <v>1.5</v>
      </c>
      <c r="F34" s="1133" t="s">
        <v>1478</v>
      </c>
      <c r="G34" s="1134"/>
      <c r="H34" s="1105"/>
      <c r="I34" s="1105"/>
    </row>
    <row r="35" spans="1:9" s="1599" customFormat="1" ht="19.5" customHeight="1">
      <c r="A35" s="3961" t="s">
        <v>1432</v>
      </c>
      <c r="B35" s="1154" t="s">
        <v>1446</v>
      </c>
      <c r="C35" s="1131" t="s">
        <v>1479</v>
      </c>
      <c r="D35" s="1132"/>
      <c r="E35" s="1154">
        <v>1</v>
      </c>
      <c r="F35" s="1133" t="s">
        <v>1480</v>
      </c>
      <c r="G35" s="1134"/>
      <c r="H35" s="1105"/>
      <c r="I35" s="1105"/>
    </row>
    <row r="36" spans="1:9" s="1599" customFormat="1" ht="19.5" customHeight="1">
      <c r="A36" s="3961"/>
      <c r="B36" s="3961" t="s">
        <v>1449</v>
      </c>
      <c r="C36" s="1131" t="s">
        <v>1481</v>
      </c>
      <c r="D36" s="1132"/>
      <c r="E36" s="1154">
        <v>1</v>
      </c>
      <c r="F36" s="1133" t="s">
        <v>1482</v>
      </c>
      <c r="G36" s="1134"/>
      <c r="H36" s="1105"/>
      <c r="I36" s="1105"/>
    </row>
    <row r="37" spans="1:9" s="1599" customFormat="1" ht="19.5" customHeight="1">
      <c r="A37" s="3961"/>
      <c r="B37" s="3961"/>
      <c r="C37" s="1131" t="s">
        <v>1483</v>
      </c>
      <c r="D37" s="1132"/>
      <c r="E37" s="1154">
        <v>1.5</v>
      </c>
      <c r="F37" s="1133" t="s">
        <v>1484</v>
      </c>
      <c r="G37" s="1134"/>
      <c r="H37" s="1105"/>
      <c r="I37" s="1105"/>
    </row>
    <row r="38" spans="1:9" s="1599" customFormat="1" ht="19.5" customHeight="1">
      <c r="A38" s="3961"/>
      <c r="B38" s="3961"/>
      <c r="C38" s="1131" t="s">
        <v>1485</v>
      </c>
      <c r="D38" s="1132"/>
      <c r="E38" s="1154">
        <v>1</v>
      </c>
      <c r="F38" s="1133" t="s">
        <v>1486</v>
      </c>
      <c r="G38" s="1134"/>
      <c r="H38" s="1105"/>
      <c r="I38" s="1105"/>
    </row>
    <row r="39" spans="1:9" s="1599" customFormat="1" ht="19.5" customHeight="1">
      <c r="A39" s="3961"/>
      <c r="B39" s="3961"/>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961" t="s">
        <v>1501</v>
      </c>
      <c r="C61" s="1068" t="s">
        <v>1502</v>
      </c>
      <c r="D61" s="1068" t="s">
        <v>1503</v>
      </c>
      <c r="E61" s="1139">
        <v>0.5</v>
      </c>
      <c r="F61" s="1154">
        <v>80</v>
      </c>
      <c r="H61" s="1105">
        <f>SUMIF(C59:C119,基准地价!C8,E59:E119)</f>
        <v>0</v>
      </c>
    </row>
    <row r="62" spans="1:8" s="1105" customFormat="1" ht="36">
      <c r="A62" s="1154">
        <v>2</v>
      </c>
      <c r="B62" s="3961"/>
      <c r="C62" s="1068" t="s">
        <v>1504</v>
      </c>
      <c r="D62" s="1068" t="s">
        <v>1505</v>
      </c>
      <c r="E62" s="1139">
        <v>0.5</v>
      </c>
      <c r="F62" s="1154">
        <v>80</v>
      </c>
    </row>
    <row r="63" spans="1:8" s="1105" customFormat="1" ht="48">
      <c r="A63" s="1154">
        <v>3</v>
      </c>
      <c r="B63" s="3961"/>
      <c r="C63" s="1068" t="s">
        <v>1506</v>
      </c>
      <c r="D63" s="1068" t="s">
        <v>1507</v>
      </c>
      <c r="E63" s="1139">
        <v>0.5</v>
      </c>
      <c r="F63" s="1154">
        <v>80</v>
      </c>
    </row>
    <row r="64" spans="1:8" s="1105" customFormat="1" ht="48">
      <c r="A64" s="1154">
        <v>4</v>
      </c>
      <c r="B64" s="3961"/>
      <c r="C64" s="1068" t="s">
        <v>1508</v>
      </c>
      <c r="D64" s="1068" t="s">
        <v>1509</v>
      </c>
      <c r="E64" s="1139">
        <v>0.4</v>
      </c>
      <c r="F64" s="1154">
        <v>60</v>
      </c>
    </row>
    <row r="65" spans="1:6" s="1105" customFormat="1" ht="48">
      <c r="A65" s="1154">
        <v>5</v>
      </c>
      <c r="B65" s="3961"/>
      <c r="C65" s="1068" t="s">
        <v>1510</v>
      </c>
      <c r="D65" s="1068" t="s">
        <v>1511</v>
      </c>
      <c r="E65" s="1139">
        <v>0.2</v>
      </c>
      <c r="F65" s="1154">
        <v>30</v>
      </c>
    </row>
    <row r="66" spans="1:6" s="1105" customFormat="1" ht="48">
      <c r="A66" s="1154">
        <v>6</v>
      </c>
      <c r="B66" s="3961"/>
      <c r="C66" s="1068" t="s">
        <v>1512</v>
      </c>
      <c r="D66" s="1068" t="s">
        <v>1513</v>
      </c>
      <c r="E66" s="1139">
        <v>0.3</v>
      </c>
      <c r="F66" s="1154">
        <v>50</v>
      </c>
    </row>
    <row r="67" spans="1:6" s="1105" customFormat="1" ht="48">
      <c r="A67" s="1154">
        <v>7</v>
      </c>
      <c r="B67" s="3961"/>
      <c r="C67" s="1068" t="s">
        <v>1514</v>
      </c>
      <c r="D67" s="1068" t="s">
        <v>1515</v>
      </c>
      <c r="E67" s="1139">
        <v>0.2</v>
      </c>
      <c r="F67" s="1154">
        <v>30</v>
      </c>
    </row>
    <row r="68" spans="1:6" s="1105" customFormat="1" ht="48">
      <c r="A68" s="1154">
        <v>8</v>
      </c>
      <c r="B68" s="3961"/>
      <c r="C68" s="1068" t="s">
        <v>1516</v>
      </c>
      <c r="D68" s="1068" t="s">
        <v>1517</v>
      </c>
      <c r="E68" s="1139">
        <v>0.2</v>
      </c>
      <c r="F68" s="1154">
        <v>30</v>
      </c>
    </row>
    <row r="69" spans="1:6" s="1105" customFormat="1" ht="48">
      <c r="A69" s="1154">
        <v>9</v>
      </c>
      <c r="B69" s="3961"/>
      <c r="C69" s="1068" t="s">
        <v>1518</v>
      </c>
      <c r="D69" s="1068" t="s">
        <v>1519</v>
      </c>
      <c r="E69" s="1139">
        <v>0.2</v>
      </c>
      <c r="F69" s="1154">
        <v>30</v>
      </c>
    </row>
    <row r="70" spans="1:6" s="1105" customFormat="1" ht="60">
      <c r="A70" s="1154">
        <v>10</v>
      </c>
      <c r="B70" s="3961"/>
      <c r="C70" s="1068" t="s">
        <v>1520</v>
      </c>
      <c r="D70" s="1068" t="s">
        <v>1521</v>
      </c>
      <c r="E70" s="1139">
        <v>0.2</v>
      </c>
      <c r="F70" s="1154">
        <v>30</v>
      </c>
    </row>
    <row r="71" spans="1:6" s="1105" customFormat="1" ht="60">
      <c r="A71" s="1154">
        <v>11</v>
      </c>
      <c r="B71" s="3961"/>
      <c r="C71" s="1068" t="s">
        <v>1522</v>
      </c>
      <c r="D71" s="1068" t="s">
        <v>1523</v>
      </c>
      <c r="E71" s="1139">
        <v>0.2</v>
      </c>
      <c r="F71" s="1154">
        <v>30</v>
      </c>
    </row>
    <row r="72" spans="1:6" s="1105" customFormat="1" ht="36">
      <c r="A72" s="1154">
        <v>12</v>
      </c>
      <c r="B72" s="3961"/>
      <c r="C72" s="1068" t="s">
        <v>1524</v>
      </c>
      <c r="D72" s="1068" t="s">
        <v>1525</v>
      </c>
      <c r="E72" s="1139">
        <v>0.5</v>
      </c>
      <c r="F72" s="1154">
        <v>80</v>
      </c>
    </row>
    <row r="73" spans="1:6" s="1105" customFormat="1" ht="36">
      <c r="A73" s="1154">
        <v>13</v>
      </c>
      <c r="B73" s="3961"/>
      <c r="C73" s="1068" t="s">
        <v>1526</v>
      </c>
      <c r="D73" s="1068" t="s">
        <v>1527</v>
      </c>
      <c r="E73" s="1139">
        <v>0.4</v>
      </c>
      <c r="F73" s="1154">
        <v>60</v>
      </c>
    </row>
    <row r="74" spans="1:6" s="1105" customFormat="1" ht="36">
      <c r="A74" s="1154">
        <v>14</v>
      </c>
      <c r="B74" s="3961"/>
      <c r="C74" s="1068" t="s">
        <v>1528</v>
      </c>
      <c r="D74" s="1068" t="s">
        <v>1529</v>
      </c>
      <c r="E74" s="1139">
        <v>0.2</v>
      </c>
      <c r="F74" s="1154">
        <v>30</v>
      </c>
    </row>
    <row r="75" spans="1:6" s="1105" customFormat="1" ht="36">
      <c r="A75" s="1154">
        <v>15</v>
      </c>
      <c r="B75" s="3961"/>
      <c r="C75" s="1068" t="s">
        <v>1530</v>
      </c>
      <c r="D75" s="1068" t="s">
        <v>1531</v>
      </c>
      <c r="E75" s="1139">
        <v>0.2</v>
      </c>
      <c r="F75" s="1154">
        <v>30</v>
      </c>
    </row>
    <row r="76" spans="1:6" s="1105" customFormat="1" ht="36">
      <c r="A76" s="1154">
        <v>16</v>
      </c>
      <c r="B76" s="3961" t="s">
        <v>1532</v>
      </c>
      <c r="C76" s="1068" t="s">
        <v>1533</v>
      </c>
      <c r="D76" s="1068" t="s">
        <v>1534</v>
      </c>
      <c r="E76" s="1139">
        <v>0.5</v>
      </c>
      <c r="F76" s="1154">
        <v>80</v>
      </c>
    </row>
    <row r="77" spans="1:6" s="1105" customFormat="1" ht="36">
      <c r="A77" s="1154">
        <v>17</v>
      </c>
      <c r="B77" s="3961"/>
      <c r="C77" s="1068" t="s">
        <v>1535</v>
      </c>
      <c r="D77" s="1068" t="s">
        <v>1536</v>
      </c>
      <c r="E77" s="1139">
        <v>0.5</v>
      </c>
      <c r="F77" s="1154">
        <v>80</v>
      </c>
    </row>
    <row r="78" spans="1:6" s="1105" customFormat="1" ht="36">
      <c r="A78" s="1154">
        <v>18</v>
      </c>
      <c r="B78" s="3961"/>
      <c r="C78" s="1068" t="s">
        <v>1537</v>
      </c>
      <c r="D78" s="1068" t="s">
        <v>1538</v>
      </c>
      <c r="E78" s="1139">
        <v>0.2</v>
      </c>
      <c r="F78" s="1154">
        <v>30</v>
      </c>
    </row>
    <row r="79" spans="1:6" s="1105" customFormat="1" ht="36">
      <c r="A79" s="1154">
        <v>19</v>
      </c>
      <c r="B79" s="3961"/>
      <c r="C79" s="1068" t="s">
        <v>1539</v>
      </c>
      <c r="D79" s="1068" t="s">
        <v>1540</v>
      </c>
      <c r="E79" s="1139">
        <v>0.5</v>
      </c>
      <c r="F79" s="1154">
        <v>80</v>
      </c>
    </row>
    <row r="80" spans="1:6" s="1105" customFormat="1" ht="36">
      <c r="A80" s="1154">
        <v>20</v>
      </c>
      <c r="B80" s="3961"/>
      <c r="C80" s="1068" t="s">
        <v>1541</v>
      </c>
      <c r="D80" s="1068" t="s">
        <v>1542</v>
      </c>
      <c r="E80" s="1139">
        <v>0.2</v>
      </c>
      <c r="F80" s="1154">
        <v>30</v>
      </c>
    </row>
    <row r="81" spans="1:6" s="1105" customFormat="1" ht="36">
      <c r="A81" s="1154">
        <v>21</v>
      </c>
      <c r="B81" s="3961"/>
      <c r="C81" s="1068" t="s">
        <v>1543</v>
      </c>
      <c r="D81" s="1068" t="s">
        <v>1544</v>
      </c>
      <c r="E81" s="1139">
        <v>0.2</v>
      </c>
      <c r="F81" s="1154">
        <v>30</v>
      </c>
    </row>
    <row r="82" spans="1:6" s="1105" customFormat="1" ht="60">
      <c r="A82" s="1154">
        <v>22</v>
      </c>
      <c r="B82" s="3961"/>
      <c r="C82" s="1068" t="s">
        <v>1545</v>
      </c>
      <c r="D82" s="1068" t="s">
        <v>1546</v>
      </c>
      <c r="E82" s="1139">
        <v>0.2</v>
      </c>
      <c r="F82" s="1154">
        <v>30</v>
      </c>
    </row>
    <row r="83" spans="1:6" s="1105" customFormat="1" ht="60">
      <c r="A83" s="1154">
        <v>23</v>
      </c>
      <c r="B83" s="3961"/>
      <c r="C83" s="1068" t="s">
        <v>1547</v>
      </c>
      <c r="D83" s="1068" t="s">
        <v>1548</v>
      </c>
      <c r="E83" s="1139">
        <v>0.2</v>
      </c>
      <c r="F83" s="1154">
        <v>30</v>
      </c>
    </row>
    <row r="84" spans="1:6" s="1105" customFormat="1" ht="48">
      <c r="A84" s="1154">
        <v>24</v>
      </c>
      <c r="B84" s="3961"/>
      <c r="C84" s="1068" t="s">
        <v>1549</v>
      </c>
      <c r="D84" s="1068" t="s">
        <v>1550</v>
      </c>
      <c r="E84" s="1139">
        <v>0.2</v>
      </c>
      <c r="F84" s="1154">
        <v>30</v>
      </c>
    </row>
    <row r="85" spans="1:6" s="1105" customFormat="1" ht="36">
      <c r="A85" s="1154">
        <v>25</v>
      </c>
      <c r="B85" s="3961"/>
      <c r="C85" s="1068" t="s">
        <v>1551</v>
      </c>
      <c r="D85" s="1068" t="s">
        <v>1552</v>
      </c>
      <c r="E85" s="1139">
        <v>0.5</v>
      </c>
      <c r="F85" s="1154">
        <v>80</v>
      </c>
    </row>
    <row r="86" spans="1:6" s="1105" customFormat="1" ht="36">
      <c r="A86" s="1154">
        <v>26</v>
      </c>
      <c r="B86" s="3961"/>
      <c r="C86" s="1068" t="s">
        <v>1553</v>
      </c>
      <c r="D86" s="1068" t="s">
        <v>1554</v>
      </c>
      <c r="E86" s="1139">
        <v>0.2</v>
      </c>
      <c r="F86" s="1154">
        <v>30</v>
      </c>
    </row>
    <row r="87" spans="1:6" s="1105" customFormat="1" ht="36">
      <c r="A87" s="1154">
        <v>27</v>
      </c>
      <c r="B87" s="3961"/>
      <c r="C87" s="1068" t="s">
        <v>1555</v>
      </c>
      <c r="D87" s="1068" t="s">
        <v>1556</v>
      </c>
      <c r="E87" s="1139">
        <v>0.2</v>
      </c>
      <c r="F87" s="1154">
        <v>30</v>
      </c>
    </row>
    <row r="88" spans="1:6" s="1105" customFormat="1" ht="36">
      <c r="A88" s="1154">
        <v>28</v>
      </c>
      <c r="B88" s="3961"/>
      <c r="C88" s="1068" t="s">
        <v>1557</v>
      </c>
      <c r="D88" s="1068" t="s">
        <v>1558</v>
      </c>
      <c r="E88" s="1139">
        <v>0.2</v>
      </c>
      <c r="F88" s="1154">
        <v>30</v>
      </c>
    </row>
    <row r="89" spans="1:6" s="1105" customFormat="1" ht="36">
      <c r="A89" s="1154">
        <v>29</v>
      </c>
      <c r="B89" s="3961"/>
      <c r="C89" s="1068" t="s">
        <v>1559</v>
      </c>
      <c r="D89" s="1068" t="s">
        <v>1560</v>
      </c>
      <c r="E89" s="1139">
        <v>0.2</v>
      </c>
      <c r="F89" s="1154">
        <v>30</v>
      </c>
    </row>
    <row r="90" spans="1:6" s="1105" customFormat="1" ht="36">
      <c r="A90" s="1154">
        <v>30</v>
      </c>
      <c r="B90" s="3961"/>
      <c r="C90" s="1068" t="s">
        <v>1561</v>
      </c>
      <c r="D90" s="1068" t="s">
        <v>1562</v>
      </c>
      <c r="E90" s="1139">
        <v>0.2</v>
      </c>
      <c r="F90" s="1154">
        <v>30</v>
      </c>
    </row>
    <row r="91" spans="1:6" s="1105" customFormat="1" ht="48">
      <c r="A91" s="1154">
        <v>31</v>
      </c>
      <c r="B91" s="3961"/>
      <c r="C91" s="1068" t="s">
        <v>1563</v>
      </c>
      <c r="D91" s="1068" t="s">
        <v>1564</v>
      </c>
      <c r="E91" s="1139">
        <v>0.2</v>
      </c>
      <c r="F91" s="1154">
        <v>30</v>
      </c>
    </row>
    <row r="92" spans="1:6" s="1105" customFormat="1" ht="36">
      <c r="A92" s="1154">
        <v>32</v>
      </c>
      <c r="B92" s="3961" t="s">
        <v>1565</v>
      </c>
      <c r="C92" s="1154" t="s">
        <v>1566</v>
      </c>
      <c r="D92" s="1068" t="s">
        <v>1567</v>
      </c>
      <c r="E92" s="1139">
        <v>0.2</v>
      </c>
      <c r="F92" s="1154">
        <v>30</v>
      </c>
    </row>
    <row r="93" spans="1:6" s="1105" customFormat="1" ht="36">
      <c r="A93" s="1154">
        <v>33</v>
      </c>
      <c r="B93" s="3961"/>
      <c r="C93" s="1154" t="s">
        <v>1568</v>
      </c>
      <c r="D93" s="1068" t="s">
        <v>1569</v>
      </c>
      <c r="E93" s="1139">
        <v>0.2</v>
      </c>
      <c r="F93" s="1154">
        <v>30</v>
      </c>
    </row>
    <row r="94" spans="1:6" s="1105" customFormat="1" ht="60">
      <c r="A94" s="1154">
        <v>34</v>
      </c>
      <c r="B94" s="3961"/>
      <c r="C94" s="1154" t="s">
        <v>1570</v>
      </c>
      <c r="D94" s="1068" t="s">
        <v>1571</v>
      </c>
      <c r="E94" s="1139">
        <v>0.2</v>
      </c>
      <c r="F94" s="1154">
        <v>30</v>
      </c>
    </row>
    <row r="95" spans="1:6" s="1105" customFormat="1" ht="48">
      <c r="A95" s="1154">
        <v>35</v>
      </c>
      <c r="B95" s="3961"/>
      <c r="C95" s="1154" t="s">
        <v>1572</v>
      </c>
      <c r="D95" s="1068" t="s">
        <v>1573</v>
      </c>
      <c r="E95" s="1139">
        <v>0.2</v>
      </c>
      <c r="F95" s="1154">
        <v>30</v>
      </c>
    </row>
    <row r="96" spans="1:6" s="1105" customFormat="1" ht="72">
      <c r="A96" s="1154">
        <v>36</v>
      </c>
      <c r="B96" s="3961"/>
      <c r="C96" s="1068" t="s">
        <v>1574</v>
      </c>
      <c r="D96" s="1068" t="s">
        <v>1575</v>
      </c>
      <c r="E96" s="1139">
        <v>0.2</v>
      </c>
      <c r="F96" s="1154">
        <v>30</v>
      </c>
    </row>
    <row r="97" spans="1:6" s="1105" customFormat="1" ht="36">
      <c r="A97" s="1154">
        <v>37</v>
      </c>
      <c r="B97" s="3961"/>
      <c r="C97" s="1154" t="s">
        <v>1576</v>
      </c>
      <c r="D97" s="1068" t="s">
        <v>1577</v>
      </c>
      <c r="E97" s="1139">
        <v>0.2</v>
      </c>
      <c r="F97" s="1154">
        <v>30</v>
      </c>
    </row>
    <row r="98" spans="1:6" s="1105" customFormat="1" ht="36">
      <c r="A98" s="1154">
        <v>38</v>
      </c>
      <c r="B98" s="3961"/>
      <c r="C98" s="1154" t="s">
        <v>1578</v>
      </c>
      <c r="D98" s="1068" t="s">
        <v>1579</v>
      </c>
      <c r="E98" s="1139">
        <v>0.2</v>
      </c>
      <c r="F98" s="1154">
        <v>30</v>
      </c>
    </row>
    <row r="99" spans="1:6" s="1105" customFormat="1" ht="36">
      <c r="A99" s="1154">
        <v>39</v>
      </c>
      <c r="B99" s="3961" t="s">
        <v>1580</v>
      </c>
      <c r="C99" s="1154" t="s">
        <v>1581</v>
      </c>
      <c r="D99" s="1068" t="s">
        <v>1582</v>
      </c>
      <c r="E99" s="1139">
        <v>0.3</v>
      </c>
      <c r="F99" s="1154">
        <v>50</v>
      </c>
    </row>
    <row r="100" spans="1:6" s="1105" customFormat="1" ht="36">
      <c r="A100" s="1154">
        <v>40</v>
      </c>
      <c r="B100" s="3961"/>
      <c r="C100" s="1154" t="s">
        <v>1583</v>
      </c>
      <c r="D100" s="1068" t="s">
        <v>1584</v>
      </c>
      <c r="E100" s="1139">
        <v>0.2</v>
      </c>
      <c r="F100" s="1154">
        <v>30</v>
      </c>
    </row>
    <row r="101" spans="1:6" s="1105" customFormat="1" ht="36">
      <c r="A101" s="1154">
        <v>41</v>
      </c>
      <c r="B101" s="3961"/>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961" t="s">
        <v>1595</v>
      </c>
      <c r="C105" s="1154" t="s">
        <v>1596</v>
      </c>
      <c r="D105" s="1068" t="s">
        <v>1597</v>
      </c>
      <c r="E105" s="1139">
        <v>0.2</v>
      </c>
      <c r="F105" s="1154">
        <v>30</v>
      </c>
    </row>
    <row r="106" spans="1:6" s="1105" customFormat="1" ht="48">
      <c r="A106" s="1154">
        <v>46</v>
      </c>
      <c r="B106" s="3961"/>
      <c r="C106" s="1154" t="s">
        <v>1598</v>
      </c>
      <c r="D106" s="1068" t="s">
        <v>1599</v>
      </c>
      <c r="E106" s="1139">
        <v>0.2</v>
      </c>
      <c r="F106" s="1154">
        <v>30</v>
      </c>
    </row>
    <row r="107" spans="1:6" s="1105" customFormat="1" ht="36">
      <c r="A107" s="1154">
        <v>47</v>
      </c>
      <c r="B107" s="3961" t="s">
        <v>1600</v>
      </c>
      <c r="C107" s="1154" t="s">
        <v>1601</v>
      </c>
      <c r="D107" s="1068" t="s">
        <v>1602</v>
      </c>
      <c r="E107" s="1139">
        <v>0.3</v>
      </c>
      <c r="F107" s="1154">
        <v>50</v>
      </c>
    </row>
    <row r="108" spans="1:6" s="1105" customFormat="1" ht="48">
      <c r="A108" s="1154">
        <v>48</v>
      </c>
      <c r="B108" s="396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961" t="s">
        <v>1611</v>
      </c>
      <c r="C111" s="1154" t="s">
        <v>1612</v>
      </c>
      <c r="D111" s="1068" t="s">
        <v>1613</v>
      </c>
      <c r="E111" s="1139">
        <v>0.2</v>
      </c>
      <c r="F111" s="1154">
        <v>30</v>
      </c>
    </row>
    <row r="112" spans="1:6" s="1105" customFormat="1" ht="36">
      <c r="A112" s="1154">
        <v>52</v>
      </c>
      <c r="B112" s="3961"/>
      <c r="C112" s="1154" t="s">
        <v>1614</v>
      </c>
      <c r="D112" s="1068" t="s">
        <v>1615</v>
      </c>
      <c r="E112" s="1139">
        <v>0.2</v>
      </c>
      <c r="F112" s="1154">
        <v>30</v>
      </c>
    </row>
    <row r="113" spans="1:14" s="1105" customFormat="1" ht="36">
      <c r="A113" s="1154">
        <v>53</v>
      </c>
      <c r="B113" s="3961"/>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961" t="s">
        <v>1624</v>
      </c>
      <c r="C116" s="1154" t="s">
        <v>1625</v>
      </c>
      <c r="D116" s="1068" t="s">
        <v>1626</v>
      </c>
      <c r="E116" s="1139">
        <v>0.2</v>
      </c>
      <c r="F116" s="1154">
        <v>30</v>
      </c>
    </row>
    <row r="117" spans="1:14" ht="36">
      <c r="A117" s="1154">
        <v>57</v>
      </c>
      <c r="B117" s="396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960" t="s">
        <v>1633</v>
      </c>
      <c r="B121" s="3960"/>
      <c r="C121" s="3960"/>
      <c r="D121" s="3960"/>
      <c r="E121" s="3960"/>
      <c r="F121" s="3960"/>
      <c r="G121" s="3960"/>
      <c r="H121" s="3960"/>
      <c r="I121" s="3960"/>
      <c r="J121" s="396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973" t="s">
        <v>1039</v>
      </c>
      <c r="B1" s="3973"/>
      <c r="C1" s="3973"/>
      <c r="D1" s="3973"/>
      <c r="E1" s="3973"/>
      <c r="F1" s="397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974" t="s">
        <v>1052</v>
      </c>
      <c r="B2" s="3974"/>
      <c r="C2" s="3974"/>
      <c r="D2" s="3974"/>
      <c r="E2" s="3974"/>
      <c r="F2" s="397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97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97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977" t="s">
        <v>2081</v>
      </c>
      <c r="B1" s="3977"/>
    </row>
    <row r="2" spans="1:6" ht="15" thickBot="1">
      <c r="A2" s="1852"/>
      <c r="B2" s="1852"/>
    </row>
    <row r="3" spans="1:6" ht="15" thickBot="1">
      <c r="A3" s="1852"/>
      <c r="B3" s="1852"/>
      <c r="C3" s="1853" t="s">
        <v>2082</v>
      </c>
      <c r="D3" s="1853" t="s">
        <v>2083</v>
      </c>
      <c r="E3" s="1853" t="s">
        <v>2084</v>
      </c>
      <c r="F3" s="1853" t="s">
        <v>2085</v>
      </c>
    </row>
    <row r="4" spans="1:6" ht="15" thickBot="1">
      <c r="A4" s="1854" t="s">
        <v>2086</v>
      </c>
      <c r="B4" s="1855" t="s">
        <v>2087</v>
      </c>
      <c r="C4" s="1853"/>
      <c r="D4" s="1853"/>
      <c r="E4" s="1853"/>
      <c r="F4" s="1853"/>
    </row>
    <row r="5" spans="1:6" ht="15" thickBot="1">
      <c r="A5" s="1856" t="s">
        <v>2088</v>
      </c>
      <c r="B5" s="1857" t="s">
        <v>2089</v>
      </c>
      <c r="C5" s="1858">
        <v>8.8999999999999996E-2</v>
      </c>
      <c r="D5" s="1858">
        <v>7.3999999999999996E-2</v>
      </c>
      <c r="E5" s="1858">
        <v>7.4999999999999997E-2</v>
      </c>
      <c r="F5" s="1859">
        <v>0.1</v>
      </c>
    </row>
    <row r="6" spans="1:6" ht="15" thickBot="1">
      <c r="A6" s="1856" t="s">
        <v>1096</v>
      </c>
      <c r="B6" s="1860" t="s">
        <v>2090</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2091</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2092</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2093</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2094</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2095</v>
      </c>
      <c r="C72" s="1870"/>
      <c r="D72" s="1870"/>
      <c r="E72" s="1870"/>
      <c r="F72" s="1862">
        <v>0.05</v>
      </c>
    </row>
    <row r="73" spans="1:6" ht="24.6" thickBot="1">
      <c r="A73" s="1856" t="s">
        <v>924</v>
      </c>
      <c r="B73" s="1860" t="s">
        <v>2096</v>
      </c>
      <c r="C73" s="1870"/>
      <c r="D73" s="1870"/>
      <c r="E73" s="1870"/>
      <c r="F73" s="1862">
        <v>0.05</v>
      </c>
    </row>
    <row r="74" spans="1:6" ht="24.6" thickBot="1">
      <c r="A74" s="1856" t="s">
        <v>924</v>
      </c>
      <c r="B74" s="1860" t="s">
        <v>2097</v>
      </c>
      <c r="C74" s="1870"/>
      <c r="D74" s="1870"/>
      <c r="E74" s="1870"/>
      <c r="F74" s="1862">
        <v>0.05</v>
      </c>
    </row>
    <row r="75" spans="1:6" ht="24.6" thickBot="1">
      <c r="A75" s="1864" t="s">
        <v>924</v>
      </c>
      <c r="B75" s="1871" t="s">
        <v>2098</v>
      </c>
      <c r="C75" s="1867"/>
      <c r="D75" s="1867"/>
      <c r="E75" s="1867"/>
      <c r="F75" s="1872">
        <v>0.05</v>
      </c>
    </row>
    <row r="76" spans="1:6" ht="15" thickBot="1">
      <c r="A76" s="1856" t="s">
        <v>1407</v>
      </c>
      <c r="B76" s="1857" t="s">
        <v>2099</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2100</v>
      </c>
      <c r="C102" s="1870"/>
      <c r="D102" s="1870"/>
      <c r="E102" s="1870"/>
      <c r="F102" s="1862">
        <v>0.05</v>
      </c>
    </row>
    <row r="103" spans="1:6" ht="24.6" thickBot="1">
      <c r="A103" s="1856" t="s">
        <v>1407</v>
      </c>
      <c r="B103" s="1860" t="s">
        <v>2101</v>
      </c>
      <c r="C103" s="1870"/>
      <c r="D103" s="1870"/>
      <c r="E103" s="1870"/>
      <c r="F103" s="1862">
        <v>0.05</v>
      </c>
    </row>
    <row r="104" spans="1:6" ht="15" thickBot="1">
      <c r="A104" s="1856" t="s">
        <v>1407</v>
      </c>
      <c r="B104" s="1860" t="s">
        <v>2102</v>
      </c>
      <c r="C104" s="1870"/>
      <c r="D104" s="1870"/>
      <c r="E104" s="1870"/>
      <c r="F104" s="1862">
        <v>0.05</v>
      </c>
    </row>
    <row r="105" spans="1:6" ht="24.6" thickBot="1">
      <c r="A105" s="1856" t="s">
        <v>1407</v>
      </c>
      <c r="B105" s="1860" t="s">
        <v>2103</v>
      </c>
      <c r="C105" s="1870"/>
      <c r="D105" s="1870"/>
      <c r="E105" s="1870"/>
      <c r="F105" s="1862">
        <v>0.05</v>
      </c>
    </row>
    <row r="106" spans="1:6" ht="24.6" thickBot="1">
      <c r="A106" s="1856" t="s">
        <v>1407</v>
      </c>
      <c r="B106" s="1860" t="s">
        <v>2104</v>
      </c>
      <c r="C106" s="1870"/>
      <c r="D106" s="1870"/>
      <c r="E106" s="1870"/>
      <c r="F106" s="1862">
        <v>0.05</v>
      </c>
    </row>
    <row r="107" spans="1:6" ht="24.6" thickBot="1">
      <c r="A107" s="1856" t="s">
        <v>1407</v>
      </c>
      <c r="B107" s="1860" t="s">
        <v>2105</v>
      </c>
      <c r="C107" s="1870"/>
      <c r="D107" s="1870"/>
      <c r="E107" s="1870"/>
      <c r="F107" s="1862">
        <v>0.05</v>
      </c>
    </row>
    <row r="108" spans="1:6" ht="24.6" thickBot="1">
      <c r="A108" s="1856" t="s">
        <v>1407</v>
      </c>
      <c r="B108" s="1860" t="s">
        <v>2106</v>
      </c>
      <c r="C108" s="1870"/>
      <c r="D108" s="1870"/>
      <c r="E108" s="1870"/>
      <c r="F108" s="1862">
        <v>0.05</v>
      </c>
    </row>
    <row r="109" spans="1:6" ht="24.6" thickBot="1">
      <c r="A109" s="1864" t="s">
        <v>1407</v>
      </c>
      <c r="B109" s="1871" t="s">
        <v>2107</v>
      </c>
      <c r="C109" s="1867"/>
      <c r="D109" s="1867"/>
      <c r="E109" s="1867"/>
      <c r="F109" s="1872">
        <v>0.05</v>
      </c>
    </row>
    <row r="110" spans="1:6" ht="15" thickBot="1">
      <c r="A110" s="1856" t="s">
        <v>1409</v>
      </c>
      <c r="B110" s="1857" t="s">
        <v>2108</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2109</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2110</v>
      </c>
      <c r="C138" s="1861">
        <v>0.105</v>
      </c>
      <c r="D138" s="1861">
        <v>0.125</v>
      </c>
      <c r="E138" s="1861">
        <v>0.112</v>
      </c>
      <c r="F138" s="1869"/>
    </row>
    <row r="139" spans="1:6" ht="15" thickBot="1">
      <c r="A139" s="1856" t="s">
        <v>1409</v>
      </c>
      <c r="B139" s="1860" t="s">
        <v>2111</v>
      </c>
      <c r="C139" s="1861">
        <v>0.127</v>
      </c>
      <c r="D139" s="1861">
        <v>0.127</v>
      </c>
      <c r="E139" s="1861">
        <v>0.122</v>
      </c>
      <c r="F139" s="1862">
        <v>0.13</v>
      </c>
    </row>
    <row r="140" spans="1:6" ht="15" thickBot="1">
      <c r="A140" s="1856" t="s">
        <v>1409</v>
      </c>
      <c r="B140" s="1860" t="s">
        <v>2112</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2113</v>
      </c>
      <c r="C144" s="1874">
        <v>0.126</v>
      </c>
      <c r="D144" s="1874">
        <v>0.126</v>
      </c>
      <c r="E144" s="1874">
        <v>0.121</v>
      </c>
      <c r="F144" s="1869"/>
    </row>
    <row r="145" spans="1:6" ht="15" thickBot="1">
      <c r="A145" s="1864" t="s">
        <v>1409</v>
      </c>
      <c r="B145" s="1875" t="s">
        <v>2114</v>
      </c>
      <c r="C145" s="1876"/>
      <c r="D145" s="1876"/>
      <c r="E145" s="1876"/>
      <c r="F145" s="1877">
        <v>0.05</v>
      </c>
    </row>
    <row r="146" spans="1:6" ht="24.6" thickBot="1">
      <c r="A146" s="1878" t="s">
        <v>1409</v>
      </c>
      <c r="B146" s="1863" t="s">
        <v>2115</v>
      </c>
      <c r="C146" s="1870"/>
      <c r="D146" s="1870"/>
      <c r="E146" s="1870"/>
      <c r="F146" s="1879">
        <v>0.05</v>
      </c>
    </row>
    <row r="147" spans="1:6" ht="24.6" thickBot="1">
      <c r="A147" s="1856" t="s">
        <v>1409</v>
      </c>
      <c r="B147" s="1860" t="s">
        <v>2116</v>
      </c>
      <c r="C147" s="1870"/>
      <c r="D147" s="1870"/>
      <c r="E147" s="1870"/>
      <c r="F147" s="1862">
        <v>0.05</v>
      </c>
    </row>
    <row r="148" spans="1:6" ht="24.6" thickBot="1">
      <c r="A148" s="1856" t="s">
        <v>1409</v>
      </c>
      <c r="B148" s="1860" t="s">
        <v>2117</v>
      </c>
      <c r="C148" s="1870"/>
      <c r="D148" s="1870"/>
      <c r="E148" s="1870"/>
      <c r="F148" s="1862">
        <v>0.05</v>
      </c>
    </row>
    <row r="149" spans="1:6" ht="24.6" thickBot="1">
      <c r="A149" s="1856" t="s">
        <v>1409</v>
      </c>
      <c r="B149" s="1860" t="s">
        <v>2118</v>
      </c>
      <c r="C149" s="1870"/>
      <c r="D149" s="1870"/>
      <c r="E149" s="1870"/>
      <c r="F149" s="1862">
        <v>0.05</v>
      </c>
    </row>
    <row r="150" spans="1:6" ht="24.6" thickBot="1">
      <c r="A150" s="1856" t="s">
        <v>1409</v>
      </c>
      <c r="B150" s="1860" t="s">
        <v>2119</v>
      </c>
      <c r="C150" s="1870"/>
      <c r="D150" s="1870"/>
      <c r="E150" s="1870"/>
      <c r="F150" s="1862">
        <v>0.05</v>
      </c>
    </row>
    <row r="151" spans="1:6" ht="24.6" thickBot="1">
      <c r="A151" s="1856" t="s">
        <v>1409</v>
      </c>
      <c r="B151" s="1860" t="s">
        <v>2120</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2121</v>
      </c>
      <c r="C153" s="1870"/>
      <c r="D153" s="1870"/>
      <c r="E153" s="1870"/>
      <c r="F153" s="1862">
        <v>0.05</v>
      </c>
    </row>
    <row r="154" spans="1:6" ht="15" thickBot="1">
      <c r="A154" s="1856" t="s">
        <v>1409</v>
      </c>
      <c r="B154" s="1860" t="s">
        <v>2122</v>
      </c>
      <c r="C154" s="1870"/>
      <c r="D154" s="1870"/>
      <c r="E154" s="1870"/>
      <c r="F154" s="1862">
        <v>0.05</v>
      </c>
    </row>
    <row r="155" spans="1:6" ht="24.6" thickBot="1">
      <c r="A155" s="1856" t="s">
        <v>1409</v>
      </c>
      <c r="B155" s="1860" t="s">
        <v>2123</v>
      </c>
      <c r="C155" s="1870"/>
      <c r="D155" s="1870"/>
      <c r="E155" s="1870"/>
      <c r="F155" s="1862">
        <v>0.05</v>
      </c>
    </row>
    <row r="156" spans="1:6" ht="24.6" thickBot="1">
      <c r="A156" s="1856" t="s">
        <v>1409</v>
      </c>
      <c r="B156" s="1860" t="s">
        <v>2124</v>
      </c>
      <c r="C156" s="1870"/>
      <c r="D156" s="1870"/>
      <c r="E156" s="1870"/>
      <c r="F156" s="1862">
        <v>0.05</v>
      </c>
    </row>
    <row r="157" spans="1:6" ht="24.6" thickBot="1">
      <c r="A157" s="1864" t="s">
        <v>1409</v>
      </c>
      <c r="B157" s="1871" t="s">
        <v>2125</v>
      </c>
      <c r="C157" s="1867"/>
      <c r="D157" s="1867"/>
      <c r="E157" s="1867"/>
      <c r="F157" s="1872">
        <v>0.05</v>
      </c>
    </row>
    <row r="158" spans="1:6" ht="15" thickBot="1">
      <c r="A158" s="1856" t="s">
        <v>1411</v>
      </c>
      <c r="B158" s="1857" t="s">
        <v>2126</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2127</v>
      </c>
      <c r="C171" s="1861">
        <v>0.127</v>
      </c>
      <c r="D171" s="1861">
        <v>0.126</v>
      </c>
      <c r="E171" s="1861">
        <v>0.126</v>
      </c>
      <c r="F171" s="1862">
        <v>0.11799999999999999</v>
      </c>
    </row>
    <row r="172" spans="1:6" ht="15" thickBot="1">
      <c r="A172" s="1856" t="s">
        <v>1411</v>
      </c>
      <c r="B172" s="1860" t="s">
        <v>2128</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2129</v>
      </c>
      <c r="C174" s="1861">
        <v>0.13</v>
      </c>
      <c r="D174" s="1861">
        <v>0.13</v>
      </c>
      <c r="E174" s="1861">
        <v>0.13</v>
      </c>
      <c r="F174" s="1862">
        <v>0.13</v>
      </c>
    </row>
    <row r="175" spans="1:6" ht="15" thickBot="1">
      <c r="A175" s="1856" t="s">
        <v>1411</v>
      </c>
      <c r="B175" s="1860" t="s">
        <v>2130</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2131</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2132</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2133</v>
      </c>
      <c r="C185" s="1861">
        <v>0.127</v>
      </c>
      <c r="D185" s="1861">
        <v>0.127</v>
      </c>
      <c r="E185" s="1861">
        <v>0.128</v>
      </c>
      <c r="F185" s="1862">
        <v>0.13</v>
      </c>
    </row>
    <row r="186" spans="1:6" ht="24.6" thickBot="1">
      <c r="A186" s="1856" t="s">
        <v>1411</v>
      </c>
      <c r="B186" s="1860" t="s">
        <v>2134</v>
      </c>
      <c r="C186" s="1870"/>
      <c r="D186" s="1870"/>
      <c r="E186" s="1870"/>
      <c r="F186" s="1862">
        <v>0.05</v>
      </c>
    </row>
    <row r="187" spans="1:6" ht="15" thickBot="1">
      <c r="A187" s="1856" t="s">
        <v>1411</v>
      </c>
      <c r="B187" s="1860" t="s">
        <v>2135</v>
      </c>
      <c r="C187" s="1870"/>
      <c r="D187" s="1870"/>
      <c r="E187" s="1870"/>
      <c r="F187" s="1862">
        <v>0.05</v>
      </c>
    </row>
    <row r="188" spans="1:6" ht="24.6" thickBot="1">
      <c r="A188" s="1856" t="s">
        <v>1411</v>
      </c>
      <c r="B188" s="1860" t="s">
        <v>2136</v>
      </c>
      <c r="C188" s="1870"/>
      <c r="D188" s="1870"/>
      <c r="E188" s="1870"/>
      <c r="F188" s="1862">
        <v>0.05</v>
      </c>
    </row>
    <row r="189" spans="1:6" ht="24.6" thickBot="1">
      <c r="A189" s="1856" t="s">
        <v>1411</v>
      </c>
      <c r="B189" s="1860" t="s">
        <v>2137</v>
      </c>
      <c r="C189" s="1870"/>
      <c r="D189" s="1870"/>
      <c r="E189" s="1870"/>
      <c r="F189" s="1862">
        <v>0.05</v>
      </c>
    </row>
    <row r="190" spans="1:6" ht="24.6" thickBot="1">
      <c r="A190" s="1856" t="s">
        <v>1411</v>
      </c>
      <c r="B190" s="1860" t="s">
        <v>2138</v>
      </c>
      <c r="C190" s="1870"/>
      <c r="D190" s="1870"/>
      <c r="E190" s="1870"/>
      <c r="F190" s="1862">
        <v>0.05</v>
      </c>
    </row>
    <row r="191" spans="1:6" ht="24.6" thickBot="1">
      <c r="A191" s="1856" t="s">
        <v>1411</v>
      </c>
      <c r="B191" s="1860" t="s">
        <v>2139</v>
      </c>
      <c r="C191" s="1870"/>
      <c r="D191" s="1870"/>
      <c r="E191" s="1870"/>
      <c r="F191" s="1862">
        <v>0.05</v>
      </c>
    </row>
    <row r="192" spans="1:6" ht="24.6" thickBot="1">
      <c r="A192" s="1856" t="s">
        <v>1411</v>
      </c>
      <c r="B192" s="1860" t="s">
        <v>2140</v>
      </c>
      <c r="C192" s="1870"/>
      <c r="D192" s="1870"/>
      <c r="E192" s="1870"/>
      <c r="F192" s="1862">
        <v>0.05</v>
      </c>
    </row>
    <row r="193" spans="1:6" ht="24.6" thickBot="1">
      <c r="A193" s="1856" t="s">
        <v>1411</v>
      </c>
      <c r="B193" s="1860" t="s">
        <v>2141</v>
      </c>
      <c r="C193" s="1870"/>
      <c r="D193" s="1870"/>
      <c r="E193" s="1870"/>
      <c r="F193" s="1862">
        <v>0.05</v>
      </c>
    </row>
    <row r="194" spans="1:6" ht="24.6" thickBot="1">
      <c r="A194" s="1856" t="s">
        <v>1411</v>
      </c>
      <c r="B194" s="1860" t="s">
        <v>2142</v>
      </c>
      <c r="C194" s="1870"/>
      <c r="D194" s="1870"/>
      <c r="E194" s="1870"/>
      <c r="F194" s="1862">
        <v>0.05</v>
      </c>
    </row>
    <row r="195" spans="1:6" ht="15" thickBot="1">
      <c r="A195" s="1856" t="s">
        <v>1411</v>
      </c>
      <c r="B195" s="1860" t="s">
        <v>2143</v>
      </c>
      <c r="C195" s="1870"/>
      <c r="D195" s="1870"/>
      <c r="E195" s="1870"/>
      <c r="F195" s="1862">
        <v>0.05</v>
      </c>
    </row>
    <row r="196" spans="1:6" ht="24.6" thickBot="1">
      <c r="A196" s="1856" t="s">
        <v>1411</v>
      </c>
      <c r="B196" s="1860" t="s">
        <v>2144</v>
      </c>
      <c r="C196" s="1870"/>
      <c r="D196" s="1870"/>
      <c r="E196" s="1870"/>
      <c r="F196" s="1862">
        <v>0.05</v>
      </c>
    </row>
    <row r="197" spans="1:6" ht="24.6" thickBot="1">
      <c r="A197" s="1856" t="s">
        <v>1411</v>
      </c>
      <c r="B197" s="1860" t="s">
        <v>2145</v>
      </c>
      <c r="C197" s="1870"/>
      <c r="D197" s="1870"/>
      <c r="E197" s="1870"/>
      <c r="F197" s="1862">
        <v>0.05</v>
      </c>
    </row>
    <row r="198" spans="1:6" ht="24.6" thickBot="1">
      <c r="A198" s="1856" t="s">
        <v>1411</v>
      </c>
      <c r="B198" s="1860" t="s">
        <v>2146</v>
      </c>
      <c r="C198" s="1870"/>
      <c r="D198" s="1870"/>
      <c r="E198" s="1870"/>
      <c r="F198" s="1862">
        <v>0.05</v>
      </c>
    </row>
    <row r="199" spans="1:6" ht="24.6" thickBot="1">
      <c r="A199" s="1856" t="s">
        <v>1411</v>
      </c>
      <c r="B199" s="1860" t="s">
        <v>2147</v>
      </c>
      <c r="C199" s="1870"/>
      <c r="D199" s="1870"/>
      <c r="E199" s="1870"/>
      <c r="F199" s="1862">
        <v>0.05</v>
      </c>
    </row>
    <row r="200" spans="1:6" ht="24.6" thickBot="1">
      <c r="A200" s="1856" t="s">
        <v>1411</v>
      </c>
      <c r="B200" s="1860" t="s">
        <v>2148</v>
      </c>
      <c r="C200" s="1870"/>
      <c r="D200" s="1870"/>
      <c r="E200" s="1870"/>
      <c r="F200" s="1862">
        <v>0.05</v>
      </c>
    </row>
    <row r="201" spans="1:6" ht="24.6" thickBot="1">
      <c r="A201" s="1856" t="s">
        <v>1411</v>
      </c>
      <c r="B201" s="1860" t="s">
        <v>2149</v>
      </c>
      <c r="C201" s="1870"/>
      <c r="D201" s="1870"/>
      <c r="E201" s="1870"/>
      <c r="F201" s="1862">
        <v>0.05</v>
      </c>
    </row>
    <row r="202" spans="1:6" ht="24.6" thickBot="1">
      <c r="A202" s="1856" t="s">
        <v>1411</v>
      </c>
      <c r="B202" s="1860" t="s">
        <v>2150</v>
      </c>
      <c r="C202" s="1870"/>
      <c r="D202" s="1870"/>
      <c r="E202" s="1870"/>
      <c r="F202" s="1862">
        <v>0.05</v>
      </c>
    </row>
    <row r="203" spans="1:6" ht="24.6" thickBot="1">
      <c r="A203" s="1856" t="s">
        <v>1411</v>
      </c>
      <c r="B203" s="1860" t="s">
        <v>2151</v>
      </c>
      <c r="C203" s="1870"/>
      <c r="D203" s="1870"/>
      <c r="E203" s="1870"/>
      <c r="F203" s="1862">
        <v>0.05</v>
      </c>
    </row>
    <row r="204" spans="1:6" ht="15" thickBot="1">
      <c r="A204" s="1856" t="s">
        <v>1411</v>
      </c>
      <c r="B204" s="1860" t="s">
        <v>2152</v>
      </c>
      <c r="C204" s="1870"/>
      <c r="D204" s="1870"/>
      <c r="E204" s="1870"/>
      <c r="F204" s="1862">
        <v>0.05</v>
      </c>
    </row>
    <row r="205" spans="1:6" ht="15" thickBot="1">
      <c r="A205" s="1864" t="s">
        <v>1411</v>
      </c>
      <c r="B205" s="1871" t="s">
        <v>2153</v>
      </c>
      <c r="C205" s="1867"/>
      <c r="D205" s="1867"/>
      <c r="E205" s="1867"/>
      <c r="F205" s="1872">
        <v>0.05</v>
      </c>
    </row>
    <row r="206" spans="1:6" ht="15" thickBot="1">
      <c r="A206" s="1856" t="s">
        <v>1413</v>
      </c>
      <c r="B206" s="1857" t="s">
        <v>2154</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2155</v>
      </c>
      <c r="C210" s="1861">
        <v>0.15</v>
      </c>
      <c r="D210" s="1861">
        <v>0.15</v>
      </c>
      <c r="E210" s="1861">
        <v>0.15</v>
      </c>
      <c r="F210" s="1862">
        <v>0.13800000000000001</v>
      </c>
    </row>
    <row r="211" spans="1:6" ht="15" thickBot="1">
      <c r="A211" s="1856" t="s">
        <v>1413</v>
      </c>
      <c r="B211" s="1860" t="s">
        <v>2156</v>
      </c>
      <c r="C211" s="1861">
        <v>0.13700000000000001</v>
      </c>
      <c r="D211" s="1861">
        <v>0.13500000000000001</v>
      </c>
      <c r="E211" s="1861">
        <v>0.13600000000000001</v>
      </c>
      <c r="F211" s="1862">
        <v>0.1</v>
      </c>
    </row>
    <row r="212" spans="1:6" ht="15" thickBot="1">
      <c r="A212" s="1856" t="s">
        <v>1413</v>
      </c>
      <c r="B212" s="1860" t="s">
        <v>2157</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2158</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2159</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2160</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2161</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2162</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2163</v>
      </c>
      <c r="C231" s="1861">
        <v>0.128</v>
      </c>
      <c r="D231" s="1861">
        <v>0.125</v>
      </c>
      <c r="E231" s="1861">
        <v>0.13200000000000001</v>
      </c>
      <c r="F231" s="1869"/>
    </row>
    <row r="232" spans="1:6" ht="15" thickBot="1">
      <c r="A232" s="1856" t="s">
        <v>1413</v>
      </c>
      <c r="B232" s="1860" t="s">
        <v>2164</v>
      </c>
      <c r="C232" s="1861">
        <v>0.14499999999999999</v>
      </c>
      <c r="D232" s="1861">
        <v>0.14399999999999999</v>
      </c>
      <c r="E232" s="1861">
        <v>0.14599999999999999</v>
      </c>
      <c r="F232" s="1862">
        <v>0.13800000000000001</v>
      </c>
    </row>
    <row r="233" spans="1:6" ht="15" thickBot="1">
      <c r="A233" s="1856" t="s">
        <v>1413</v>
      </c>
      <c r="B233" s="1860" t="s">
        <v>2165</v>
      </c>
      <c r="C233" s="1861">
        <v>0.14499999999999999</v>
      </c>
      <c r="D233" s="1861">
        <v>0.14299999999999999</v>
      </c>
      <c r="E233" s="1861">
        <v>0.14199999999999999</v>
      </c>
      <c r="F233" s="1869"/>
    </row>
    <row r="234" spans="1:6" ht="15" thickBot="1">
      <c r="A234" s="1856" t="s">
        <v>1413</v>
      </c>
      <c r="B234" s="1860" t="s">
        <v>2166</v>
      </c>
      <c r="C234" s="1861">
        <v>0.14000000000000001</v>
      </c>
      <c r="D234" s="1861">
        <v>0.14000000000000001</v>
      </c>
      <c r="E234" s="1861">
        <v>0.14399999999999999</v>
      </c>
      <c r="F234" s="1869"/>
    </row>
    <row r="235" spans="1:6" ht="15" thickBot="1">
      <c r="A235" s="1856" t="s">
        <v>1413</v>
      </c>
      <c r="B235" s="1860" t="s">
        <v>2167</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2168</v>
      </c>
      <c r="C237" s="1870"/>
      <c r="D237" s="1870"/>
      <c r="E237" s="1870"/>
      <c r="F237" s="1862">
        <v>0.05</v>
      </c>
    </row>
    <row r="238" spans="1:6" ht="24.6" thickBot="1">
      <c r="A238" s="1856" t="s">
        <v>1413</v>
      </c>
      <c r="B238" s="1860" t="s">
        <v>2169</v>
      </c>
      <c r="C238" s="1870"/>
      <c r="D238" s="1870"/>
      <c r="E238" s="1870"/>
      <c r="F238" s="1862">
        <v>0.05</v>
      </c>
    </row>
    <row r="239" spans="1:6" ht="24.6" thickBot="1">
      <c r="A239" s="1856" t="s">
        <v>1413</v>
      </c>
      <c r="B239" s="1860" t="s">
        <v>2170</v>
      </c>
      <c r="C239" s="1870"/>
      <c r="D239" s="1870"/>
      <c r="E239" s="1870"/>
      <c r="F239" s="1862">
        <v>0.05</v>
      </c>
    </row>
    <row r="240" spans="1:6" ht="24.6" thickBot="1">
      <c r="A240" s="1856" t="s">
        <v>1413</v>
      </c>
      <c r="B240" s="1860" t="s">
        <v>2171</v>
      </c>
      <c r="C240" s="1870"/>
      <c r="D240" s="1870"/>
      <c r="E240" s="1870"/>
      <c r="F240" s="1862">
        <v>0.05</v>
      </c>
    </row>
    <row r="241" spans="1:6" ht="24.6" thickBot="1">
      <c r="A241" s="1856" t="s">
        <v>1413</v>
      </c>
      <c r="B241" s="1860" t="s">
        <v>2172</v>
      </c>
      <c r="C241" s="1870"/>
      <c r="D241" s="1870"/>
      <c r="E241" s="1870"/>
      <c r="F241" s="1862">
        <v>0.05</v>
      </c>
    </row>
    <row r="242" spans="1:6" ht="24.6" thickBot="1">
      <c r="A242" s="1856" t="s">
        <v>1413</v>
      </c>
      <c r="B242" s="1860" t="s">
        <v>2173</v>
      </c>
      <c r="C242" s="1870"/>
      <c r="D242" s="1870"/>
      <c r="E242" s="1870"/>
      <c r="F242" s="1862">
        <v>0.05</v>
      </c>
    </row>
    <row r="243" spans="1:6" ht="24.6" thickBot="1">
      <c r="A243" s="1856" t="s">
        <v>1413</v>
      </c>
      <c r="B243" s="1860" t="s">
        <v>2174</v>
      </c>
      <c r="C243" s="1870"/>
      <c r="D243" s="1870"/>
      <c r="E243" s="1870"/>
      <c r="F243" s="1862">
        <v>0.05</v>
      </c>
    </row>
    <row r="244" spans="1:6" ht="24.6" thickBot="1">
      <c r="A244" s="1864" t="s">
        <v>1413</v>
      </c>
      <c r="B244" s="1871" t="s">
        <v>2175</v>
      </c>
      <c r="C244" s="1867"/>
      <c r="D244" s="1867"/>
      <c r="E244" s="1867"/>
      <c r="F244" s="1872">
        <v>0.05</v>
      </c>
    </row>
    <row r="245" spans="1:6" ht="15" thickBot="1">
      <c r="A245" s="1856" t="s">
        <v>1415</v>
      </c>
      <c r="B245" s="1857" t="s">
        <v>2176</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2177</v>
      </c>
      <c r="C247" s="1861">
        <v>0.15</v>
      </c>
      <c r="D247" s="1861">
        <v>0.15</v>
      </c>
      <c r="E247" s="1861">
        <v>0.15</v>
      </c>
      <c r="F247" s="1862">
        <v>0.15</v>
      </c>
    </row>
    <row r="248" spans="1:6" ht="15" thickBot="1">
      <c r="A248" s="1856" t="s">
        <v>1415</v>
      </c>
      <c r="B248" s="1860" t="s">
        <v>2178</v>
      </c>
      <c r="C248" s="1861">
        <v>0.15</v>
      </c>
      <c r="D248" s="1861">
        <v>0.15</v>
      </c>
      <c r="E248" s="1861">
        <v>0.15</v>
      </c>
      <c r="F248" s="1862">
        <v>0.14000000000000001</v>
      </c>
    </row>
    <row r="249" spans="1:6" ht="15" thickBot="1">
      <c r="A249" s="1856" t="s">
        <v>1415</v>
      </c>
      <c r="B249" s="1860" t="s">
        <v>2179</v>
      </c>
      <c r="C249" s="1861">
        <v>0.15</v>
      </c>
      <c r="D249" s="1861">
        <v>0.14899999999999999</v>
      </c>
      <c r="E249" s="1861">
        <v>0.15</v>
      </c>
      <c r="F249" s="1862">
        <v>0.1</v>
      </c>
    </row>
    <row r="250" spans="1:6" ht="15" thickBot="1">
      <c r="A250" s="1856" t="s">
        <v>1415</v>
      </c>
      <c r="B250" s="1860" t="s">
        <v>2180</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2181</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2182</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2183</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2184</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2185</v>
      </c>
      <c r="C273" s="1861">
        <v>0.14199999999999999</v>
      </c>
      <c r="D273" s="1861">
        <v>0.14299999999999999</v>
      </c>
      <c r="E273" s="1861">
        <v>0.15</v>
      </c>
      <c r="F273" s="1862">
        <v>0.1</v>
      </c>
    </row>
    <row r="274" spans="1:6" ht="15" thickBot="1">
      <c r="A274" s="1856" t="s">
        <v>1415</v>
      </c>
      <c r="B274" s="1860" t="s">
        <v>2186</v>
      </c>
      <c r="C274" s="1861">
        <v>0.14799999999999999</v>
      </c>
      <c r="D274" s="1861">
        <v>0.14799999999999999</v>
      </c>
      <c r="E274" s="1861">
        <v>0.15</v>
      </c>
      <c r="F274" s="1862">
        <v>6.7000000000000004E-2</v>
      </c>
    </row>
    <row r="275" spans="1:6" ht="15" thickBot="1">
      <c r="A275" s="1856" t="s">
        <v>1415</v>
      </c>
      <c r="B275" s="1860" t="s">
        <v>2187</v>
      </c>
      <c r="C275" s="1861">
        <v>0.15</v>
      </c>
      <c r="D275" s="1861">
        <v>0.15</v>
      </c>
      <c r="E275" s="1861">
        <v>0.15</v>
      </c>
      <c r="F275" s="1862">
        <v>0.15</v>
      </c>
    </row>
    <row r="276" spans="1:6" ht="15" thickBot="1">
      <c r="A276" s="1856" t="s">
        <v>1415</v>
      </c>
      <c r="B276" s="1860" t="s">
        <v>2188</v>
      </c>
      <c r="C276" s="1861">
        <v>0.14499999999999999</v>
      </c>
      <c r="D276" s="1861">
        <v>0.14299999999999999</v>
      </c>
      <c r="E276" s="1861">
        <v>0.15</v>
      </c>
      <c r="F276" s="1862">
        <v>5.8999999999999997E-2</v>
      </c>
    </row>
    <row r="277" spans="1:6" ht="15" thickBot="1">
      <c r="A277" s="1856" t="s">
        <v>1415</v>
      </c>
      <c r="B277" s="1860" t="s">
        <v>2189</v>
      </c>
      <c r="C277" s="1861">
        <v>0.15</v>
      </c>
      <c r="D277" s="1861">
        <v>0.15</v>
      </c>
      <c r="E277" s="1861">
        <v>0.15</v>
      </c>
      <c r="F277" s="1862">
        <v>0.121</v>
      </c>
    </row>
    <row r="278" spans="1:6" ht="15" thickBot="1">
      <c r="A278" s="1856" t="s">
        <v>1415</v>
      </c>
      <c r="B278" s="1860" t="s">
        <v>2190</v>
      </c>
      <c r="C278" s="1861">
        <v>0.15</v>
      </c>
      <c r="D278" s="1861">
        <v>0.15</v>
      </c>
      <c r="E278" s="1861">
        <v>0.15</v>
      </c>
      <c r="F278" s="1862">
        <v>0.13800000000000001</v>
      </c>
    </row>
    <row r="279" spans="1:6" ht="24.6" thickBot="1">
      <c r="A279" s="1856" t="s">
        <v>1415</v>
      </c>
      <c r="B279" s="1860" t="s">
        <v>2191</v>
      </c>
      <c r="C279" s="1870"/>
      <c r="D279" s="1870"/>
      <c r="E279" s="1870"/>
      <c r="F279" s="1862">
        <v>0.05</v>
      </c>
    </row>
    <row r="280" spans="1:6" ht="24.6" thickBot="1">
      <c r="A280" s="1856" t="s">
        <v>1415</v>
      </c>
      <c r="B280" s="1860" t="s">
        <v>2192</v>
      </c>
      <c r="C280" s="1870"/>
      <c r="D280" s="1870"/>
      <c r="E280" s="1870"/>
      <c r="F280" s="1862">
        <v>0.05</v>
      </c>
    </row>
    <row r="281" spans="1:6" ht="24.6" thickBot="1">
      <c r="A281" s="1856" t="s">
        <v>1415</v>
      </c>
      <c r="B281" s="1860" t="s">
        <v>2193</v>
      </c>
      <c r="C281" s="1870"/>
      <c r="D281" s="1870"/>
      <c r="E281" s="1870"/>
      <c r="F281" s="1862">
        <v>0.05</v>
      </c>
    </row>
    <row r="282" spans="1:6" ht="24.6" thickBot="1">
      <c r="A282" s="1856" t="s">
        <v>1415</v>
      </c>
      <c r="B282" s="1860" t="s">
        <v>2194</v>
      </c>
      <c r="C282" s="1870"/>
      <c r="D282" s="1870"/>
      <c r="E282" s="1870"/>
      <c r="F282" s="1862">
        <v>0.05</v>
      </c>
    </row>
    <row r="283" spans="1:6" ht="24.6" thickBot="1">
      <c r="A283" s="1856" t="s">
        <v>1415</v>
      </c>
      <c r="B283" s="1860" t="s">
        <v>2195</v>
      </c>
      <c r="C283" s="1870"/>
      <c r="D283" s="1870"/>
      <c r="E283" s="1870"/>
      <c r="F283" s="1862">
        <v>0.05</v>
      </c>
    </row>
    <row r="284" spans="1:6" ht="24.6" thickBot="1">
      <c r="A284" s="1856" t="s">
        <v>1415</v>
      </c>
      <c r="B284" s="1860" t="s">
        <v>2196</v>
      </c>
      <c r="C284" s="1870"/>
      <c r="D284" s="1870"/>
      <c r="E284" s="1870"/>
      <c r="F284" s="1862">
        <v>0.05</v>
      </c>
    </row>
    <row r="285" spans="1:6" ht="24.6" thickBot="1">
      <c r="A285" s="1856" t="s">
        <v>1415</v>
      </c>
      <c r="B285" s="1860" t="s">
        <v>2197</v>
      </c>
      <c r="C285" s="1870"/>
      <c r="D285" s="1870"/>
      <c r="E285" s="1870"/>
      <c r="F285" s="1862">
        <v>0.05</v>
      </c>
    </row>
    <row r="286" spans="1:6" ht="24.6" thickBot="1">
      <c r="A286" s="1856" t="s">
        <v>1415</v>
      </c>
      <c r="B286" s="1860" t="s">
        <v>2198</v>
      </c>
      <c r="C286" s="1870"/>
      <c r="D286" s="1870"/>
      <c r="E286" s="1870"/>
      <c r="F286" s="1862">
        <v>0.05</v>
      </c>
    </row>
    <row r="287" spans="1:6" ht="24.6" thickBot="1">
      <c r="A287" s="1856" t="s">
        <v>1415</v>
      </c>
      <c r="B287" s="1860" t="s">
        <v>2199</v>
      </c>
      <c r="C287" s="1870"/>
      <c r="D287" s="1870"/>
      <c r="E287" s="1870"/>
      <c r="F287" s="1862">
        <v>0.05</v>
      </c>
    </row>
    <row r="288" spans="1:6" ht="24.6" thickBot="1">
      <c r="A288" s="1856" t="s">
        <v>1415</v>
      </c>
      <c r="B288" s="1860" t="s">
        <v>2200</v>
      </c>
      <c r="C288" s="1870"/>
      <c r="D288" s="1870"/>
      <c r="E288" s="1870"/>
      <c r="F288" s="1862">
        <v>0.05</v>
      </c>
    </row>
    <row r="289" spans="1:6" ht="24.6" thickBot="1">
      <c r="A289" s="1864" t="s">
        <v>1415</v>
      </c>
      <c r="B289" s="1871" t="s">
        <v>2201</v>
      </c>
      <c r="C289" s="1867"/>
      <c r="D289" s="1867"/>
      <c r="E289" s="1867"/>
      <c r="F289" s="1872">
        <v>0.05</v>
      </c>
    </row>
    <row r="290" spans="1:6" ht="15" thickBot="1">
      <c r="A290" s="1856" t="s">
        <v>1419</v>
      </c>
      <c r="B290" s="1857" t="s">
        <v>2202</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2203</v>
      </c>
      <c r="C292" s="1861">
        <v>0.15</v>
      </c>
      <c r="D292" s="1861">
        <v>0.15</v>
      </c>
      <c r="E292" s="1861">
        <v>0.15</v>
      </c>
      <c r="F292" s="1862">
        <v>0.14699999999999999</v>
      </c>
    </row>
    <row r="293" spans="1:6" ht="15" thickBot="1">
      <c r="A293" s="1856" t="s">
        <v>1419</v>
      </c>
      <c r="B293" s="1860" t="s">
        <v>2204</v>
      </c>
      <c r="C293" s="1870"/>
      <c r="D293" s="1870"/>
      <c r="E293" s="1870"/>
      <c r="F293" s="1862">
        <v>0.1</v>
      </c>
    </row>
    <row r="294" spans="1:6" ht="15" thickBot="1">
      <c r="A294" s="1856" t="s">
        <v>1419</v>
      </c>
      <c r="B294" s="1860" t="s">
        <v>2205</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2206</v>
      </c>
      <c r="C296" s="1861">
        <v>0.15</v>
      </c>
      <c r="D296" s="1861">
        <v>0.15</v>
      </c>
      <c r="E296" s="1861">
        <v>0.15</v>
      </c>
      <c r="F296" s="1862">
        <v>0.15</v>
      </c>
    </row>
    <row r="297" spans="1:6" ht="15" thickBot="1">
      <c r="A297" s="1856" t="s">
        <v>1419</v>
      </c>
      <c r="B297" s="1860" t="s">
        <v>2207</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2208</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2209</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2210</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2211</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2212</v>
      </c>
      <c r="C310" s="1861">
        <v>0.15</v>
      </c>
      <c r="D310" s="1861">
        <v>0.15</v>
      </c>
      <c r="E310" s="1861">
        <v>0.15</v>
      </c>
      <c r="F310" s="1862">
        <v>0.13700000000000001</v>
      </c>
    </row>
    <row r="311" spans="1:6" ht="15" thickBot="1">
      <c r="A311" s="1856" t="s">
        <v>1419</v>
      </c>
      <c r="B311" s="1860" t="s">
        <v>2213</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2214</v>
      </c>
      <c r="C313" s="1861">
        <v>0.15</v>
      </c>
      <c r="D313" s="1861">
        <v>0.15</v>
      </c>
      <c r="E313" s="1861">
        <v>0.15</v>
      </c>
      <c r="F313" s="1862">
        <v>0.15</v>
      </c>
    </row>
    <row r="314" spans="1:6" ht="24.6" thickBot="1">
      <c r="A314" s="1856" t="s">
        <v>1419</v>
      </c>
      <c r="B314" s="1860" t="s">
        <v>2215</v>
      </c>
      <c r="C314" s="1870"/>
      <c r="D314" s="1870"/>
      <c r="E314" s="1870"/>
      <c r="F314" s="1862">
        <v>0.05</v>
      </c>
    </row>
    <row r="315" spans="1:6" ht="24.6" thickBot="1">
      <c r="A315" s="1856" t="s">
        <v>1419</v>
      </c>
      <c r="B315" s="1860" t="s">
        <v>2216</v>
      </c>
      <c r="C315" s="1870"/>
      <c r="D315" s="1870"/>
      <c r="E315" s="1870"/>
      <c r="F315" s="1862">
        <v>0.05</v>
      </c>
    </row>
    <row r="316" spans="1:6" ht="24.6" thickBot="1">
      <c r="A316" s="1864" t="s">
        <v>1419</v>
      </c>
      <c r="B316" s="1871" t="s">
        <v>2217</v>
      </c>
      <c r="C316" s="1867"/>
      <c r="D316" s="1867"/>
      <c r="E316" s="1867"/>
      <c r="F316" s="1872">
        <v>0.05</v>
      </c>
    </row>
    <row r="317" spans="1:6" ht="15" thickBot="1">
      <c r="A317" s="1856" t="s">
        <v>2218</v>
      </c>
      <c r="B317" s="1857" t="s">
        <v>2219</v>
      </c>
      <c r="C317" s="1858">
        <v>0.15</v>
      </c>
      <c r="D317" s="1858">
        <v>0.15</v>
      </c>
      <c r="E317" s="1858">
        <v>0.15</v>
      </c>
      <c r="F317" s="1859">
        <v>0.15</v>
      </c>
    </row>
    <row r="318" spans="1:6" ht="15" thickBot="1">
      <c r="A318" s="1856" t="s">
        <v>2218</v>
      </c>
      <c r="B318" s="1860" t="s">
        <v>2220</v>
      </c>
      <c r="C318" s="1861">
        <v>0.107</v>
      </c>
      <c r="D318" s="1861">
        <v>0.11</v>
      </c>
      <c r="E318" s="1861">
        <v>0.112</v>
      </c>
      <c r="F318" s="1869"/>
    </row>
    <row r="319" spans="1:6" ht="15" thickBot="1">
      <c r="A319" s="1856" t="s">
        <v>2218</v>
      </c>
      <c r="B319" s="1860" t="s">
        <v>2221</v>
      </c>
      <c r="C319" s="1861">
        <v>0.15</v>
      </c>
      <c r="D319" s="1861">
        <v>0.15</v>
      </c>
      <c r="E319" s="1861">
        <v>0.15</v>
      </c>
      <c r="F319" s="1862">
        <v>0.15</v>
      </c>
    </row>
    <row r="320" spans="1:6" ht="15" thickBot="1">
      <c r="A320" s="1856" t="s">
        <v>2218</v>
      </c>
      <c r="B320" s="1860" t="s">
        <v>1107</v>
      </c>
      <c r="C320" s="1861">
        <v>0.15</v>
      </c>
      <c r="D320" s="1861">
        <v>0.15</v>
      </c>
      <c r="E320" s="1861">
        <v>0.15</v>
      </c>
      <c r="F320" s="1869"/>
    </row>
    <row r="321" spans="1:6" ht="15" thickBot="1">
      <c r="A321" s="1856" t="s">
        <v>2218</v>
      </c>
      <c r="B321" s="1860" t="s">
        <v>2222</v>
      </c>
      <c r="C321" s="1861">
        <v>0.15</v>
      </c>
      <c r="D321" s="1861">
        <v>0.15</v>
      </c>
      <c r="E321" s="1861">
        <v>0.15</v>
      </c>
      <c r="F321" s="1869"/>
    </row>
    <row r="322" spans="1:6" ht="15" thickBot="1">
      <c r="A322" s="1856" t="s">
        <v>2218</v>
      </c>
      <c r="B322" s="1860" t="s">
        <v>2223</v>
      </c>
      <c r="C322" s="1861">
        <v>0.15</v>
      </c>
      <c r="D322" s="1861">
        <v>0.15</v>
      </c>
      <c r="E322" s="1861">
        <v>0.15</v>
      </c>
      <c r="F322" s="1862">
        <v>0.15</v>
      </c>
    </row>
    <row r="323" spans="1:6" ht="15" thickBot="1">
      <c r="A323" s="1856" t="s">
        <v>2218</v>
      </c>
      <c r="B323" s="1860" t="s">
        <v>2224</v>
      </c>
      <c r="C323" s="1861">
        <v>0.15</v>
      </c>
      <c r="D323" s="1861">
        <v>0.15</v>
      </c>
      <c r="E323" s="1861">
        <v>0.15</v>
      </c>
      <c r="F323" s="1869"/>
    </row>
    <row r="324" spans="1:6" ht="15" thickBot="1">
      <c r="A324" s="1856" t="s">
        <v>2218</v>
      </c>
      <c r="B324" s="1860" t="s">
        <v>2225</v>
      </c>
      <c r="C324" s="1861">
        <v>0.15</v>
      </c>
      <c r="D324" s="1861">
        <v>0.15</v>
      </c>
      <c r="E324" s="1861">
        <v>0.15</v>
      </c>
      <c r="F324" s="1869"/>
    </row>
    <row r="325" spans="1:6" ht="15" thickBot="1">
      <c r="A325" s="1856" t="s">
        <v>2218</v>
      </c>
      <c r="B325" s="1860" t="s">
        <v>2226</v>
      </c>
      <c r="C325" s="1861">
        <v>0.15</v>
      </c>
      <c r="D325" s="1861">
        <v>0.15</v>
      </c>
      <c r="E325" s="1861">
        <v>0.15</v>
      </c>
      <c r="F325" s="1862">
        <v>0.14699999999999999</v>
      </c>
    </row>
    <row r="326" spans="1:6" ht="15" thickBot="1">
      <c r="A326" s="1856" t="s">
        <v>2218</v>
      </c>
      <c r="B326" s="1860" t="s">
        <v>1176</v>
      </c>
      <c r="C326" s="1861">
        <v>0.15</v>
      </c>
      <c r="D326" s="1861">
        <v>0.15</v>
      </c>
      <c r="E326" s="1861">
        <v>0.15</v>
      </c>
      <c r="F326" s="1869"/>
    </row>
    <row r="327" spans="1:6" ht="15" thickBot="1">
      <c r="A327" s="1856" t="s">
        <v>2218</v>
      </c>
      <c r="B327" s="1860" t="s">
        <v>2227</v>
      </c>
      <c r="C327" s="1861">
        <v>0.15</v>
      </c>
      <c r="D327" s="1861">
        <v>0.15</v>
      </c>
      <c r="E327" s="1861">
        <v>0.15</v>
      </c>
      <c r="F327" s="1862">
        <v>0.15</v>
      </c>
    </row>
    <row r="328" spans="1:6" ht="15" thickBot="1">
      <c r="A328" s="1856" t="s">
        <v>2218</v>
      </c>
      <c r="B328" s="1860" t="s">
        <v>1196</v>
      </c>
      <c r="C328" s="1861">
        <v>0.15</v>
      </c>
      <c r="D328" s="1861">
        <v>0.15</v>
      </c>
      <c r="E328" s="1861">
        <v>0.15</v>
      </c>
      <c r="F328" s="1862">
        <v>0.14099999999999999</v>
      </c>
    </row>
    <row r="329" spans="1:6" ht="15" thickBot="1">
      <c r="A329" s="1856" t="s">
        <v>2218</v>
      </c>
      <c r="B329" s="1860" t="s">
        <v>1206</v>
      </c>
      <c r="C329" s="1861">
        <v>0.15</v>
      </c>
      <c r="D329" s="1861">
        <v>0.15</v>
      </c>
      <c r="E329" s="1861">
        <v>0.15</v>
      </c>
      <c r="F329" s="1862">
        <v>0.15</v>
      </c>
    </row>
    <row r="330" spans="1:6" ht="15" thickBot="1">
      <c r="A330" s="1856" t="s">
        <v>2218</v>
      </c>
      <c r="B330" s="1860" t="s">
        <v>1216</v>
      </c>
      <c r="C330" s="1861">
        <v>0.15</v>
      </c>
      <c r="D330" s="1861">
        <v>0.15</v>
      </c>
      <c r="E330" s="1861">
        <v>0.15</v>
      </c>
      <c r="F330" s="1869"/>
    </row>
    <row r="331" spans="1:6" ht="15" thickBot="1">
      <c r="A331" s="1856" t="s">
        <v>2218</v>
      </c>
      <c r="B331" s="1860" t="s">
        <v>2228</v>
      </c>
      <c r="C331" s="1861">
        <v>0.15</v>
      </c>
      <c r="D331" s="1861">
        <v>0.15</v>
      </c>
      <c r="E331" s="1861">
        <v>0.15</v>
      </c>
      <c r="F331" s="1862">
        <v>0.15</v>
      </c>
    </row>
    <row r="332" spans="1:6" ht="15" thickBot="1">
      <c r="A332" s="1856" t="s">
        <v>2218</v>
      </c>
      <c r="B332" s="1860" t="s">
        <v>1236</v>
      </c>
      <c r="C332" s="1861">
        <v>0.15</v>
      </c>
      <c r="D332" s="1861">
        <v>0.15</v>
      </c>
      <c r="E332" s="1861">
        <v>0.15</v>
      </c>
      <c r="F332" s="1862">
        <v>0.15</v>
      </c>
    </row>
    <row r="333" spans="1:6" ht="15" thickBot="1">
      <c r="A333" s="1856" t="s">
        <v>2218</v>
      </c>
      <c r="B333" s="1860" t="s">
        <v>2229</v>
      </c>
      <c r="C333" s="1861">
        <v>0.15</v>
      </c>
      <c r="D333" s="1861">
        <v>0.15</v>
      </c>
      <c r="E333" s="1861">
        <v>0.15</v>
      </c>
      <c r="F333" s="1862">
        <v>0.14099999999999999</v>
      </c>
    </row>
    <row r="334" spans="1:6" ht="15" thickBot="1">
      <c r="A334" s="1856" t="s">
        <v>2218</v>
      </c>
      <c r="B334" s="1860" t="s">
        <v>1256</v>
      </c>
      <c r="C334" s="1861">
        <v>0.15</v>
      </c>
      <c r="D334" s="1861">
        <v>0.15</v>
      </c>
      <c r="E334" s="1861">
        <v>0.15</v>
      </c>
      <c r="F334" s="1862">
        <v>0.15</v>
      </c>
    </row>
    <row r="335" spans="1:6" ht="15" thickBot="1">
      <c r="A335" s="1856" t="s">
        <v>2218</v>
      </c>
      <c r="B335" s="1860" t="s">
        <v>1266</v>
      </c>
      <c r="C335" s="1861">
        <v>0.15</v>
      </c>
      <c r="D335" s="1861">
        <v>0.15</v>
      </c>
      <c r="E335" s="1861">
        <v>0.15</v>
      </c>
      <c r="F335" s="1869"/>
    </row>
    <row r="336" spans="1:6" ht="15" thickBot="1">
      <c r="A336" s="1856" t="s">
        <v>2218</v>
      </c>
      <c r="B336" s="1860" t="s">
        <v>2230</v>
      </c>
      <c r="C336" s="1861">
        <v>0.15</v>
      </c>
      <c r="D336" s="1861">
        <v>0.15</v>
      </c>
      <c r="E336" s="1861">
        <v>0.15</v>
      </c>
      <c r="F336" s="1862">
        <v>0.11799999999999999</v>
      </c>
    </row>
    <row r="337" spans="1:6" ht="15" thickBot="1">
      <c r="A337" s="1864" t="s">
        <v>2218</v>
      </c>
      <c r="B337" s="1871" t="s">
        <v>1284</v>
      </c>
      <c r="C337" s="1867"/>
      <c r="D337" s="1867"/>
      <c r="E337" s="1867"/>
      <c r="F337" s="1872">
        <v>0.14299999999999999</v>
      </c>
    </row>
    <row r="338" spans="1:6" ht="15" thickBot="1">
      <c r="A338" s="1856" t="s">
        <v>2231</v>
      </c>
      <c r="B338" s="1857" t="s">
        <v>2232</v>
      </c>
      <c r="C338" s="1858">
        <v>0.15</v>
      </c>
      <c r="D338" s="1858">
        <v>0.15</v>
      </c>
      <c r="E338" s="1858">
        <v>0.15</v>
      </c>
      <c r="F338" s="1880"/>
    </row>
    <row r="339" spans="1:6" ht="15" thickBot="1">
      <c r="A339" s="1856" t="s">
        <v>2231</v>
      </c>
      <c r="B339" s="1860" t="s">
        <v>2233</v>
      </c>
      <c r="C339" s="1861">
        <v>0.15</v>
      </c>
      <c r="D339" s="1861">
        <v>0.15</v>
      </c>
      <c r="E339" s="1861">
        <v>0.15</v>
      </c>
      <c r="F339" s="1869"/>
    </row>
    <row r="340" spans="1:6" ht="15" thickBot="1">
      <c r="A340" s="1856" t="s">
        <v>2231</v>
      </c>
      <c r="B340" s="1860" t="s">
        <v>2234</v>
      </c>
      <c r="C340" s="1861">
        <v>0.15</v>
      </c>
      <c r="D340" s="1861">
        <v>0.15</v>
      </c>
      <c r="E340" s="1861">
        <v>0.15</v>
      </c>
      <c r="F340" s="1869"/>
    </row>
    <row r="341" spans="1:6" ht="15" thickBot="1">
      <c r="A341" s="1856" t="s">
        <v>2235</v>
      </c>
      <c r="B341" s="1860" t="s">
        <v>2236</v>
      </c>
      <c r="C341" s="1861">
        <v>0.15</v>
      </c>
      <c r="D341" s="1861">
        <v>0.15</v>
      </c>
      <c r="E341" s="1861">
        <v>0.15</v>
      </c>
      <c r="F341" s="1862">
        <v>0.15</v>
      </c>
    </row>
    <row r="342" spans="1:6" ht="15" thickBot="1">
      <c r="A342" s="1856" t="s">
        <v>2231</v>
      </c>
      <c r="B342" s="1860" t="s">
        <v>2237</v>
      </c>
      <c r="C342" s="1861">
        <v>0.15</v>
      </c>
      <c r="D342" s="1861">
        <v>0.15</v>
      </c>
      <c r="E342" s="1861">
        <v>0.15</v>
      </c>
      <c r="F342" s="1862">
        <v>0.15</v>
      </c>
    </row>
    <row r="343" spans="1:6" ht="15" thickBot="1">
      <c r="A343" s="1856" t="s">
        <v>2231</v>
      </c>
      <c r="B343" s="1860" t="s">
        <v>2238</v>
      </c>
      <c r="C343" s="1861">
        <v>0.15</v>
      </c>
      <c r="D343" s="1861">
        <v>0.15</v>
      </c>
      <c r="E343" s="1861">
        <v>0.15</v>
      </c>
      <c r="F343" s="1862">
        <v>0.15</v>
      </c>
    </row>
    <row r="344" spans="1:6" ht="1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2.2">
      <c r="A7" s="1796" t="s">
        <v>2750</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2941</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7.399999999999999">
      <c r="A21" s="1792" t="s">
        <v>2076</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9" t="s">
        <v>2950</v>
      </c>
      <c r="B1" s="3131"/>
      <c r="C1" s="3131"/>
      <c r="D1" s="3131"/>
      <c r="E1" s="3131"/>
      <c r="F1" s="3131"/>
    </row>
    <row r="2" spans="1:6" ht="15.6">
      <c r="A2" s="3132" t="s">
        <v>2944</v>
      </c>
      <c r="B2" s="3133">
        <f ca="1">SUMIF(B7:B14,"&lt;&gt;#ref!",B7:B14)</f>
        <v>45575</v>
      </c>
      <c r="C2" s="3132" t="s">
        <v>2945</v>
      </c>
      <c r="D2" s="3131"/>
      <c r="E2" s="3131"/>
      <c r="F2" s="3131"/>
    </row>
    <row r="3" spans="1:6" ht="15.6">
      <c r="A3" s="3132" t="s">
        <v>2947</v>
      </c>
      <c r="B3" s="3133" t="e">
        <f ca="1">ROUND(B2*10000/E3,0)</f>
        <v>#REF!</v>
      </c>
      <c r="C3" s="3132" t="s">
        <v>2080</v>
      </c>
      <c r="D3" s="3132" t="s">
        <v>2946</v>
      </c>
      <c r="E3" s="3133" t="e">
        <f ca="1">SUM(E7:E14)</f>
        <v>#REF!</v>
      </c>
      <c r="F3" s="3131"/>
    </row>
    <row r="4" spans="1:6" ht="15.6">
      <c r="A4" s="3132" t="s">
        <v>2954</v>
      </c>
      <c r="B4" s="3133" t="e">
        <f ca="1">ROUND(B2*10000/E4,0)</f>
        <v>#REF!</v>
      </c>
      <c r="C4" s="3132" t="s">
        <v>2080</v>
      </c>
      <c r="D4" s="3132" t="s">
        <v>2955</v>
      </c>
      <c r="E4" s="3133" t="e">
        <f ca="1">SUM(F7:F14)</f>
        <v>#REF!</v>
      </c>
      <c r="F4" s="3131"/>
    </row>
    <row r="5" spans="1:6" ht="15.6">
      <c r="A5" s="3134"/>
      <c r="B5" s="1882"/>
      <c r="C5" s="1882"/>
      <c r="D5" s="1882"/>
      <c r="E5" s="1882"/>
      <c r="F5" s="3131"/>
    </row>
    <row r="6" spans="1:6" ht="31.2">
      <c r="A6" s="3135" t="s">
        <v>2951</v>
      </c>
      <c r="B6" s="3132" t="s">
        <v>2948</v>
      </c>
      <c r="C6" s="3133"/>
      <c r="D6" s="1882"/>
      <c r="E6" s="3132" t="s">
        <v>2949</v>
      </c>
      <c r="F6" s="3132" t="s">
        <v>2953</v>
      </c>
    </row>
    <row r="7" spans="1:6" ht="15.6">
      <c r="A7" s="260" t="s">
        <v>2952</v>
      </c>
      <c r="B7" s="3136">
        <f ca="1">SUMIF(INDIRECT("'"&amp;A7&amp;"'"&amp;"!A:A"),"总价",INDIRECT("'"&amp;A7&amp;"'"&amp;"!B:B"))</f>
        <v>45575</v>
      </c>
      <c r="C7" s="3132" t="s">
        <v>2945</v>
      </c>
      <c r="D7" s="1882"/>
      <c r="E7" s="3137">
        <f ca="1">SUMIF(INDIRECT("'"&amp;A7&amp;"'"&amp;"!C:C"),"建筑面积",INDIRECT("'"&amp;A7&amp;"'"&amp;"!D:D"))</f>
        <v>182153.37</v>
      </c>
      <c r="F7" s="3137">
        <f ca="1">SUMIF(INDIRECT("'"&amp;A7&amp;"'"&amp;"!E:E"),"土地面积",INDIRECT("'"&amp;A7&amp;"'"&amp;"!F:F"))</f>
        <v>182153.37</v>
      </c>
    </row>
    <row r="8" spans="1:6" ht="15.6">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5.6">
      <c r="A9" s="260"/>
      <c r="B9" s="3136" t="e">
        <f t="shared" ca="1" si="0"/>
        <v>#REF!</v>
      </c>
      <c r="C9" s="3132" t="s">
        <v>2945</v>
      </c>
      <c r="D9" s="1882"/>
      <c r="E9" s="3137" t="e">
        <f t="shared" ca="1" si="1"/>
        <v>#REF!</v>
      </c>
      <c r="F9" s="3137" t="e">
        <f t="shared" ca="1" si="2"/>
        <v>#REF!</v>
      </c>
    </row>
    <row r="10" spans="1:6" ht="15.6">
      <c r="A10" s="260"/>
      <c r="B10" s="3136" t="e">
        <f t="shared" ca="1" si="0"/>
        <v>#REF!</v>
      </c>
      <c r="C10" s="3132" t="s">
        <v>2945</v>
      </c>
      <c r="D10" s="1882"/>
      <c r="E10" s="3137" t="e">
        <f t="shared" ca="1" si="1"/>
        <v>#REF!</v>
      </c>
      <c r="F10" s="3137" t="e">
        <f t="shared" ca="1" si="2"/>
        <v>#REF!</v>
      </c>
    </row>
    <row r="11" spans="1:6" ht="15.6">
      <c r="A11" s="260"/>
      <c r="B11" s="3136" t="e">
        <f t="shared" ca="1" si="0"/>
        <v>#REF!</v>
      </c>
      <c r="C11" s="3132" t="s">
        <v>2945</v>
      </c>
      <c r="D11" s="1882"/>
      <c r="E11" s="3137" t="e">
        <f t="shared" ca="1" si="1"/>
        <v>#REF!</v>
      </c>
      <c r="F11" s="3137" t="e">
        <f t="shared" ca="1" si="2"/>
        <v>#REF!</v>
      </c>
    </row>
    <row r="12" spans="1:6" ht="15.6">
      <c r="A12" s="260"/>
      <c r="B12" s="3136" t="e">
        <f t="shared" ca="1" si="0"/>
        <v>#REF!</v>
      </c>
      <c r="C12" s="3132" t="s">
        <v>2945</v>
      </c>
      <c r="D12" s="1882"/>
      <c r="E12" s="3137" t="e">
        <f t="shared" ca="1" si="1"/>
        <v>#REF!</v>
      </c>
      <c r="F12" s="3137" t="e">
        <f t="shared" ca="1" si="2"/>
        <v>#REF!</v>
      </c>
    </row>
    <row r="13" spans="1:6" ht="15.6">
      <c r="A13" s="260"/>
      <c r="B13" s="3136" t="e">
        <f t="shared" ca="1" si="0"/>
        <v>#REF!</v>
      </c>
      <c r="C13" s="3132" t="s">
        <v>2945</v>
      </c>
      <c r="D13" s="1882"/>
      <c r="E13" s="3137" t="e">
        <f t="shared" ca="1" si="1"/>
        <v>#REF!</v>
      </c>
      <c r="F13" s="3137" t="e">
        <f t="shared" ca="1" si="2"/>
        <v>#REF!</v>
      </c>
    </row>
    <row r="14" spans="1:6" ht="15.6">
      <c r="A14" s="3130"/>
      <c r="B14" s="3136" t="e">
        <f t="shared" ca="1" si="0"/>
        <v>#REF!</v>
      </c>
      <c r="C14" s="3132" t="s">
        <v>2945</v>
      </c>
      <c r="D14" s="1882"/>
      <c r="E14" s="3137" t="e">
        <f t="shared" ca="1" si="1"/>
        <v>#REF!</v>
      </c>
      <c r="F14" s="3137" t="e">
        <f t="shared" ca="1" si="2"/>
        <v>#REF!</v>
      </c>
    </row>
  </sheetData>
  <sheetProtection password="C66D" sheet="1" objects="1" scenarios="1"/>
  <phoneticPr fontId="23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979" t="s">
        <v>2466</v>
      </c>
      <c r="C8" s="1826">
        <f ca="1">ROUND(F8*F10*F9*(1-F11)/10000,0)</f>
        <v>0</v>
      </c>
      <c r="D8" s="1823" t="s">
        <v>2537</v>
      </c>
      <c r="E8" s="61" t="s">
        <v>636</v>
      </c>
      <c r="F8" s="785">
        <f ca="1">INDIRECT("'数据-取费表'!u"&amp;$G$1)</f>
        <v>0</v>
      </c>
      <c r="G8" s="1592"/>
      <c r="H8" s="2529" t="s">
        <v>1824</v>
      </c>
      <c r="I8" s="3979" t="s">
        <v>2466</v>
      </c>
      <c r="J8" s="783">
        <f ca="1">ROUND(M8*M10*M9*(1-M11)/10000,0)</f>
        <v>0</v>
      </c>
      <c r="K8" s="341" t="s">
        <v>2537</v>
      </c>
      <c r="L8" s="784" t="s">
        <v>1738</v>
      </c>
      <c r="M8" s="785">
        <f ca="1">INDIRECT("'数据-取费表'!z"&amp;$G$1)</f>
        <v>0</v>
      </c>
    </row>
    <row r="9" spans="1:25" ht="18" customHeight="1">
      <c r="A9" s="2525"/>
      <c r="B9" s="3980"/>
      <c r="C9" s="1827"/>
      <c r="D9" s="1824"/>
      <c r="E9" s="61" t="s">
        <v>637</v>
      </c>
      <c r="F9" s="785">
        <f ca="1">IF(INDIRECT("'数据-取费表'!ah"&amp;$G$1)="",INDIRECT("'数据-取费表'!k"&amp;$G$1),INDIRECT("'数据-取费表'!ah"&amp;$G$1))</f>
        <v>0</v>
      </c>
      <c r="G9" s="1592"/>
      <c r="H9" s="2514"/>
      <c r="I9" s="3980"/>
      <c r="J9" s="788"/>
      <c r="K9" s="789"/>
      <c r="L9" s="784" t="s">
        <v>1739</v>
      </c>
      <c r="M9" s="785">
        <f ca="1">F9</f>
        <v>0</v>
      </c>
    </row>
    <row r="10" spans="1:25" ht="18" customHeight="1">
      <c r="A10" s="2518"/>
      <c r="B10" s="3981"/>
      <c r="C10" s="1827"/>
      <c r="D10" s="1824"/>
      <c r="E10" s="61" t="s">
        <v>638</v>
      </c>
      <c r="F10" s="785">
        <f ca="1">INDIRECT("'数据-取费表'!ai"&amp;$G$1)</f>
        <v>0</v>
      </c>
      <c r="G10" s="1592"/>
      <c r="H10" s="2514"/>
      <c r="I10" s="3981"/>
      <c r="J10" s="788"/>
      <c r="K10" s="789"/>
      <c r="L10" s="784" t="s">
        <v>1740</v>
      </c>
      <c r="M10" s="785">
        <f ca="1">INDIRECT("'数据-取费表'!ai"&amp;$G$1)</f>
        <v>0</v>
      </c>
    </row>
    <row r="11" spans="1:25" ht="18" customHeight="1">
      <c r="A11" s="786"/>
      <c r="B11" s="3982"/>
      <c r="C11" s="1827"/>
      <c r="D11" s="1824"/>
      <c r="E11" s="61" t="s">
        <v>639</v>
      </c>
      <c r="F11" s="794">
        <f ca="1">INDIRECT("'数据-取费表'!w"&amp;$G$1)</f>
        <v>0</v>
      </c>
      <c r="G11" s="1592"/>
      <c r="H11" s="2530"/>
      <c r="I11" s="3981"/>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978"/>
      <c r="J36" s="2080"/>
      <c r="K36" s="2081"/>
      <c r="L36" s="2080"/>
      <c r="M36" s="2080"/>
    </row>
    <row r="37" spans="1:18" ht="18" customHeight="1">
      <c r="A37" s="815"/>
      <c r="B37" s="793"/>
      <c r="C37" s="69"/>
      <c r="D37" s="816"/>
      <c r="E37" s="784" t="s">
        <v>673</v>
      </c>
      <c r="F37" s="785">
        <f ca="1">INDIRECT("'数据-取费表'!r"&amp;$G$1)</f>
        <v>0</v>
      </c>
      <c r="G37" s="2063"/>
      <c r="H37" s="2066"/>
      <c r="I37" s="3978"/>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7.4" thickBot="1">
      <c r="A54" s="2097"/>
      <c r="I54" s="2387" t="s">
        <v>2351</v>
      </c>
      <c r="J54" s="2401">
        <f ca="1">IF(M48="住宅",J52,IF(J52&gt;L49,L49-'数据-取费表'!B25,J52))</f>
        <v>0</v>
      </c>
      <c r="K54" s="3983"/>
      <c r="L54" s="3984"/>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2"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7.4"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31.8"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31.8"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31.8"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6.2"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19.2" thickBot="1">
      <c r="A62" s="2097"/>
      <c r="B62" s="2098"/>
      <c r="C62" s="2098"/>
      <c r="K62" s="2087"/>
      <c r="O62" s="2426" t="s">
        <v>2389</v>
      </c>
      <c r="P62" s="2424" t="s">
        <v>2397</v>
      </c>
      <c r="Q62" s="2425">
        <f ca="1">L59</f>
        <v>0</v>
      </c>
      <c r="R62" s="2428" t="s">
        <v>2398</v>
      </c>
    </row>
    <row r="63" spans="1:18" s="2060" customFormat="1" ht="19.2"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6.2"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2" thickBot="1">
      <c r="A65" s="2097"/>
      <c r="B65" s="2098"/>
      <c r="C65" s="2098"/>
      <c r="I65" s="2410" t="s">
        <v>2374</v>
      </c>
      <c r="J65" s="2411">
        <v>50</v>
      </c>
      <c r="K65" s="2411">
        <v>35</v>
      </c>
      <c r="L65" s="2411">
        <v>60</v>
      </c>
      <c r="M65" s="3128">
        <v>0</v>
      </c>
      <c r="O65" s="2429" t="s">
        <v>2418</v>
      </c>
      <c r="P65" s="1592"/>
      <c r="Q65" s="1604"/>
      <c r="R65" s="1592"/>
    </row>
    <row r="66" spans="1:18" s="2060" customFormat="1" ht="16.2"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6.2" thickBot="1">
      <c r="A67" s="2097"/>
      <c r="B67" s="2098"/>
      <c r="C67" s="2098"/>
      <c r="K67" s="2087"/>
      <c r="O67" s="2423" t="s">
        <v>2382</v>
      </c>
      <c r="P67" s="2424" t="s">
        <v>2408</v>
      </c>
      <c r="Q67" s="2425">
        <f ca="1">C41+J31</f>
        <v>0</v>
      </c>
      <c r="R67" s="2424" t="s">
        <v>2383</v>
      </c>
    </row>
    <row r="68" spans="1:18" s="2060" customFormat="1" ht="19.2" thickBot="1">
      <c r="A68" s="2097"/>
      <c r="B68" s="2098"/>
      <c r="C68" s="2098"/>
      <c r="K68" s="2087"/>
      <c r="O68" s="2423" t="s">
        <v>2384</v>
      </c>
      <c r="P68" s="2424" t="s">
        <v>2415</v>
      </c>
      <c r="Q68" s="2425" t="e">
        <f ca="1">L61</f>
        <v>#DIV/0!</v>
      </c>
      <c r="R68" s="2428" t="s">
        <v>2417</v>
      </c>
    </row>
    <row r="69" spans="1:18" s="2060" customFormat="1" ht="20.399999999999999" thickBot="1">
      <c r="A69" s="2097"/>
      <c r="B69" s="2098"/>
      <c r="C69" s="2098"/>
      <c r="K69" s="2087"/>
      <c r="O69" s="2426" t="s">
        <v>2386</v>
      </c>
      <c r="P69" s="2424" t="s">
        <v>2416</v>
      </c>
      <c r="Q69" s="2430">
        <f ca="1">L52</f>
        <v>0</v>
      </c>
      <c r="R69" s="2431" t="s">
        <v>2419</v>
      </c>
    </row>
    <row r="70" spans="1:18" s="2060" customFormat="1" ht="19.2" thickBot="1">
      <c r="A70" s="2097"/>
      <c r="B70" s="2098"/>
      <c r="C70" s="2098"/>
      <c r="K70" s="2087"/>
      <c r="O70" s="2426" t="s">
        <v>2387</v>
      </c>
      <c r="P70" s="2432" t="s">
        <v>2401</v>
      </c>
      <c r="Q70" s="2425">
        <f ca="1">ROUND(Q71-Q72*Q73,0)</f>
        <v>0</v>
      </c>
      <c r="R70" s="2428"/>
    </row>
    <row r="71" spans="1:18" s="2060" customFormat="1" ht="16.2" thickBot="1">
      <c r="A71" s="2097"/>
      <c r="B71" s="2098"/>
      <c r="C71" s="2098"/>
      <c r="K71" s="2087"/>
      <c r="O71" s="2426" t="s">
        <v>2402</v>
      </c>
      <c r="P71" s="2432" t="s">
        <v>2403</v>
      </c>
      <c r="Q71" s="2425">
        <f ca="1">C42</f>
        <v>0</v>
      </c>
      <c r="R71" s="2424" t="s">
        <v>2383</v>
      </c>
    </row>
    <row r="72" spans="1:18" s="2060" customFormat="1" ht="16.2" thickBot="1">
      <c r="A72" s="2097"/>
      <c r="B72" s="2098"/>
      <c r="C72" s="2098"/>
      <c r="K72" s="2087"/>
      <c r="O72" s="2426" t="s">
        <v>2404</v>
      </c>
      <c r="P72" s="2432" t="s">
        <v>2405</v>
      </c>
      <c r="Q72" s="2425">
        <f ca="1">C15</f>
        <v>0</v>
      </c>
      <c r="R72" s="2424" t="s">
        <v>2383</v>
      </c>
    </row>
    <row r="73" spans="1:18" s="2060" customFormat="1" ht="16.2" thickBot="1">
      <c r="A73" s="2097"/>
      <c r="B73" s="2098"/>
      <c r="C73" s="2098"/>
      <c r="K73" s="2087"/>
      <c r="O73" s="2426" t="s">
        <v>2406</v>
      </c>
      <c r="P73" s="2432" t="s">
        <v>2407</v>
      </c>
      <c r="Q73" s="2427">
        <f ca="1">F43</f>
        <v>7.0000000000000007E-2</v>
      </c>
      <c r="R73" s="2428"/>
    </row>
    <row r="74" spans="1:18" s="2060" customFormat="1" ht="16.2" thickBot="1">
      <c r="A74" s="2097"/>
      <c r="B74" s="2098"/>
      <c r="C74" s="2098"/>
      <c r="K74" s="2087"/>
      <c r="O74" s="2426" t="s">
        <v>2389</v>
      </c>
      <c r="P74" s="2424" t="s">
        <v>2396</v>
      </c>
      <c r="Q74" s="2427">
        <f>L53</f>
        <v>0</v>
      </c>
      <c r="R74" s="2428"/>
    </row>
    <row r="75" spans="1:18" s="2060" customFormat="1" ht="19.2" thickBot="1">
      <c r="A75" s="2097"/>
      <c r="B75" s="2098"/>
      <c r="C75" s="2098"/>
      <c r="K75" s="2087"/>
      <c r="O75" s="2426" t="s">
        <v>2391</v>
      </c>
      <c r="P75" s="2424" t="s">
        <v>2397</v>
      </c>
      <c r="Q75" s="2425">
        <f ca="1">L59</f>
        <v>0</v>
      </c>
      <c r="R75" s="2428" t="s">
        <v>2398</v>
      </c>
    </row>
    <row r="76" spans="1:18" s="2060" customFormat="1" ht="19.2" thickBot="1">
      <c r="A76" s="2097"/>
      <c r="B76" s="2098"/>
      <c r="C76" s="2098"/>
      <c r="K76" s="2087"/>
      <c r="O76" s="2426" t="s">
        <v>2420</v>
      </c>
      <c r="P76" s="2424" t="s">
        <v>2399</v>
      </c>
      <c r="Q76" s="2425">
        <f ca="1">L60</f>
        <v>0</v>
      </c>
      <c r="R76" s="2428" t="s">
        <v>2400</v>
      </c>
    </row>
    <row r="77" spans="1:18" s="2060" customFormat="1" ht="16.2"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1506</v>
      </c>
      <c r="D6" s="2522" t="s">
        <v>2465</v>
      </c>
      <c r="E6" s="784" t="s">
        <v>1738</v>
      </c>
      <c r="F6" s="785">
        <f ca="1">INDIRECT("'数据-取费表'!u"&amp;$G$1)</f>
        <v>2</v>
      </c>
      <c r="G6" s="1592"/>
      <c r="H6" s="2529" t="s">
        <v>2471</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21713.300000000003</v>
      </c>
      <c r="G7" s="1592"/>
      <c r="H7" s="2514"/>
      <c r="I7" s="3980"/>
      <c r="J7" s="788"/>
      <c r="K7" s="789"/>
      <c r="L7" s="784" t="s">
        <v>1739</v>
      </c>
      <c r="M7" s="785">
        <f ca="1">F7</f>
        <v>21713.300000000003</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2"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19.2"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18438</v>
      </c>
      <c r="R68" s="2431" t="s">
        <v>2419</v>
      </c>
    </row>
    <row r="69" spans="1:18" ht="19.2" thickBot="1">
      <c r="A69" s="790"/>
      <c r="B69" s="791"/>
      <c r="C69" s="792"/>
      <c r="D69" s="816"/>
      <c r="E69" s="784" t="s">
        <v>709</v>
      </c>
      <c r="F69" s="2372"/>
      <c r="O69" s="2426" t="s">
        <v>2387</v>
      </c>
      <c r="P69" s="2432" t="s">
        <v>2401</v>
      </c>
      <c r="Q69" s="2425">
        <f ca="1">ROUND(Q70-Q71*Q72,0)</f>
        <v>1065</v>
      </c>
      <c r="R69" s="2428"/>
    </row>
    <row r="70" spans="1:18" ht="16.2"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6.2" thickBot="1">
      <c r="O71" s="2426" t="s">
        <v>2404</v>
      </c>
      <c r="P71" s="2432" t="s">
        <v>2405</v>
      </c>
      <c r="Q71" s="2425">
        <f ca="1">C13</f>
        <v>2435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4003" t="s">
        <v>2474</v>
      </c>
      <c r="B1" s="4004"/>
      <c r="C1" s="4005"/>
      <c r="D1" s="4006">
        <f>SUM(I10,I15,I20,I21,I23)</f>
        <v>0</v>
      </c>
      <c r="E1" s="4006"/>
      <c r="F1" s="4006"/>
      <c r="G1" s="4006"/>
      <c r="H1" s="4006"/>
      <c r="I1" s="4007"/>
    </row>
    <row r="2" spans="1:9">
      <c r="A2" s="3993" t="s">
        <v>2475</v>
      </c>
      <c r="B2" s="3994" t="s">
        <v>2476</v>
      </c>
      <c r="C2" s="3994"/>
      <c r="D2" s="2532" t="s">
        <v>2477</v>
      </c>
      <c r="E2" s="2532" t="s">
        <v>2478</v>
      </c>
      <c r="F2" s="2532" t="s">
        <v>2479</v>
      </c>
      <c r="G2" s="2532" t="s">
        <v>2480</v>
      </c>
      <c r="H2" s="2532" t="s">
        <v>2481</v>
      </c>
      <c r="I2" s="2533" t="s">
        <v>2482</v>
      </c>
    </row>
    <row r="3" spans="1:9">
      <c r="A3" s="3993"/>
      <c r="B3" s="3994" t="s">
        <v>2483</v>
      </c>
      <c r="C3" s="3994"/>
      <c r="D3" s="2534"/>
      <c r="E3" s="2532"/>
      <c r="F3" s="2535"/>
      <c r="G3" s="2535"/>
      <c r="H3" s="2536"/>
      <c r="I3" s="2537">
        <f>ROUND(D3*E3*F3*G3*H3/10000,0)</f>
        <v>0</v>
      </c>
    </row>
    <row r="4" spans="1:9">
      <c r="A4" s="3993"/>
      <c r="B4" s="3994" t="s">
        <v>2484</v>
      </c>
      <c r="C4" s="3994"/>
      <c r="D4" s="2534"/>
      <c r="E4" s="2532"/>
      <c r="F4" s="2535"/>
      <c r="G4" s="2535"/>
      <c r="H4" s="2536"/>
      <c r="I4" s="2537">
        <f t="shared" ref="I4:I9" si="0">ROUND(D4*E4*F4*G4*H4/10000,0)</f>
        <v>0</v>
      </c>
    </row>
    <row r="5" spans="1:9">
      <c r="A5" s="3993"/>
      <c r="B5" s="3994" t="s">
        <v>2485</v>
      </c>
      <c r="C5" s="3994"/>
      <c r="D5" s="2534"/>
      <c r="E5" s="2532"/>
      <c r="F5" s="2535"/>
      <c r="G5" s="2535"/>
      <c r="H5" s="2536"/>
      <c r="I5" s="2537">
        <f t="shared" si="0"/>
        <v>0</v>
      </c>
    </row>
    <row r="6" spans="1:9">
      <c r="A6" s="3993"/>
      <c r="B6" s="3994" t="s">
        <v>2486</v>
      </c>
      <c r="C6" s="3994"/>
      <c r="D6" s="2534"/>
      <c r="E6" s="2532"/>
      <c r="F6" s="2535"/>
      <c r="G6" s="2535"/>
      <c r="H6" s="2536"/>
      <c r="I6" s="2537">
        <f t="shared" si="0"/>
        <v>0</v>
      </c>
    </row>
    <row r="7" spans="1:9">
      <c r="A7" s="3993"/>
      <c r="B7" s="3994" t="s">
        <v>2487</v>
      </c>
      <c r="C7" s="3994"/>
      <c r="D7" s="2534"/>
      <c r="E7" s="2532"/>
      <c r="F7" s="2535"/>
      <c r="G7" s="2535"/>
      <c r="H7" s="2536"/>
      <c r="I7" s="2537">
        <f t="shared" si="0"/>
        <v>0</v>
      </c>
    </row>
    <row r="8" spans="1:9">
      <c r="A8" s="3993"/>
      <c r="B8" s="3994" t="s">
        <v>2488</v>
      </c>
      <c r="C8" s="3994"/>
      <c r="D8" s="2534"/>
      <c r="E8" s="2532"/>
      <c r="F8" s="2535"/>
      <c r="G8" s="2535"/>
      <c r="H8" s="2536"/>
      <c r="I8" s="2537">
        <f t="shared" si="0"/>
        <v>0</v>
      </c>
    </row>
    <row r="9" spans="1:9">
      <c r="A9" s="3993"/>
      <c r="B9" s="3994" t="s">
        <v>2489</v>
      </c>
      <c r="C9" s="3994"/>
      <c r="D9" s="2534"/>
      <c r="E9" s="2532"/>
      <c r="F9" s="2535"/>
      <c r="G9" s="2535"/>
      <c r="H9" s="2536"/>
      <c r="I9" s="2537">
        <f t="shared" si="0"/>
        <v>0</v>
      </c>
    </row>
    <row r="10" spans="1:9">
      <c r="A10" s="3993"/>
      <c r="B10" s="3995" t="s">
        <v>2490</v>
      </c>
      <c r="C10" s="3995"/>
      <c r="D10" s="2538">
        <v>527</v>
      </c>
      <c r="E10" s="2538" t="e">
        <f>ROUND(D1*10000/D10/H9,0)</f>
        <v>#DIV/0!</v>
      </c>
      <c r="F10" s="2539"/>
      <c r="G10" s="2539"/>
      <c r="H10" s="2540"/>
      <c r="I10" s="2541">
        <f>SUM(I3:I9)</f>
        <v>0</v>
      </c>
    </row>
    <row r="11" spans="1:9" ht="15.6">
      <c r="A11" s="3993" t="s">
        <v>2491</v>
      </c>
      <c r="B11" s="3994" t="s">
        <v>2492</v>
      </c>
      <c r="C11" s="3994"/>
      <c r="D11" s="2534" t="s">
        <v>2493</v>
      </c>
      <c r="E11" s="2534" t="s">
        <v>2494</v>
      </c>
      <c r="F11" s="2535" t="s">
        <v>2495</v>
      </c>
      <c r="G11" s="2535" t="s">
        <v>2496</v>
      </c>
      <c r="H11" s="2542" t="s">
        <v>2497</v>
      </c>
      <c r="I11" s="2533" t="s">
        <v>2498</v>
      </c>
    </row>
    <row r="12" spans="1:9">
      <c r="A12" s="3993"/>
      <c r="B12" s="3994" t="s">
        <v>2499</v>
      </c>
      <c r="C12" s="3994"/>
      <c r="D12" s="2534"/>
      <c r="E12" s="2534"/>
      <c r="F12" s="2535"/>
      <c r="G12" s="2536"/>
      <c r="H12" s="2543"/>
      <c r="I12" s="2533">
        <f>ROUND(D12*E12*F12*G12/10000,0)</f>
        <v>0</v>
      </c>
    </row>
    <row r="13" spans="1:9">
      <c r="A13" s="3993"/>
      <c r="B13" s="3994" t="s">
        <v>2500</v>
      </c>
      <c r="C13" s="3994"/>
      <c r="D13" s="2534"/>
      <c r="E13" s="2534"/>
      <c r="F13" s="2535"/>
      <c r="G13" s="2536"/>
      <c r="H13" s="2543"/>
      <c r="I13" s="2533">
        <f>ROUND(D13*E13*F13*G13/10000,0)</f>
        <v>0</v>
      </c>
    </row>
    <row r="14" spans="1:9">
      <c r="A14" s="3993"/>
      <c r="B14" s="3994" t="s">
        <v>2501</v>
      </c>
      <c r="C14" s="3994"/>
      <c r="D14" s="2534"/>
      <c r="E14" s="2534"/>
      <c r="F14" s="2535"/>
      <c r="G14" s="2536"/>
      <c r="H14" s="2543"/>
      <c r="I14" s="2533">
        <f>ROUND(D14*E14*F14*G14/10000,0)</f>
        <v>0</v>
      </c>
    </row>
    <row r="15" spans="1:9">
      <c r="A15" s="3993"/>
      <c r="B15" s="3995" t="s">
        <v>2490</v>
      </c>
      <c r="C15" s="3995"/>
      <c r="D15" s="2538"/>
      <c r="E15" s="2538">
        <f>SUM(E12:E14)</f>
        <v>0</v>
      </c>
      <c r="F15" s="2539"/>
      <c r="G15" s="2536"/>
      <c r="H15" s="2543"/>
      <c r="I15" s="2544">
        <f>SUM(I12:I14)</f>
        <v>0</v>
      </c>
    </row>
    <row r="16" spans="1:9" ht="24">
      <c r="A16" s="3993" t="s">
        <v>2502</v>
      </c>
      <c r="B16" s="3994" t="s">
        <v>2503</v>
      </c>
      <c r="C16" s="3994"/>
      <c r="D16" s="2534" t="s">
        <v>2504</v>
      </c>
      <c r="E16" s="2545" t="s">
        <v>2505</v>
      </c>
      <c r="F16" s="2535" t="s">
        <v>2506</v>
      </c>
      <c r="G16" s="2536" t="s">
        <v>2496</v>
      </c>
      <c r="H16" s="2542" t="s">
        <v>2497</v>
      </c>
      <c r="I16" s="2533" t="s">
        <v>2498</v>
      </c>
    </row>
    <row r="17" spans="1:9" ht="15.6">
      <c r="A17" s="3993"/>
      <c r="B17" s="3994" t="s">
        <v>2507</v>
      </c>
      <c r="C17" s="3994"/>
      <c r="D17" s="2534"/>
      <c r="E17" s="2534"/>
      <c r="F17" s="2535"/>
      <c r="G17" s="2536"/>
      <c r="H17" s="2546"/>
      <c r="I17" s="2547">
        <f>ROUND(D17*E17*F17*G17/10000,0)</f>
        <v>0</v>
      </c>
    </row>
    <row r="18" spans="1:9" ht="15.6">
      <c r="A18" s="3993"/>
      <c r="B18" s="3994" t="s">
        <v>2508</v>
      </c>
      <c r="C18" s="3994"/>
      <c r="D18" s="2534"/>
      <c r="E18" s="2534"/>
      <c r="F18" s="2535"/>
      <c r="G18" s="2536"/>
      <c r="H18" s="2546"/>
      <c r="I18" s="2547">
        <f>ROUND(D18*E18*F18*G18/10000,0)</f>
        <v>0</v>
      </c>
    </row>
    <row r="19" spans="1:9" ht="15.6">
      <c r="A19" s="3993"/>
      <c r="B19" s="3994" t="s">
        <v>2509</v>
      </c>
      <c r="C19" s="3994"/>
      <c r="D19" s="2534"/>
      <c r="E19" s="2534"/>
      <c r="F19" s="2535"/>
      <c r="G19" s="2536"/>
      <c r="H19" s="2546"/>
      <c r="I19" s="2547">
        <f>ROUND(D19*E19*F19*G19/10000,0)</f>
        <v>0</v>
      </c>
    </row>
    <row r="20" spans="1:9">
      <c r="A20" s="3993"/>
      <c r="B20" s="3995" t="s">
        <v>2490</v>
      </c>
      <c r="C20" s="3995"/>
      <c r="D20" s="2538">
        <f>SUM(D17:D19)</f>
        <v>0</v>
      </c>
      <c r="E20" s="2538"/>
      <c r="F20" s="2539"/>
      <c r="G20" s="2536"/>
      <c r="H20" s="2543"/>
      <c r="I20" s="2544">
        <f>SUM(I17:I19)</f>
        <v>0</v>
      </c>
    </row>
    <row r="21" spans="1:9">
      <c r="A21" s="3993" t="s">
        <v>2510</v>
      </c>
      <c r="B21" s="3996"/>
      <c r="C21" s="3996"/>
      <c r="D21" s="3996"/>
      <c r="E21" s="3996"/>
      <c r="F21" s="3996"/>
      <c r="G21" s="3996"/>
      <c r="H21" s="2548">
        <v>0.1</v>
      </c>
      <c r="I21" s="2541">
        <f>ROUND(I10*H21,0)</f>
        <v>0</v>
      </c>
    </row>
    <row r="22" spans="1:9" ht="15.6">
      <c r="A22" s="3997" t="s">
        <v>2511</v>
      </c>
      <c r="B22" s="3998"/>
      <c r="C22" s="3999"/>
      <c r="D22" s="2549" t="s">
        <v>2512</v>
      </c>
      <c r="E22" s="2549" t="s">
        <v>2513</v>
      </c>
      <c r="F22" s="2550" t="s">
        <v>2514</v>
      </c>
      <c r="G22" s="2550" t="s">
        <v>2515</v>
      </c>
      <c r="H22" s="2542" t="s">
        <v>2516</v>
      </c>
      <c r="I22" s="2533" t="s">
        <v>2517</v>
      </c>
    </row>
    <row r="23" spans="1:9" ht="15" thickBot="1">
      <c r="A23" s="4000"/>
      <c r="B23" s="4001"/>
      <c r="C23" s="4002"/>
      <c r="D23" s="2551"/>
      <c r="E23" s="2551"/>
      <c r="F23" s="2551"/>
      <c r="G23" s="2552"/>
      <c r="H23" s="2553"/>
      <c r="I23" s="2554">
        <f>ROUND(E23*D23*F23*(1-G23)/10000,0)</f>
        <v>0</v>
      </c>
    </row>
    <row r="26" spans="1:9">
      <c r="A26" s="2555" t="s">
        <v>2518</v>
      </c>
      <c r="B26" s="2555"/>
      <c r="C26" s="2555"/>
      <c r="D26" s="2555"/>
      <c r="E26" s="3990">
        <f>C27-C30-C31-C32</f>
        <v>0</v>
      </c>
      <c r="F26" s="3990"/>
      <c r="G26" s="3990"/>
      <c r="H26" s="3068" t="s">
        <v>2844</v>
      </c>
    </row>
    <row r="27" spans="1:9">
      <c r="A27" s="2556">
        <v>1</v>
      </c>
      <c r="B27" s="2557" t="s">
        <v>2519</v>
      </c>
      <c r="C27" s="2557"/>
      <c r="D27" s="2557"/>
      <c r="E27" s="3991"/>
      <c r="F27" s="3991"/>
      <c r="G27" s="3991"/>
    </row>
    <row r="28" spans="1:9">
      <c r="A28" s="2558" t="s">
        <v>2520</v>
      </c>
      <c r="B28" s="2557" t="s">
        <v>2521</v>
      </c>
      <c r="C28" s="2557"/>
      <c r="D28" s="2557"/>
      <c r="E28" s="3991"/>
      <c r="F28" s="3991"/>
      <c r="G28" s="3991"/>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992"/>
      <c r="F32" s="3992"/>
      <c r="G32" s="3992"/>
    </row>
    <row r="33" spans="1:7" hidden="1">
      <c r="A33" s="3987" t="s">
        <v>2529</v>
      </c>
      <c r="B33" s="3988"/>
      <c r="C33" s="3988"/>
      <c r="D33" s="3989"/>
      <c r="E33" s="3990"/>
      <c r="F33" s="3990"/>
      <c r="G33" s="3990"/>
    </row>
    <row r="34" spans="1:7" hidden="1">
      <c r="A34" s="2560">
        <v>1</v>
      </c>
      <c r="B34" s="2557" t="s">
        <v>2530</v>
      </c>
      <c r="C34" s="2557"/>
      <c r="D34" s="2557"/>
      <c r="E34" s="3991"/>
      <c r="F34" s="3991"/>
      <c r="G34" s="3991"/>
    </row>
    <row r="35" spans="1:7" hidden="1">
      <c r="A35" s="2560">
        <v>2</v>
      </c>
      <c r="B35" s="2557" t="s">
        <v>2531</v>
      </c>
      <c r="C35" s="2557"/>
      <c r="D35" s="2557"/>
      <c r="E35" s="3991"/>
      <c r="F35" s="3991"/>
      <c r="G35" s="3991"/>
    </row>
    <row r="36" spans="1:7" hidden="1">
      <c r="A36" s="2560">
        <v>3</v>
      </c>
      <c r="B36" s="2557" t="s">
        <v>2532</v>
      </c>
      <c r="C36" s="2557"/>
      <c r="D36" s="2557"/>
      <c r="E36" s="3991"/>
      <c r="F36" s="3991"/>
      <c r="G36" s="3991"/>
    </row>
    <row r="37" spans="1:7" hidden="1">
      <c r="A37" s="2560">
        <v>4</v>
      </c>
      <c r="B37" s="2557" t="s">
        <v>2533</v>
      </c>
      <c r="C37" s="2557"/>
      <c r="D37" s="2557"/>
      <c r="E37" s="3991"/>
      <c r="F37" s="3991"/>
      <c r="G37" s="3991"/>
    </row>
    <row r="38" spans="1:7" hidden="1">
      <c r="A38" s="3987" t="s">
        <v>2534</v>
      </c>
      <c r="B38" s="3988"/>
      <c r="C38" s="3988"/>
      <c r="D38" s="3989"/>
      <c r="E38" s="3990"/>
      <c r="F38" s="3990"/>
      <c r="G38" s="3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1393</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20081.400000000001</v>
      </c>
      <c r="G7" s="1592"/>
      <c r="H7" s="2514"/>
      <c r="I7" s="3980"/>
      <c r="J7" s="788"/>
      <c r="K7" s="789"/>
      <c r="L7" s="784" t="s">
        <v>1739</v>
      </c>
      <c r="M7" s="785">
        <f ca="1">F7</f>
        <v>20081.400000000001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19.2"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16658</v>
      </c>
      <c r="R68" s="2431" t="s">
        <v>2419</v>
      </c>
    </row>
    <row r="69" spans="1:18" ht="19.2" thickBot="1">
      <c r="A69" s="790"/>
      <c r="B69" s="791"/>
      <c r="C69" s="792"/>
      <c r="D69" s="816"/>
      <c r="E69" s="784" t="s">
        <v>709</v>
      </c>
      <c r="F69" s="2372"/>
      <c r="O69" s="2426" t="s">
        <v>2387</v>
      </c>
      <c r="P69" s="2432" t="s">
        <v>2401</v>
      </c>
      <c r="Q69" s="2425">
        <f ca="1">ROUND(Q70-Q71*Q72,0)</f>
        <v>962</v>
      </c>
      <c r="R69" s="2428"/>
    </row>
    <row r="70" spans="1:18" ht="16.2"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6.2" thickBot="1">
      <c r="O71" s="2426" t="s">
        <v>2404</v>
      </c>
      <c r="P71" s="2432" t="s">
        <v>2405</v>
      </c>
      <c r="Q71" s="2425">
        <f ca="1">C13</f>
        <v>2575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101</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1452.1</v>
      </c>
      <c r="G7" s="1592"/>
      <c r="H7" s="2514"/>
      <c r="I7" s="3980"/>
      <c r="J7" s="788"/>
      <c r="K7" s="789"/>
      <c r="L7" s="784" t="s">
        <v>1739</v>
      </c>
      <c r="M7" s="785">
        <f ca="1">F7</f>
        <v>1452.1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19.2"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1212</v>
      </c>
      <c r="R68" s="2431" t="s">
        <v>2419</v>
      </c>
    </row>
    <row r="69" spans="1:18" ht="19.2" thickBot="1">
      <c r="A69" s="790"/>
      <c r="B69" s="791"/>
      <c r="C69" s="792"/>
      <c r="D69" s="816"/>
      <c r="E69" s="784" t="s">
        <v>709</v>
      </c>
      <c r="F69" s="2372"/>
      <c r="O69" s="2426" t="s">
        <v>2387</v>
      </c>
      <c r="P69" s="2432" t="s">
        <v>2401</v>
      </c>
      <c r="Q69" s="2425">
        <f ca="1">ROUND(Q70-Q71*Q72,0)</f>
        <v>70</v>
      </c>
      <c r="R69" s="2428"/>
    </row>
    <row r="70" spans="1:18" ht="16.2"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6.2" thickBot="1">
      <c r="O71" s="2426" t="s">
        <v>2404</v>
      </c>
      <c r="P71" s="2432" t="s">
        <v>2405</v>
      </c>
      <c r="Q71" s="2425">
        <f ca="1">C13</f>
        <v>186</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607</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8749.6</v>
      </c>
      <c r="G7" s="1592"/>
      <c r="H7" s="2514"/>
      <c r="I7" s="3980"/>
      <c r="J7" s="788"/>
      <c r="K7" s="789"/>
      <c r="L7" s="784" t="s">
        <v>1739</v>
      </c>
      <c r="M7" s="785">
        <f ca="1">F7</f>
        <v>8749.6</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19.2"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6880</v>
      </c>
      <c r="R68" s="2431" t="s">
        <v>2419</v>
      </c>
    </row>
    <row r="69" spans="1:18" ht="19.2" thickBot="1">
      <c r="A69" s="790"/>
      <c r="B69" s="791"/>
      <c r="C69" s="792"/>
      <c r="D69" s="816"/>
      <c r="E69" s="784" t="s">
        <v>709</v>
      </c>
      <c r="F69" s="2372"/>
      <c r="O69" s="2426" t="s">
        <v>2387</v>
      </c>
      <c r="P69" s="2432" t="s">
        <v>2401</v>
      </c>
      <c r="Q69" s="2425">
        <f ca="1">ROUND(Q70-Q71*Q72,0)</f>
        <v>397</v>
      </c>
      <c r="R69" s="2428"/>
    </row>
    <row r="70" spans="1:18" ht="16.2"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6.2" thickBot="1">
      <c r="O71" s="2426" t="s">
        <v>2404</v>
      </c>
      <c r="P71" s="2432" t="s">
        <v>2405</v>
      </c>
      <c r="Q71" s="2425">
        <f ca="1">C13</f>
        <v>1440</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284</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4101</v>
      </c>
      <c r="G7" s="1592"/>
      <c r="H7" s="2514"/>
      <c r="I7" s="3980"/>
      <c r="J7" s="788"/>
      <c r="K7" s="789"/>
      <c r="L7" s="784" t="s">
        <v>1739</v>
      </c>
      <c r="M7" s="785">
        <f ca="1">F7</f>
        <v>4101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3217</v>
      </c>
      <c r="R68" s="2431" t="s">
        <v>2419</v>
      </c>
    </row>
    <row r="69" spans="1:18" ht="19.2" thickBot="1">
      <c r="A69" s="790"/>
      <c r="B69" s="791"/>
      <c r="C69" s="792"/>
      <c r="D69" s="816"/>
      <c r="E69" s="784" t="s">
        <v>709</v>
      </c>
      <c r="F69" s="2372"/>
      <c r="O69" s="2426" t="s">
        <v>2387</v>
      </c>
      <c r="P69" s="2432" t="s">
        <v>2401</v>
      </c>
      <c r="Q69" s="2425">
        <f ca="1">ROUND(Q70-Q71*Q72,0)</f>
        <v>186</v>
      </c>
      <c r="R69" s="2428"/>
    </row>
    <row r="70" spans="1:18" ht="16.2"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6.2" thickBot="1">
      <c r="O71" s="2426" t="s">
        <v>2404</v>
      </c>
      <c r="P71" s="2432" t="s">
        <v>2405</v>
      </c>
      <c r="Q71" s="2425">
        <f ca="1">C13</f>
        <v>675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226</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3265</v>
      </c>
      <c r="G7" s="1592"/>
      <c r="H7" s="2514"/>
      <c r="I7" s="3980"/>
      <c r="J7" s="788"/>
      <c r="K7" s="789"/>
      <c r="L7" s="784" t="s">
        <v>1739</v>
      </c>
      <c r="M7" s="785">
        <f ca="1">F7</f>
        <v>3265</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2505</v>
      </c>
      <c r="R68" s="2431" t="s">
        <v>2419</v>
      </c>
    </row>
    <row r="69" spans="1:18" ht="19.2" thickBot="1">
      <c r="A69" s="790"/>
      <c r="B69" s="791"/>
      <c r="C69" s="792"/>
      <c r="D69" s="816"/>
      <c r="E69" s="784" t="s">
        <v>709</v>
      </c>
      <c r="F69" s="2372"/>
      <c r="O69" s="2426" t="s">
        <v>2387</v>
      </c>
      <c r="P69" s="2432" t="s">
        <v>2401</v>
      </c>
      <c r="Q69" s="2425">
        <f ca="1">ROUND(Q70-Q71*Q72,0)</f>
        <v>145</v>
      </c>
      <c r="R69" s="2428"/>
    </row>
    <row r="70" spans="1:18" ht="16.2"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6.2" thickBot="1">
      <c r="O71" s="2426" t="s">
        <v>2404</v>
      </c>
      <c r="P71" s="2432" t="s">
        <v>2405</v>
      </c>
      <c r="Q71" s="2425">
        <f ca="1">C13</f>
        <v>577</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D23" sqref="D2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6">
      <c r="A2" s="1406" t="s">
        <v>919</v>
      </c>
      <c r="B2" s="1038">
        <f>C26</f>
        <v>3312</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5101</v>
      </c>
      <c r="U2" s="2951"/>
      <c r="V2" s="2962">
        <f>ROUND(T2*U2/10000,0)</f>
        <v>0</v>
      </c>
      <c r="W2" s="2190"/>
      <c r="X2" s="2190"/>
      <c r="Y2" s="2190"/>
      <c r="Z2" s="2190"/>
      <c r="AA2" s="2190"/>
      <c r="AB2" s="2190"/>
      <c r="AC2" s="2191"/>
    </row>
    <row r="3" spans="1:39" ht="15.6">
      <c r="A3" s="1411" t="s">
        <v>1687</v>
      </c>
      <c r="B3" s="1038">
        <f>ROUND(B2*10000/D1,0)</f>
        <v>1522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3661</v>
      </c>
      <c r="U3" s="2951"/>
      <c r="V3" s="2962">
        <f t="shared" ref="V3:V16" si="1">ROUND(T3*U3/10000,0)</f>
        <v>0</v>
      </c>
      <c r="W3" s="2190"/>
      <c r="X3" s="2190"/>
      <c r="Y3" s="2190"/>
      <c r="Z3" s="2190"/>
      <c r="AA3" s="2190"/>
      <c r="AB3" s="2190"/>
      <c r="AC3" s="2191"/>
    </row>
    <row r="4" spans="1:39" ht="31.2">
      <c r="A4" s="1892" t="s">
        <v>2282</v>
      </c>
      <c r="B4" s="2478">
        <f>ROUND(B2*10000/F1,0)</f>
        <v>182</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2954</v>
      </c>
      <c r="U4" s="2951"/>
      <c r="V4" s="2962">
        <f t="shared"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2370</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2018</v>
      </c>
      <c r="U6" s="2951"/>
      <c r="V6" s="2962">
        <f t="shared" si="1"/>
        <v>0</v>
      </c>
      <c r="W6" s="2190"/>
      <c r="X6" s="2190"/>
      <c r="Y6" s="2190"/>
      <c r="Z6" s="2190"/>
      <c r="AA6" s="2190"/>
      <c r="AB6" s="2190"/>
      <c r="AC6" s="2192"/>
      <c r="AD6" s="1419"/>
      <c r="AE6" s="1419"/>
      <c r="AF6" s="1419"/>
      <c r="AG6" s="1419"/>
      <c r="AH6" s="1419"/>
      <c r="AI6" s="1419"/>
      <c r="AJ6" s="1420"/>
    </row>
    <row r="7" spans="1:39" ht="24">
      <c r="A7" s="3956"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1775</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957"/>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966" t="s">
        <v>2785</v>
      </c>
      <c r="X8" s="396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57"/>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96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57"/>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96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57"/>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96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56"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96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58"/>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96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58"/>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959"/>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956"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24.6" thickBot="1">
      <c r="A17" s="3957"/>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ROUND(IF(H19="按公示增长率计算",SUMPRODUCT((地价!A3:A22=YEAR(G19)&amp;"-"&amp;ROUNDUP(MONTH(G19)/3,0))*(地价!X2:AB2=E2)*(地价!X3:AB22)),IF(H19="地价指数",M20/M19,(1+I19)^O19)),4)</f>
        <v>1.2863</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E29+SUM(E33:E39)</f>
        <v>3312</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3044</v>
      </c>
      <c r="D29" s="1504">
        <f>'结果一览表 (基)'!F5</f>
        <v>10879.7</v>
      </c>
      <c r="E29" s="1850">
        <f>ROUND(C29*D29/10000,0)</f>
        <v>3312</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ROUND(IF(E2="工业",C29*M39,C29*M38),0)</f>
        <v>457</v>
      </c>
      <c r="D30" s="1510">
        <f>D29</f>
        <v>10879.7</v>
      </c>
      <c r="E30" s="1850">
        <f>ROUND(C30*D30/10000,0)</f>
        <v>497</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62"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63"/>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63"/>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64"/>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ROUND(C5*C19*C20*C24*F37,0)</f>
        <v>684</v>
      </c>
      <c r="D37" s="1537"/>
      <c r="E37" s="1048">
        <f t="shared" si="7"/>
        <v>0</v>
      </c>
      <c r="F37" s="1063">
        <f>SUMIF(修正!A45:A56,G2,修正!F45:F56)</f>
        <v>0.25</v>
      </c>
      <c r="G37" s="1048">
        <f t="shared" si="6"/>
        <v>171</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ROUND(C5*C19*C20*C24*F38,0)</f>
        <v>684</v>
      </c>
      <c r="D38" s="1537"/>
      <c r="E38" s="1048">
        <f t="shared" si="7"/>
        <v>0</v>
      </c>
      <c r="F38" s="1063">
        <f>SUMIF(修正!A45:A56,G2,修正!G45:G56)</f>
        <v>0.25</v>
      </c>
      <c r="G38" s="1048">
        <f t="shared" si="6"/>
        <v>171</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ROUND(C5*C19*C20*C24*F39,0)</f>
        <v>548</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0" t="s">
        <v>1633</v>
      </c>
      <c r="B90" s="3960"/>
      <c r="C90" s="3960"/>
      <c r="D90" s="3960"/>
      <c r="E90" s="3960"/>
      <c r="F90" s="3960"/>
      <c r="G90" s="3960"/>
      <c r="H90" s="3960"/>
      <c r="I90" s="3960"/>
      <c r="J90" s="3960"/>
      <c r="K90" s="3423"/>
      <c r="L90" s="3423"/>
      <c r="M90" s="3423"/>
      <c r="N90" s="3423"/>
    </row>
    <row r="91" spans="1:40">
      <c r="A91" s="3961" t="s">
        <v>1443</v>
      </c>
      <c r="B91" s="3961" t="s">
        <v>1634</v>
      </c>
      <c r="C91" s="1140" t="s">
        <v>1635</v>
      </c>
      <c r="D91" s="1141"/>
      <c r="E91" s="1141"/>
      <c r="F91" s="1141"/>
      <c r="G91" s="1141"/>
      <c r="H91" s="1141"/>
      <c r="I91" s="1141"/>
      <c r="J91" s="1142"/>
      <c r="K91" s="1134"/>
      <c r="L91" s="1134"/>
      <c r="M91" s="1134"/>
      <c r="N91" s="1134"/>
    </row>
    <row r="92" spans="1:40">
      <c r="A92" s="3961"/>
      <c r="B92" s="3961"/>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96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6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6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6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6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6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6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7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6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6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6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6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6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6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6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69"/>
      <c r="B108" s="397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70"/>
      <c r="B109" s="397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55" t="s">
        <v>1639</v>
      </c>
      <c r="B110" s="3955"/>
      <c r="C110" s="3955"/>
      <c r="D110" s="3955"/>
      <c r="E110" s="3955"/>
      <c r="F110" s="3955"/>
      <c r="G110" s="3955"/>
      <c r="H110" s="3955"/>
      <c r="I110" s="3955"/>
      <c r="J110" s="3955"/>
      <c r="K110" s="3422"/>
      <c r="L110" s="3422"/>
      <c r="M110" s="3422"/>
      <c r="N110" s="3422"/>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8"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87">
      <c r="A7" s="2898" t="s">
        <v>2751</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2073</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87">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2076</v>
      </c>
    </row>
    <row r="23" spans="1:1" ht="17.399999999999999">
      <c r="A23" s="2900" t="s">
        <v>2752</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2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3" zoomScale="89" zoomScaleNormal="89" workbookViewId="0">
      <selection activeCell="I19" sqref="I1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5.44140625" style="1337" customWidth="1"/>
    <col min="6" max="6" width="12.21875" style="1337" customWidth="1"/>
    <col min="7" max="7" width="17.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192263</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31793</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10555</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704</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836" t="s">
        <v>521</v>
      </c>
      <c r="D6" s="3837"/>
      <c r="E6" s="4013" t="s">
        <v>522</v>
      </c>
      <c r="F6" s="4014"/>
      <c r="G6" s="3836" t="s">
        <v>523</v>
      </c>
      <c r="H6" s="3837"/>
      <c r="I6" s="3836" t="s">
        <v>524</v>
      </c>
      <c r="J6" s="3837"/>
      <c r="K6" s="514" t="s">
        <v>525</v>
      </c>
      <c r="L6" s="2134"/>
      <c r="M6" s="2135"/>
      <c r="N6" s="2135"/>
      <c r="O6" s="2135"/>
      <c r="P6" s="3838" t="s">
        <v>526</v>
      </c>
      <c r="Q6" s="3839"/>
      <c r="R6" s="3823" t="s">
        <v>522</v>
      </c>
      <c r="S6" s="3824"/>
      <c r="T6" s="3823" t="s">
        <v>523</v>
      </c>
      <c r="U6" s="3824"/>
      <c r="V6" s="3844" t="s">
        <v>524</v>
      </c>
      <c r="W6" s="3844"/>
      <c r="X6" s="1567"/>
      <c r="Y6" s="3823" t="s">
        <v>526</v>
      </c>
      <c r="Z6" s="3824"/>
      <c r="AA6" s="3818" t="s">
        <v>522</v>
      </c>
      <c r="AB6" s="3819" t="s">
        <v>523</v>
      </c>
      <c r="AC6" s="3818" t="s">
        <v>524</v>
      </c>
    </row>
    <row r="7" spans="1:29">
      <c r="A7" s="515"/>
      <c r="B7" s="516"/>
      <c r="C7" s="4017" t="s">
        <v>3470</v>
      </c>
      <c r="D7" s="3848"/>
      <c r="E7" s="4015" t="s">
        <v>3949</v>
      </c>
      <c r="F7" s="4016"/>
      <c r="G7" s="3847" t="s">
        <v>3948</v>
      </c>
      <c r="H7" s="3848"/>
      <c r="I7" s="3847" t="s">
        <v>2932</v>
      </c>
      <c r="J7" s="3848"/>
      <c r="K7" s="514"/>
      <c r="L7" s="2134"/>
      <c r="M7" s="2135"/>
      <c r="N7" s="2135"/>
      <c r="O7" s="2135"/>
      <c r="P7" s="3840"/>
      <c r="Q7" s="3841"/>
      <c r="R7" s="3825"/>
      <c r="S7" s="3826"/>
      <c r="T7" s="3825"/>
      <c r="U7" s="3826"/>
      <c r="V7" s="3844"/>
      <c r="W7" s="3844"/>
      <c r="X7" s="1567"/>
      <c r="Y7" s="3825"/>
      <c r="Z7" s="3826"/>
      <c r="AA7" s="3819"/>
      <c r="AB7" s="3819"/>
      <c r="AC7" s="3819"/>
    </row>
    <row r="8" spans="1:29" ht="50.25" customHeight="1" thickBot="1">
      <c r="A8" s="517"/>
      <c r="B8" s="518"/>
      <c r="C8" s="4018" t="str">
        <f>项目基本情况!F10</f>
        <v>海淀区西三旗建材城中路2号</v>
      </c>
      <c r="D8" s="3846"/>
      <c r="E8" s="4019" t="str">
        <f>收储案例!B2</f>
        <v>北京市海淀区西三旗建材城中路18号院(养鸡场)国有建设用地使用权收购
补偿项目</v>
      </c>
      <c r="F8" s="4020"/>
      <c r="G8" s="3845" t="str">
        <f>收储案例!B3</f>
        <v>北京市朝阳区化工路5号</v>
      </c>
      <c r="H8" s="3846"/>
      <c r="I8" s="3845" t="str">
        <f>收储案例!B4</f>
        <v>安宁庄钢材市场及周边地区改造收储项目</v>
      </c>
      <c r="J8" s="3846"/>
      <c r="K8" s="514" t="s">
        <v>527</v>
      </c>
      <c r="L8" s="2134"/>
      <c r="M8" s="2135"/>
      <c r="N8" s="2135"/>
      <c r="O8" s="2135"/>
      <c r="P8" s="3842"/>
      <c r="Q8" s="3843"/>
      <c r="R8" s="3825"/>
      <c r="S8" s="3826"/>
      <c r="T8" s="3828"/>
      <c r="U8" s="3829"/>
      <c r="V8" s="3844"/>
      <c r="W8" s="3844"/>
      <c r="X8" s="1567"/>
      <c r="Y8" s="3828"/>
      <c r="Z8" s="3829"/>
      <c r="AA8" s="3820"/>
      <c r="AB8" s="3820"/>
      <c r="AC8" s="3820"/>
    </row>
    <row r="9" spans="1:29" s="1220" customFormat="1" ht="15" thickBot="1">
      <c r="A9" s="2937"/>
      <c r="B9" s="2944" t="s">
        <v>528</v>
      </c>
      <c r="C9" s="3696">
        <f>'数据-取费表'!B2</f>
        <v>43251</v>
      </c>
      <c r="D9" s="520">
        <v>100</v>
      </c>
      <c r="E9" s="521">
        <f>收储案例!F2</f>
        <v>43173</v>
      </c>
      <c r="F9" s="522">
        <f>SUMIF(67:67,YEAR(E9)&amp;"-"&amp;INT((MONTH(E9)+2)/3),68:68)</f>
        <v>100</v>
      </c>
      <c r="G9" s="523">
        <f>收储案例!F3</f>
        <v>42580</v>
      </c>
      <c r="H9" s="520">
        <f>SUMIF(67:67,YEAR(G9)&amp;"-"&amp;INT((MONTH(G9)+2)/3),68:68)</f>
        <v>100</v>
      </c>
      <c r="I9" s="523">
        <f>收储案例!F4</f>
        <v>41730</v>
      </c>
      <c r="J9" s="520">
        <f>SUMIF(67:67,YEAR(I9)&amp;"-"&amp;INT((MONTH(I9)+2)/3),68:68)</f>
        <v>100</v>
      </c>
      <c r="K9" s="524"/>
      <c r="L9" s="2136"/>
      <c r="M9" s="2137"/>
      <c r="N9" s="2137"/>
      <c r="O9" s="2137"/>
      <c r="P9" s="3821" t="s">
        <v>529</v>
      </c>
      <c r="Q9" s="3831"/>
      <c r="R9" s="1568" t="s">
        <v>8</v>
      </c>
      <c r="S9" s="1569">
        <f t="shared" ref="S9:S17" si="0">F9</f>
        <v>100</v>
      </c>
      <c r="T9" s="1568" t="s">
        <v>8</v>
      </c>
      <c r="U9" s="1569">
        <f t="shared" ref="U9:U17" si="1">H9</f>
        <v>100</v>
      </c>
      <c r="V9" s="1568" t="s">
        <v>8</v>
      </c>
      <c r="W9" s="1569">
        <f t="shared" ref="W9:W17" si="2">J9</f>
        <v>100</v>
      </c>
      <c r="X9" s="1570"/>
      <c r="Y9" s="3821" t="s">
        <v>529</v>
      </c>
      <c r="Z9" s="3822"/>
      <c r="AA9" s="1571">
        <f>D9/F9</f>
        <v>1</v>
      </c>
      <c r="AB9" s="1571">
        <f>D9/H9</f>
        <v>1</v>
      </c>
      <c r="AC9" s="1571">
        <f>D9/J9</f>
        <v>1</v>
      </c>
    </row>
    <row r="10" spans="1:29" s="1220" customFormat="1" ht="1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821" t="s">
        <v>532</v>
      </c>
      <c r="Q10" s="3822"/>
      <c r="R10" s="1568" t="s">
        <v>8</v>
      </c>
      <c r="S10" s="1569">
        <f t="shared" si="0"/>
        <v>100</v>
      </c>
      <c r="T10" s="1568" t="s">
        <v>8</v>
      </c>
      <c r="U10" s="1569">
        <f t="shared" si="1"/>
        <v>100</v>
      </c>
      <c r="V10" s="1568" t="s">
        <v>8</v>
      </c>
      <c r="W10" s="1569">
        <f t="shared" si="2"/>
        <v>100</v>
      </c>
      <c r="X10" s="1570"/>
      <c r="Y10" s="3821" t="s">
        <v>532</v>
      </c>
      <c r="Z10" s="3822"/>
      <c r="AA10" s="1571">
        <f t="shared" ref="AA10:AA42" si="3">D10/F10</f>
        <v>1</v>
      </c>
      <c r="AB10" s="1571">
        <f t="shared" ref="AB10:AB42" si="4">D10/H10</f>
        <v>1</v>
      </c>
      <c r="AC10" s="1571">
        <f t="shared" ref="AC10:AC42" si="5">D10/J10</f>
        <v>1</v>
      </c>
    </row>
    <row r="11" spans="1:29" s="1220" customFormat="1" ht="14.4">
      <c r="A11" s="2939"/>
      <c r="B11" s="2946" t="s">
        <v>2759</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36"/>
      <c r="M11" s="2137"/>
      <c r="N11" s="2137"/>
      <c r="O11" s="2138"/>
      <c r="P11" s="3830" t="s">
        <v>534</v>
      </c>
      <c r="Q11" s="1151" t="str">
        <f t="shared" ref="Q11:Q17" si="6">B11</f>
        <v>用途</v>
      </c>
      <c r="R11" s="1568" t="s">
        <v>8</v>
      </c>
      <c r="S11" s="1569">
        <f t="shared" si="0"/>
        <v>100</v>
      </c>
      <c r="T11" s="1568" t="s">
        <v>8</v>
      </c>
      <c r="U11" s="1569">
        <f t="shared" si="1"/>
        <v>100</v>
      </c>
      <c r="V11" s="1568" t="s">
        <v>8</v>
      </c>
      <c r="W11" s="1569">
        <f t="shared" si="2"/>
        <v>100</v>
      </c>
      <c r="X11" s="1570"/>
      <c r="Y11" s="3827" t="s">
        <v>535</v>
      </c>
      <c r="Z11" s="1150" t="str">
        <f t="shared" ref="Z11:Z17" si="7">Q11</f>
        <v>用途</v>
      </c>
      <c r="AA11" s="1571">
        <f t="shared" si="3"/>
        <v>1</v>
      </c>
      <c r="AB11" s="1571">
        <f t="shared" si="4"/>
        <v>1</v>
      </c>
      <c r="AC11" s="1571">
        <f t="shared" si="5"/>
        <v>1</v>
      </c>
    </row>
    <row r="12" spans="1:29" s="1338" customFormat="1" ht="28.8">
      <c r="A12" s="2940"/>
      <c r="B12" s="2945" t="s">
        <v>2760</v>
      </c>
      <c r="C12" s="528">
        <v>50</v>
      </c>
      <c r="D12" s="255">
        <v>100</v>
      </c>
      <c r="E12" s="528">
        <v>50</v>
      </c>
      <c r="F12" s="255">
        <v>100</v>
      </c>
      <c r="G12" s="528">
        <v>50</v>
      </c>
      <c r="H12" s="255">
        <v>100</v>
      </c>
      <c r="I12" s="528">
        <v>50</v>
      </c>
      <c r="J12" s="255">
        <v>100</v>
      </c>
      <c r="K12" s="531"/>
      <c r="L12" s="2139"/>
      <c r="M12" s="2179"/>
      <c r="N12" s="2179"/>
      <c r="O12" s="2140"/>
      <c r="P12" s="3830"/>
      <c r="Q12" s="1151" t="str">
        <f t="shared" si="6"/>
        <v>土地使用年限（年）</v>
      </c>
      <c r="R12" s="1568" t="s">
        <v>8</v>
      </c>
      <c r="S12" s="1569">
        <f t="shared" si="0"/>
        <v>100</v>
      </c>
      <c r="T12" s="1568" t="s">
        <v>8</v>
      </c>
      <c r="U12" s="1569">
        <f t="shared" si="1"/>
        <v>100</v>
      </c>
      <c r="V12" s="1568" t="s">
        <v>8</v>
      </c>
      <c r="W12" s="1569">
        <f t="shared" si="2"/>
        <v>100</v>
      </c>
      <c r="X12" s="1570"/>
      <c r="Y12" s="3827"/>
      <c r="Z12" s="1150" t="str">
        <f t="shared" si="7"/>
        <v>土地使用年限（年）</v>
      </c>
      <c r="AA12" s="1571">
        <f t="shared" si="3"/>
        <v>1</v>
      </c>
      <c r="AB12" s="1571">
        <f t="shared" si="4"/>
        <v>1</v>
      </c>
      <c r="AC12" s="1571">
        <f t="shared" si="5"/>
        <v>1</v>
      </c>
    </row>
    <row r="13" spans="1:29" ht="15.6" thickBot="1">
      <c r="A13" s="2941"/>
      <c r="B13" s="2945" t="s">
        <v>2761</v>
      </c>
      <c r="C13" s="533">
        <v>1</v>
      </c>
      <c r="D13" s="255">
        <v>100</v>
      </c>
      <c r="E13" s="533">
        <v>1</v>
      </c>
      <c r="F13" s="255">
        <f>LOOKUP(E13,77:77,78:78)-LOOKUP(C13,77:77,78:78)+100</f>
        <v>100</v>
      </c>
      <c r="G13" s="534">
        <v>1</v>
      </c>
      <c r="H13" s="255">
        <f>LOOKUP(G13,77:77,78:78)-LOOKUP(C13,77:77,78:78)+100</f>
        <v>100</v>
      </c>
      <c r="I13" s="533">
        <f>顺义案例!F5</f>
        <v>1</v>
      </c>
      <c r="J13" s="255">
        <f>LOOKUP(I13,77:77,78:78)-LOOKUP(C13,77:77,78:78)+100</f>
        <v>100</v>
      </c>
      <c r="K13" s="535"/>
      <c r="L13" s="2141"/>
      <c r="M13" s="2135"/>
      <c r="N13" s="2135"/>
      <c r="O13" s="2142"/>
      <c r="P13" s="3830"/>
      <c r="Q13" s="1151" t="str">
        <f t="shared" si="6"/>
        <v>容积率</v>
      </c>
      <c r="R13" s="1568" t="s">
        <v>8</v>
      </c>
      <c r="S13" s="1569">
        <f t="shared" si="0"/>
        <v>100</v>
      </c>
      <c r="T13" s="1568" t="s">
        <v>8</v>
      </c>
      <c r="U13" s="1569">
        <f t="shared" si="1"/>
        <v>100</v>
      </c>
      <c r="V13" s="1568" t="s">
        <v>8</v>
      </c>
      <c r="W13" s="1569">
        <f t="shared" si="2"/>
        <v>100</v>
      </c>
      <c r="X13" s="1570"/>
      <c r="Y13" s="3827"/>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830"/>
      <c r="Q14" s="1151">
        <f t="shared" si="6"/>
        <v>111</v>
      </c>
      <c r="R14" s="1568" t="s">
        <v>8</v>
      </c>
      <c r="S14" s="1569">
        <f t="shared" si="0"/>
        <v>100</v>
      </c>
      <c r="T14" s="1568" t="s">
        <v>8</v>
      </c>
      <c r="U14" s="1569">
        <f t="shared" si="1"/>
        <v>100</v>
      </c>
      <c r="V14" s="1568" t="s">
        <v>8</v>
      </c>
      <c r="W14" s="1569">
        <f t="shared" si="2"/>
        <v>100</v>
      </c>
      <c r="X14" s="1570"/>
      <c r="Y14" s="3827"/>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830"/>
      <c r="Q15" s="1151">
        <f t="shared" si="6"/>
        <v>111</v>
      </c>
      <c r="R15" s="1568" t="s">
        <v>8</v>
      </c>
      <c r="S15" s="1569">
        <f t="shared" si="0"/>
        <v>100</v>
      </c>
      <c r="T15" s="1568" t="s">
        <v>8</v>
      </c>
      <c r="U15" s="1569">
        <f t="shared" si="1"/>
        <v>100</v>
      </c>
      <c r="V15" s="1568" t="s">
        <v>8</v>
      </c>
      <c r="W15" s="1569">
        <f t="shared" si="2"/>
        <v>100</v>
      </c>
      <c r="X15" s="1570"/>
      <c r="Y15" s="3827"/>
      <c r="Z15" s="1150">
        <f t="shared" si="7"/>
        <v>111</v>
      </c>
      <c r="AA15" s="1571">
        <f t="shared" si="3"/>
        <v>1</v>
      </c>
      <c r="AB15" s="1571">
        <f t="shared" si="4"/>
        <v>1</v>
      </c>
      <c r="AC15" s="1571">
        <f t="shared" si="5"/>
        <v>1</v>
      </c>
    </row>
    <row r="16" spans="1:29" ht="15.6"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830"/>
      <c r="Q16" s="1151">
        <f t="shared" si="6"/>
        <v>111</v>
      </c>
      <c r="R16" s="1568" t="s">
        <v>8</v>
      </c>
      <c r="S16" s="1569">
        <f t="shared" si="0"/>
        <v>100</v>
      </c>
      <c r="T16" s="1568" t="s">
        <v>8</v>
      </c>
      <c r="U16" s="1569">
        <f t="shared" si="1"/>
        <v>100</v>
      </c>
      <c r="V16" s="1568" t="s">
        <v>8</v>
      </c>
      <c r="W16" s="1569">
        <f t="shared" si="2"/>
        <v>100</v>
      </c>
      <c r="X16" s="1570"/>
      <c r="Y16" s="3827"/>
      <c r="Z16" s="1150">
        <f t="shared" si="7"/>
        <v>111</v>
      </c>
      <c r="AA16" s="1571">
        <f t="shared" si="3"/>
        <v>1</v>
      </c>
      <c r="AB16" s="1571">
        <f t="shared" si="4"/>
        <v>1</v>
      </c>
      <c r="AC16" s="1571">
        <f t="shared" si="5"/>
        <v>1</v>
      </c>
    </row>
    <row r="17" spans="1:29" ht="69">
      <c r="A17" s="2935" t="s">
        <v>2757</v>
      </c>
      <c r="B17" s="166" t="s">
        <v>597</v>
      </c>
      <c r="C17" s="921" t="str">
        <f>估价对象房地状况!G15</f>
        <v>估价对象位于海淀区，区域工业成熟度一般，产业集聚程度一般</v>
      </c>
      <c r="D17" s="549">
        <v>100</v>
      </c>
      <c r="E17" s="550"/>
      <c r="F17" s="549">
        <f>SUMIF(85:85,E18,86:86)-SUMIF(85:85,C18,86:86)+100</f>
        <v>100</v>
      </c>
      <c r="G17" s="550"/>
      <c r="H17" s="549">
        <f>SUMIF(85:85,G18,86:86)-SUMIF(85:85,C18,86:86)+100</f>
        <v>100</v>
      </c>
      <c r="I17" s="552"/>
      <c r="J17" s="549">
        <f>SUMIF(85:85,I18,86:86)-SUMIF(85:85,C18,86:86)+100</f>
        <v>95</v>
      </c>
      <c r="K17" s="535">
        <v>5</v>
      </c>
      <c r="L17" s="2143"/>
      <c r="M17" s="2135"/>
      <c r="N17" s="2135"/>
      <c r="O17" s="2142"/>
      <c r="P17" s="3832" t="s">
        <v>539</v>
      </c>
      <c r="Q17" s="1572" t="str">
        <f t="shared" si="6"/>
        <v>产业集聚程度</v>
      </c>
      <c r="R17" s="1573" t="s">
        <v>8</v>
      </c>
      <c r="S17" s="1574">
        <f t="shared" si="0"/>
        <v>100</v>
      </c>
      <c r="T17" s="1573" t="s">
        <v>8</v>
      </c>
      <c r="U17" s="1574">
        <f t="shared" si="1"/>
        <v>100</v>
      </c>
      <c r="V17" s="1573" t="s">
        <v>8</v>
      </c>
      <c r="W17" s="1574">
        <f t="shared" si="2"/>
        <v>95</v>
      </c>
      <c r="X17" s="1567"/>
      <c r="Y17" s="3832" t="s">
        <v>539</v>
      </c>
      <c r="Z17" s="1575" t="str">
        <f t="shared" si="7"/>
        <v>产业集聚程度</v>
      </c>
      <c r="AA17" s="1576">
        <f t="shared" si="3"/>
        <v>1</v>
      </c>
      <c r="AB17" s="1576">
        <f t="shared" si="4"/>
        <v>1</v>
      </c>
      <c r="AC17" s="1576">
        <f t="shared" si="5"/>
        <v>1.0526315789473684</v>
      </c>
    </row>
    <row r="18" spans="1:29" ht="15">
      <c r="A18" s="532"/>
      <c r="B18" s="869"/>
      <c r="C18" s="576" t="s">
        <v>3185</v>
      </c>
      <c r="D18" s="555"/>
      <c r="E18" s="554" t="s">
        <v>3185</v>
      </c>
      <c r="F18" s="555"/>
      <c r="G18" s="554" t="s">
        <v>3185</v>
      </c>
      <c r="H18" s="559"/>
      <c r="I18" s="554" t="s">
        <v>3184</v>
      </c>
      <c r="J18" s="555"/>
      <c r="K18" s="531"/>
      <c r="L18" s="2143"/>
      <c r="M18" s="2135"/>
      <c r="N18" s="2135"/>
      <c r="O18" s="2142"/>
      <c r="P18" s="3833"/>
      <c r="Q18" s="1572"/>
      <c r="R18" s="1573"/>
      <c r="S18" s="1574"/>
      <c r="T18" s="1573"/>
      <c r="U18" s="1574"/>
      <c r="V18" s="1573"/>
      <c r="W18" s="1574"/>
      <c r="X18" s="1567"/>
      <c r="Y18" s="3833"/>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v>1</v>
      </c>
      <c r="L19" s="2143"/>
      <c r="M19" s="2135"/>
      <c r="N19" s="2135"/>
      <c r="O19" s="2142"/>
      <c r="P19" s="3833"/>
      <c r="Q19" s="1572" t="str">
        <f>B19</f>
        <v>交通便捷度</v>
      </c>
      <c r="R19" s="1573" t="s">
        <v>8</v>
      </c>
      <c r="S19" s="1574">
        <f>F19</f>
        <v>100</v>
      </c>
      <c r="T19" s="1573" t="s">
        <v>8</v>
      </c>
      <c r="U19" s="1574">
        <f>H19</f>
        <v>100</v>
      </c>
      <c r="V19" s="1573" t="s">
        <v>8</v>
      </c>
      <c r="W19" s="1574">
        <f>J19</f>
        <v>100</v>
      </c>
      <c r="X19" s="1567"/>
      <c r="Y19" s="3833"/>
      <c r="Z19" s="1575" t="str">
        <f>Q19</f>
        <v>交通便捷度</v>
      </c>
      <c r="AA19" s="1576">
        <f t="shared" si="3"/>
        <v>1</v>
      </c>
      <c r="AB19" s="1576">
        <f t="shared" si="4"/>
        <v>1</v>
      </c>
      <c r="AC19" s="1576">
        <f t="shared" si="5"/>
        <v>1</v>
      </c>
    </row>
    <row r="20" spans="1:29" ht="15">
      <c r="A20" s="532"/>
      <c r="B20" s="922"/>
      <c r="C20" s="576" t="s">
        <v>3185</v>
      </c>
      <c r="D20" s="555"/>
      <c r="E20" s="556" t="s">
        <v>3185</v>
      </c>
      <c r="F20" s="555"/>
      <c r="G20" s="556" t="s">
        <v>3185</v>
      </c>
      <c r="H20" s="555"/>
      <c r="I20" s="558" t="s">
        <v>3185</v>
      </c>
      <c r="J20" s="555"/>
      <c r="K20" s="531"/>
      <c r="L20" s="2143"/>
      <c r="M20" s="2135"/>
      <c r="N20" s="2135"/>
      <c r="O20" s="2142"/>
      <c r="P20" s="3833"/>
      <c r="Q20" s="1572"/>
      <c r="R20" s="1573"/>
      <c r="S20" s="1574"/>
      <c r="T20" s="1573"/>
      <c r="U20" s="1574"/>
      <c r="V20" s="1573"/>
      <c r="W20" s="1574"/>
      <c r="X20" s="1567"/>
      <c r="Y20" s="3833"/>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43"/>
      <c r="M21" s="2135"/>
      <c r="N21" s="2135"/>
      <c r="O21" s="2142"/>
      <c r="P21" s="3833"/>
      <c r="Q21" s="1572" t="str">
        <f t="shared" ref="Q21:Q35" si="8">B21</f>
        <v>区域土地利用方向</v>
      </c>
      <c r="R21" s="1573" t="s">
        <v>8</v>
      </c>
      <c r="S21" s="1574">
        <f>F21</f>
        <v>100</v>
      </c>
      <c r="T21" s="1573" t="s">
        <v>8</v>
      </c>
      <c r="U21" s="1574">
        <f>H21</f>
        <v>100</v>
      </c>
      <c r="V21" s="1573" t="s">
        <v>8</v>
      </c>
      <c r="W21" s="1574">
        <f>J21</f>
        <v>100</v>
      </c>
      <c r="X21" s="1567"/>
      <c r="Y21" s="3833"/>
      <c r="Z21" s="1575" t="str">
        <f>Q21</f>
        <v>区域土地利用方向</v>
      </c>
      <c r="AA21" s="1576">
        <f t="shared" si="3"/>
        <v>1</v>
      </c>
      <c r="AB21" s="1576">
        <f t="shared" si="4"/>
        <v>1</v>
      </c>
      <c r="AC21" s="1576">
        <f t="shared" si="5"/>
        <v>1</v>
      </c>
    </row>
    <row r="22" spans="1:29" ht="15">
      <c r="A22" s="515"/>
      <c r="B22" s="595"/>
      <c r="C22" s="576" t="s">
        <v>3184</v>
      </c>
      <c r="D22" s="555"/>
      <c r="E22" s="556" t="s">
        <v>3184</v>
      </c>
      <c r="F22" s="557"/>
      <c r="G22" s="558" t="s">
        <v>3184</v>
      </c>
      <c r="H22" s="557"/>
      <c r="I22" s="558" t="s">
        <v>3184</v>
      </c>
      <c r="J22" s="557"/>
      <c r="K22" s="1348"/>
      <c r="L22" s="2143"/>
      <c r="M22" s="2135"/>
      <c r="N22" s="2135"/>
      <c r="O22" s="2142"/>
      <c r="P22" s="3833"/>
      <c r="Q22" s="1572"/>
      <c r="R22" s="1573"/>
      <c r="S22" s="1574"/>
      <c r="T22" s="1573"/>
      <c r="U22" s="1574"/>
      <c r="V22" s="1573"/>
      <c r="W22" s="1574"/>
      <c r="X22" s="1567"/>
      <c r="Y22" s="3833"/>
      <c r="Z22" s="1575"/>
      <c r="AA22" s="1576"/>
      <c r="AB22" s="1576"/>
      <c r="AC22" s="1576"/>
    </row>
    <row r="23" spans="1:29" ht="82.8">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96</v>
      </c>
      <c r="I23" s="564"/>
      <c r="J23" s="559">
        <f>SUMIF(91:91,I24,92:92)-SUMIF(91:91,C24,92:92)+100</f>
        <v>96</v>
      </c>
      <c r="K23" s="535">
        <v>4</v>
      </c>
      <c r="L23" s="2143"/>
      <c r="M23" s="2135"/>
      <c r="N23" s="2135"/>
      <c r="O23" s="2142"/>
      <c r="P23" s="3833"/>
      <c r="Q23" s="1572" t="str">
        <f t="shared" si="8"/>
        <v>环境状况</v>
      </c>
      <c r="R23" s="1573" t="s">
        <v>8</v>
      </c>
      <c r="S23" s="1574">
        <f>F23</f>
        <v>100</v>
      </c>
      <c r="T23" s="1573" t="s">
        <v>8</v>
      </c>
      <c r="U23" s="1574">
        <f>H23</f>
        <v>96</v>
      </c>
      <c r="V23" s="1573" t="s">
        <v>8</v>
      </c>
      <c r="W23" s="1574">
        <f>J23</f>
        <v>96</v>
      </c>
      <c r="X23" s="1567"/>
      <c r="Y23" s="3833"/>
      <c r="Z23" s="1575" t="str">
        <f>Q23</f>
        <v>环境状况</v>
      </c>
      <c r="AA23" s="1576">
        <f t="shared" si="3"/>
        <v>1</v>
      </c>
      <c r="AB23" s="1576">
        <f t="shared" si="4"/>
        <v>1.0416666666666667</v>
      </c>
      <c r="AC23" s="1576">
        <f t="shared" si="5"/>
        <v>1.0416666666666667</v>
      </c>
    </row>
    <row r="24" spans="1:29" ht="15">
      <c r="A24" s="515"/>
      <c r="B24" s="595"/>
      <c r="C24" s="576" t="s">
        <v>3185</v>
      </c>
      <c r="D24" s="555"/>
      <c r="E24" s="554" t="s">
        <v>3185</v>
      </c>
      <c r="F24" s="555"/>
      <c r="G24" s="554" t="s">
        <v>3184</v>
      </c>
      <c r="H24" s="555"/>
      <c r="I24" s="576" t="s">
        <v>3184</v>
      </c>
      <c r="J24" s="555"/>
      <c r="K24" s="531"/>
      <c r="L24" s="2143"/>
      <c r="M24" s="2135"/>
      <c r="N24" s="2135"/>
      <c r="O24" s="2142"/>
      <c r="P24" s="3833"/>
      <c r="Q24" s="1572"/>
      <c r="R24" s="1573"/>
      <c r="S24" s="1574"/>
      <c r="T24" s="1573"/>
      <c r="U24" s="1574"/>
      <c r="V24" s="1573"/>
      <c r="W24" s="1574"/>
      <c r="X24" s="1567"/>
      <c r="Y24" s="3833"/>
      <c r="Z24" s="1575"/>
      <c r="AA24" s="1576">
        <v>1</v>
      </c>
      <c r="AB24" s="1576">
        <v>1</v>
      </c>
      <c r="AC24" s="1576">
        <v>1</v>
      </c>
    </row>
    <row r="25" spans="1:29" s="1220" customFormat="1" ht="55.2">
      <c r="A25" s="577"/>
      <c r="B25" s="2618" t="s">
        <v>2551</v>
      </c>
      <c r="C25" s="872" t="str">
        <f>估价对象房地状况!G19</f>
        <v>估价对象所在区域公共配套设施齐备情况好</v>
      </c>
      <c r="D25" s="559">
        <v>100</v>
      </c>
      <c r="E25" s="562"/>
      <c r="F25" s="559">
        <f>SUMIF(93:93,E26,94:94)-SUMIF(93:93,C26,94:94)+100</f>
        <v>100</v>
      </c>
      <c r="G25" s="562"/>
      <c r="H25" s="559">
        <f>SUMIF(93:93,G26,94:94)-SUMIF(93:93,C26,94:94)+100</f>
        <v>100</v>
      </c>
      <c r="I25" s="564"/>
      <c r="J25" s="559">
        <f>SUMIF(93:93,I26,94:94)-SUMIF(93:93,C26,94:94)+100</f>
        <v>100</v>
      </c>
      <c r="K25" s="535">
        <v>4</v>
      </c>
      <c r="L25" s="2136"/>
      <c r="M25" s="2137"/>
      <c r="N25" s="2137"/>
      <c r="O25" s="2138"/>
      <c r="P25" s="3833"/>
      <c r="Q25" s="1151" t="str">
        <f t="shared" si="8"/>
        <v>公共配套设施</v>
      </c>
      <c r="R25" s="1568" t="s">
        <v>8</v>
      </c>
      <c r="S25" s="1569">
        <f>F25</f>
        <v>100</v>
      </c>
      <c r="T25" s="1568" t="s">
        <v>8</v>
      </c>
      <c r="U25" s="1569">
        <f>H25</f>
        <v>100</v>
      </c>
      <c r="V25" s="1568" t="s">
        <v>8</v>
      </c>
      <c r="W25" s="1569">
        <f>J25</f>
        <v>100</v>
      </c>
      <c r="X25" s="1570"/>
      <c r="Y25" s="3833"/>
      <c r="Z25" s="1150" t="str">
        <f>Q25</f>
        <v>公共配套设施</v>
      </c>
      <c r="AA25" s="1576">
        <f>D25/F25</f>
        <v>1</v>
      </c>
      <c r="AB25" s="1576">
        <f>D25/H25</f>
        <v>1</v>
      </c>
      <c r="AC25" s="1576">
        <f>D25/J25</f>
        <v>1</v>
      </c>
    </row>
    <row r="26" spans="1:29" s="1220" customFormat="1" ht="15">
      <c r="A26" s="577"/>
      <c r="B26" s="595"/>
      <c r="C26" s="2617" t="s">
        <v>3185</v>
      </c>
      <c r="D26" s="555"/>
      <c r="E26" s="554" t="s">
        <v>3185</v>
      </c>
      <c r="F26" s="555"/>
      <c r="G26" s="554" t="s">
        <v>3185</v>
      </c>
      <c r="H26" s="555"/>
      <c r="I26" s="576" t="s">
        <v>3185</v>
      </c>
      <c r="J26" s="555"/>
      <c r="K26" s="531"/>
      <c r="L26" s="2136"/>
      <c r="M26" s="2137"/>
      <c r="N26" s="2137"/>
      <c r="O26" s="2138"/>
      <c r="P26" s="3833"/>
      <c r="Q26" s="1151"/>
      <c r="R26" s="1568"/>
      <c r="S26" s="1569"/>
      <c r="T26" s="1568"/>
      <c r="U26" s="1569"/>
      <c r="V26" s="1568"/>
      <c r="W26" s="1569"/>
      <c r="X26" s="1570"/>
      <c r="Y26" s="3833"/>
      <c r="Z26" s="1150"/>
      <c r="AA26" s="1571">
        <v>1</v>
      </c>
      <c r="AB26" s="1571">
        <v>1</v>
      </c>
      <c r="AC26" s="1571">
        <v>1</v>
      </c>
    </row>
    <row r="27" spans="1:29" s="1220" customFormat="1" ht="15">
      <c r="A27" s="577"/>
      <c r="B27" s="2618" t="s">
        <v>2552</v>
      </c>
      <c r="C27" s="872" t="str">
        <f>估价对象房地状况!G20</f>
        <v>七通</v>
      </c>
      <c r="D27" s="559">
        <v>100</v>
      </c>
      <c r="E27" s="3416" t="s">
        <v>3481</v>
      </c>
      <c r="F27" s="559">
        <f>SUMIF(95:95,E28,96:96)-SUMIF(95:95,C28,96:96)+100</f>
        <v>100</v>
      </c>
      <c r="G27" s="3416" t="s">
        <v>3481</v>
      </c>
      <c r="H27" s="559">
        <f>SUMIF(95:95,G28,96:96)-SUMIF(95:95,C28,96:96)+100</f>
        <v>100</v>
      </c>
      <c r="I27" s="3417"/>
      <c r="J27" s="559">
        <f>SUMIF(95:95,I28,96:96)-SUMIF(95:95,C28,96:96)+100</f>
        <v>100</v>
      </c>
      <c r="K27" s="535">
        <v>1</v>
      </c>
      <c r="L27" s="2136"/>
      <c r="M27" s="2137"/>
      <c r="N27" s="2137"/>
      <c r="O27" s="2138"/>
      <c r="P27" s="3833"/>
      <c r="Q27" s="2603" t="str">
        <f t="shared" ref="Q27" si="9">B27</f>
        <v>基础设施水平</v>
      </c>
      <c r="R27" s="1568" t="s">
        <v>8</v>
      </c>
      <c r="S27" s="1569">
        <f>F27</f>
        <v>100</v>
      </c>
      <c r="T27" s="1568" t="s">
        <v>8</v>
      </c>
      <c r="U27" s="1569">
        <f>H27</f>
        <v>100</v>
      </c>
      <c r="V27" s="1568" t="s">
        <v>8</v>
      </c>
      <c r="W27" s="1569">
        <f>J27</f>
        <v>100</v>
      </c>
      <c r="X27" s="1570"/>
      <c r="Y27" s="3833"/>
      <c r="Z27" s="2600" t="str">
        <f>Q27</f>
        <v>基础设施水平</v>
      </c>
      <c r="AA27" s="1576">
        <f>D27/F27</f>
        <v>1</v>
      </c>
      <c r="AB27" s="1576">
        <f>D27/H27</f>
        <v>1</v>
      </c>
      <c r="AC27" s="1576">
        <f>D27/J27</f>
        <v>1</v>
      </c>
    </row>
    <row r="28" spans="1:29" s="1220" customFormat="1" ht="15">
      <c r="A28" s="577"/>
      <c r="B28" s="595"/>
      <c r="C28" s="2617" t="s">
        <v>3477</v>
      </c>
      <c r="D28" s="555"/>
      <c r="E28" s="579" t="s">
        <v>3477</v>
      </c>
      <c r="F28" s="555"/>
      <c r="G28" s="579" t="s">
        <v>3477</v>
      </c>
      <c r="H28" s="555"/>
      <c r="I28" s="579" t="s">
        <v>3477</v>
      </c>
      <c r="J28" s="555"/>
      <c r="K28" s="531"/>
      <c r="L28" s="2136"/>
      <c r="M28" s="2137"/>
      <c r="N28" s="2137"/>
      <c r="O28" s="2138"/>
      <c r="P28" s="3833"/>
      <c r="Q28" s="2603"/>
      <c r="R28" s="1568"/>
      <c r="S28" s="1569"/>
      <c r="T28" s="1568"/>
      <c r="U28" s="1569"/>
      <c r="V28" s="1568"/>
      <c r="W28" s="1569"/>
      <c r="X28" s="1570"/>
      <c r="Y28" s="3833"/>
      <c r="Z28" s="2600"/>
      <c r="AA28" s="1571">
        <v>1</v>
      </c>
      <c r="AB28" s="1571">
        <v>1</v>
      </c>
      <c r="AC28" s="1571">
        <v>1</v>
      </c>
    </row>
    <row r="29" spans="1:29" ht="15" hidden="1">
      <c r="A29" s="532"/>
      <c r="B29" s="595" t="s">
        <v>546</v>
      </c>
      <c r="C29" s="583" t="s">
        <v>3482</v>
      </c>
      <c r="D29" s="540">
        <v>100</v>
      </c>
      <c r="E29" s="580" t="s">
        <v>3482</v>
      </c>
      <c r="F29" s="540">
        <f>SUMIF(97:97,E29,98:98)-SUMIF(97:97,C29,98:98)+100</f>
        <v>100</v>
      </c>
      <c r="G29" s="580" t="s">
        <v>3482</v>
      </c>
      <c r="H29" s="540">
        <f>SUMIF(97:97,G29,98:98)-SUMIF(97:97,C29,98:98)+100</f>
        <v>100</v>
      </c>
      <c r="I29" s="580" t="s">
        <v>3482</v>
      </c>
      <c r="J29" s="540">
        <f>SUMIF(97:97,I29,98:98)-SUMIF(97:97,C29,98:98)+100</f>
        <v>100</v>
      </c>
      <c r="K29" s="535">
        <v>1</v>
      </c>
      <c r="L29" s="2143"/>
      <c r="M29" s="2135"/>
      <c r="N29" s="2135"/>
      <c r="O29" s="2142"/>
      <c r="P29" s="383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833"/>
      <c r="Z29" s="1575" t="str">
        <f t="shared" ref="Z29:Z42" si="13">Q29</f>
        <v>临街状况</v>
      </c>
      <c r="AA29" s="1576">
        <f t="shared" si="3"/>
        <v>1</v>
      </c>
      <c r="AB29" s="1576">
        <f t="shared" si="4"/>
        <v>1</v>
      </c>
      <c r="AC29" s="1576">
        <f t="shared" si="5"/>
        <v>1</v>
      </c>
    </row>
    <row r="30" spans="1:29" ht="28.8">
      <c r="A30" s="532"/>
      <c r="B30" s="922" t="s">
        <v>547</v>
      </c>
      <c r="C30" s="2620" t="str">
        <f>估价对象房地状况!G22</f>
        <v>城市支路</v>
      </c>
      <c r="D30" s="559">
        <v>100</v>
      </c>
      <c r="E30" s="562"/>
      <c r="F30" s="559">
        <f>SUMIF(99:99,E31,100:100)-SUMIF(99:99,C31,100:100)+100</f>
        <v>100</v>
      </c>
      <c r="G30" s="562"/>
      <c r="H30" s="559">
        <f>SUMIF(99:99,G31,100:100)-SUMIF(99:99,C31,100:100)+100</f>
        <v>100</v>
      </c>
      <c r="I30" s="564"/>
      <c r="J30" s="559">
        <f>SUMIF(99:99,I31,100:100)-SUMIF(99:99,C31,100:100)+100</f>
        <v>100</v>
      </c>
      <c r="K30" s="535">
        <v>0</v>
      </c>
      <c r="L30" s="2143"/>
      <c r="M30" s="2135"/>
      <c r="N30" s="2135"/>
      <c r="O30" s="2142"/>
      <c r="P30" s="3833"/>
      <c r="Q30" s="1572" t="str">
        <f t="shared" si="8"/>
        <v>毗邻道路的类型与等级</v>
      </c>
      <c r="R30" s="1573" t="s">
        <v>8</v>
      </c>
      <c r="S30" s="1574">
        <f t="shared" si="10"/>
        <v>100</v>
      </c>
      <c r="T30" s="1573" t="s">
        <v>8</v>
      </c>
      <c r="U30" s="1574">
        <f t="shared" si="11"/>
        <v>100</v>
      </c>
      <c r="V30" s="1573" t="s">
        <v>8</v>
      </c>
      <c r="W30" s="1574">
        <f t="shared" si="12"/>
        <v>100</v>
      </c>
      <c r="X30" s="1567"/>
      <c r="Y30" s="3833"/>
      <c r="Z30" s="1575" t="str">
        <f t="shared" si="13"/>
        <v>毗邻道路的类型与等级</v>
      </c>
      <c r="AA30" s="1576">
        <f t="shared" si="3"/>
        <v>1</v>
      </c>
      <c r="AB30" s="1576">
        <f t="shared" si="4"/>
        <v>1</v>
      </c>
      <c r="AC30" s="1576">
        <f t="shared" si="5"/>
        <v>1</v>
      </c>
    </row>
    <row r="31" spans="1:29" ht="15.6" thickBot="1">
      <c r="A31" s="532"/>
      <c r="B31" s="595"/>
      <c r="C31" s="576" t="s">
        <v>3488</v>
      </c>
      <c r="D31" s="555"/>
      <c r="E31" s="576" t="s">
        <v>3488</v>
      </c>
      <c r="F31" s="555"/>
      <c r="G31" s="576" t="s">
        <v>3488</v>
      </c>
      <c r="H31" s="555"/>
      <c r="I31" s="576" t="s">
        <v>3488</v>
      </c>
      <c r="J31" s="555"/>
      <c r="K31" s="581"/>
      <c r="L31" s="2143"/>
      <c r="M31" s="2135"/>
      <c r="N31" s="2135"/>
      <c r="O31" s="2142"/>
      <c r="P31" s="3833"/>
      <c r="Q31" s="1572"/>
      <c r="R31" s="1573"/>
      <c r="S31" s="1574"/>
      <c r="T31" s="1573"/>
      <c r="U31" s="1574"/>
      <c r="V31" s="1573"/>
      <c r="W31" s="1574"/>
      <c r="X31" s="1567"/>
      <c r="Y31" s="3833"/>
      <c r="Z31" s="1575"/>
      <c r="AA31" s="1576">
        <v>1</v>
      </c>
      <c r="AB31" s="1576">
        <v>1</v>
      </c>
      <c r="AC31" s="1576">
        <v>1</v>
      </c>
    </row>
    <row r="32" spans="1:29" ht="15.6" hidden="1"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1409</v>
      </c>
      <c r="J32" s="540">
        <f>SUMIF(101:101,I32,102:102)-SUMIF(101:101,C32,102:102)+100</f>
        <v>100</v>
      </c>
      <c r="K32" s="584">
        <v>2</v>
      </c>
      <c r="L32" s="2143"/>
      <c r="M32" s="2135"/>
      <c r="N32" s="2135"/>
      <c r="O32" s="2142"/>
      <c r="P32" s="3833"/>
      <c r="Q32" s="1572" t="str">
        <f t="shared" si="8"/>
        <v>土地级别</v>
      </c>
      <c r="R32" s="1573" t="s">
        <v>8</v>
      </c>
      <c r="S32" s="1574">
        <f t="shared" si="10"/>
        <v>100</v>
      </c>
      <c r="T32" s="1573" t="s">
        <v>8</v>
      </c>
      <c r="U32" s="1574">
        <f t="shared" si="11"/>
        <v>100</v>
      </c>
      <c r="V32" s="1573" t="s">
        <v>8</v>
      </c>
      <c r="W32" s="1574">
        <f t="shared" si="12"/>
        <v>100</v>
      </c>
      <c r="X32" s="1567"/>
      <c r="Y32" s="3833"/>
      <c r="Z32" s="1575" t="str">
        <f t="shared" si="13"/>
        <v>土地级别</v>
      </c>
      <c r="AA32" s="1576">
        <f t="shared" si="3"/>
        <v>1</v>
      </c>
      <c r="AB32" s="1576">
        <f t="shared" si="4"/>
        <v>1</v>
      </c>
      <c r="AC32" s="1576">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833"/>
      <c r="Q33" s="1572">
        <f t="shared" si="8"/>
        <v>111</v>
      </c>
      <c r="R33" s="1573" t="s">
        <v>8</v>
      </c>
      <c r="S33" s="1574">
        <f t="shared" si="10"/>
        <v>100</v>
      </c>
      <c r="T33" s="1573" t="s">
        <v>8</v>
      </c>
      <c r="U33" s="1574">
        <f t="shared" si="11"/>
        <v>100</v>
      </c>
      <c r="V33" s="1573" t="s">
        <v>8</v>
      </c>
      <c r="W33" s="1574">
        <f t="shared" si="12"/>
        <v>100</v>
      </c>
      <c r="X33" s="1567"/>
      <c r="Y33" s="3833"/>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834" t="s">
        <v>549</v>
      </c>
      <c r="Q34" s="1572">
        <f t="shared" si="8"/>
        <v>111</v>
      </c>
      <c r="R34" s="1573" t="s">
        <v>8</v>
      </c>
      <c r="S34" s="1574">
        <f t="shared" si="10"/>
        <v>100</v>
      </c>
      <c r="T34" s="1573" t="s">
        <v>8</v>
      </c>
      <c r="U34" s="1574">
        <f t="shared" si="11"/>
        <v>100</v>
      </c>
      <c r="V34" s="1573" t="s">
        <v>8</v>
      </c>
      <c r="W34" s="1574">
        <f t="shared" si="12"/>
        <v>100</v>
      </c>
      <c r="X34" s="1567"/>
      <c r="Y34" s="3835" t="s">
        <v>549</v>
      </c>
      <c r="Z34" s="1575">
        <f t="shared" si="13"/>
        <v>111</v>
      </c>
      <c r="AA34" s="1576">
        <f t="shared" si="3"/>
        <v>1</v>
      </c>
      <c r="AB34" s="1576">
        <f t="shared" si="4"/>
        <v>1</v>
      </c>
      <c r="AC34" s="1576">
        <f t="shared" si="5"/>
        <v>1</v>
      </c>
    </row>
    <row r="35" spans="1:29" s="1339" customFormat="1" ht="15.6"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835"/>
      <c r="Q35" s="1572">
        <f t="shared" si="8"/>
        <v>111</v>
      </c>
      <c r="R35" s="1577" t="s">
        <v>8</v>
      </c>
      <c r="S35" s="1578">
        <f t="shared" si="10"/>
        <v>100</v>
      </c>
      <c r="T35" s="1577" t="s">
        <v>8</v>
      </c>
      <c r="U35" s="1578">
        <f t="shared" si="11"/>
        <v>100</v>
      </c>
      <c r="V35" s="1577" t="s">
        <v>8</v>
      </c>
      <c r="W35" s="1578">
        <f t="shared" si="12"/>
        <v>100</v>
      </c>
      <c r="X35" s="1579"/>
      <c r="Y35" s="3835"/>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收储案例!G2</f>
        <v>21216</v>
      </c>
      <c r="F36" s="597">
        <f>LOOKUP(E36,110:110,111:111)-LOOKUP(C36,110:110,111:111)+100</f>
        <v>97</v>
      </c>
      <c r="G36" s="596">
        <f>收储案例!G3</f>
        <v>144861.38</v>
      </c>
      <c r="H36" s="597">
        <f>LOOKUP(G36,110:110,111:111)-LOOKUP(C36,110:110,111:111)+100</f>
        <v>99</v>
      </c>
      <c r="I36" s="598">
        <f>收储案例!G4</f>
        <v>8639.5</v>
      </c>
      <c r="J36" s="597">
        <f>LOOKUP(I36,110:110,111:111)-LOOKUP(C36,110:110,111:111)+100</f>
        <v>97</v>
      </c>
      <c r="K36" s="581"/>
      <c r="L36" s="2143"/>
      <c r="M36" s="2135"/>
      <c r="N36" s="2135"/>
      <c r="O36" s="2142"/>
      <c r="P36" s="3835"/>
      <c r="Q36" s="1572" t="str">
        <f>B36</f>
        <v>宗地面积</v>
      </c>
      <c r="R36" s="1573" t="s">
        <v>8</v>
      </c>
      <c r="S36" s="1574">
        <f t="shared" si="10"/>
        <v>97</v>
      </c>
      <c r="T36" s="1573" t="s">
        <v>8</v>
      </c>
      <c r="U36" s="1574">
        <f t="shared" si="11"/>
        <v>99</v>
      </c>
      <c r="V36" s="1573" t="s">
        <v>8</v>
      </c>
      <c r="W36" s="1574">
        <f t="shared" si="12"/>
        <v>97</v>
      </c>
      <c r="X36" s="1567"/>
      <c r="Y36" s="3835"/>
      <c r="Z36" s="1575" t="str">
        <f t="shared" si="13"/>
        <v>宗地面积</v>
      </c>
      <c r="AA36" s="1576">
        <f t="shared" si="3"/>
        <v>1.0309278350515463</v>
      </c>
      <c r="AB36" s="1576">
        <f t="shared" si="4"/>
        <v>1.0101010101010102</v>
      </c>
      <c r="AC36" s="1576">
        <f t="shared" si="5"/>
        <v>1.0309278350515463</v>
      </c>
    </row>
    <row r="37" spans="1:29" ht="15">
      <c r="A37" s="594"/>
      <c r="B37" s="527" t="s">
        <v>552</v>
      </c>
      <c r="C37" s="599" t="s">
        <v>3492</v>
      </c>
      <c r="D37" s="540">
        <v>100</v>
      </c>
      <c r="E37" s="599" t="s">
        <v>3492</v>
      </c>
      <c r="F37" s="540">
        <f>SUMIF(112:112,E37,113:113)-SUMIF(112:112,C37,113:113)+100</f>
        <v>100</v>
      </c>
      <c r="G37" s="599" t="s">
        <v>3492</v>
      </c>
      <c r="H37" s="540">
        <f>SUMIF(112:112,G37,113:113)-SUMIF(112:112,C37,113:113)+100</f>
        <v>100</v>
      </c>
      <c r="I37" s="599" t="s">
        <v>3492</v>
      </c>
      <c r="J37" s="540">
        <f>SUMIF(112:112,I37,113:113)-SUMIF(112:112,C37,113:113)+100</f>
        <v>100</v>
      </c>
      <c r="K37" s="584">
        <v>1</v>
      </c>
      <c r="L37" s="2143"/>
      <c r="M37" s="2135"/>
      <c r="N37" s="2135"/>
      <c r="O37" s="2142"/>
      <c r="P37" s="3835"/>
      <c r="Q37" s="1572" t="str">
        <f t="shared" ref="Q37:Q42" si="14">B37</f>
        <v>宗地形状</v>
      </c>
      <c r="R37" s="1573" t="s">
        <v>8</v>
      </c>
      <c r="S37" s="1574">
        <f t="shared" si="10"/>
        <v>100</v>
      </c>
      <c r="T37" s="1573" t="s">
        <v>8</v>
      </c>
      <c r="U37" s="1574">
        <f t="shared" si="11"/>
        <v>100</v>
      </c>
      <c r="V37" s="1573" t="s">
        <v>8</v>
      </c>
      <c r="W37" s="1574">
        <f t="shared" si="12"/>
        <v>100</v>
      </c>
      <c r="X37" s="1567"/>
      <c r="Y37" s="3835"/>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3477</v>
      </c>
      <c r="F38" s="540">
        <f>SUMIF(114:114,E38,115:115)-SUMIF(114:114,C38,115:115)+100</f>
        <v>100</v>
      </c>
      <c r="G38" s="601" t="s">
        <v>3477</v>
      </c>
      <c r="H38" s="540">
        <f>SUMIF(114:114,G38,115:115)-SUMIF(114:114,C38,115:115)+100</f>
        <v>100</v>
      </c>
      <c r="I38" s="601" t="s">
        <v>3477</v>
      </c>
      <c r="J38" s="540">
        <f>SUMIF(114:114,I38,115:115)-SUMIF(114:114,C38,115:115)+100</f>
        <v>100</v>
      </c>
      <c r="K38" s="584">
        <v>1</v>
      </c>
      <c r="L38" s="2136"/>
      <c r="M38" s="2137"/>
      <c r="N38" s="2137"/>
      <c r="O38" s="2138"/>
      <c r="P38" s="3835"/>
      <c r="Q38" s="1572" t="str">
        <f t="shared" si="14"/>
        <v>宗地开发程度</v>
      </c>
      <c r="R38" s="1568" t="s">
        <v>8</v>
      </c>
      <c r="S38" s="1569">
        <f t="shared" si="10"/>
        <v>100</v>
      </c>
      <c r="T38" s="1568" t="s">
        <v>8</v>
      </c>
      <c r="U38" s="1569">
        <f t="shared" si="11"/>
        <v>100</v>
      </c>
      <c r="V38" s="1568" t="s">
        <v>8</v>
      </c>
      <c r="W38" s="1569">
        <f t="shared" si="12"/>
        <v>100</v>
      </c>
      <c r="X38" s="1570"/>
      <c r="Y38" s="3835"/>
      <c r="Z38" s="1150" t="str">
        <f t="shared" si="13"/>
        <v>宗地开发程度</v>
      </c>
      <c r="AA38" s="1571">
        <f t="shared" si="3"/>
        <v>1</v>
      </c>
      <c r="AB38" s="1571">
        <f t="shared" si="4"/>
        <v>1</v>
      </c>
      <c r="AC38" s="1571">
        <f t="shared" si="5"/>
        <v>1</v>
      </c>
    </row>
    <row r="39" spans="1:29" ht="15">
      <c r="A39" s="594"/>
      <c r="B39" s="527" t="s">
        <v>554</v>
      </c>
      <c r="C39" s="599" t="s">
        <v>3498</v>
      </c>
      <c r="D39" s="540">
        <v>100</v>
      </c>
      <c r="E39" s="599" t="s">
        <v>3498</v>
      </c>
      <c r="F39" s="540">
        <f>SUMIF(116:116,E39,117:117)-SUMIF(116:116,C39,117:117)+100</f>
        <v>100</v>
      </c>
      <c r="G39" s="599" t="s">
        <v>3498</v>
      </c>
      <c r="H39" s="540">
        <f>SUMIF(116:116,G39,117:117)-SUMIF(116:116,C39,117:117)+100</f>
        <v>100</v>
      </c>
      <c r="I39" s="599" t="s">
        <v>3498</v>
      </c>
      <c r="J39" s="540">
        <f>SUMIF(116:116,I39,117:117)-SUMIF(116:116,C39,117:117)+100</f>
        <v>100</v>
      </c>
      <c r="K39" s="584"/>
      <c r="L39" s="2143"/>
      <c r="M39" s="2135"/>
      <c r="N39" s="2135"/>
      <c r="O39" s="2142"/>
      <c r="P39" s="3835" t="s">
        <v>600</v>
      </c>
      <c r="Q39" s="1572" t="str">
        <f t="shared" si="14"/>
        <v>工程地质条件</v>
      </c>
      <c r="R39" s="1573" t="s">
        <v>8</v>
      </c>
      <c r="S39" s="1574">
        <f t="shared" si="10"/>
        <v>100</v>
      </c>
      <c r="T39" s="1573" t="s">
        <v>8</v>
      </c>
      <c r="U39" s="1574">
        <f t="shared" si="11"/>
        <v>100</v>
      </c>
      <c r="V39" s="1573" t="s">
        <v>8</v>
      </c>
      <c r="W39" s="1574">
        <f t="shared" si="12"/>
        <v>100</v>
      </c>
      <c r="X39" s="1567"/>
      <c r="Y39" s="3835"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835"/>
      <c r="Q40" s="1572">
        <f t="shared" si="14"/>
        <v>111</v>
      </c>
      <c r="R40" s="1573" t="s">
        <v>8</v>
      </c>
      <c r="S40" s="1574">
        <f t="shared" si="10"/>
        <v>100</v>
      </c>
      <c r="T40" s="1573" t="s">
        <v>8</v>
      </c>
      <c r="U40" s="1574">
        <f t="shared" si="11"/>
        <v>100</v>
      </c>
      <c r="V40" s="1573" t="s">
        <v>8</v>
      </c>
      <c r="W40" s="1574">
        <f t="shared" si="12"/>
        <v>100</v>
      </c>
      <c r="X40" s="1567"/>
      <c r="Y40" s="383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835"/>
      <c r="Q41" s="1572">
        <f t="shared" si="14"/>
        <v>111</v>
      </c>
      <c r="R41" s="1573" t="s">
        <v>8</v>
      </c>
      <c r="S41" s="1574">
        <f t="shared" si="10"/>
        <v>100</v>
      </c>
      <c r="T41" s="1573" t="s">
        <v>8</v>
      </c>
      <c r="U41" s="1574">
        <f t="shared" si="11"/>
        <v>100</v>
      </c>
      <c r="V41" s="1573" t="s">
        <v>8</v>
      </c>
      <c r="W41" s="1574">
        <f t="shared" si="12"/>
        <v>100</v>
      </c>
      <c r="X41" s="1567"/>
      <c r="Y41" s="3835"/>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835"/>
      <c r="Q42" s="1572">
        <f t="shared" si="14"/>
        <v>111</v>
      </c>
      <c r="R42" s="1577" t="s">
        <v>8</v>
      </c>
      <c r="S42" s="1578">
        <f t="shared" si="10"/>
        <v>100</v>
      </c>
      <c r="T42" s="1577" t="s">
        <v>8</v>
      </c>
      <c r="U42" s="1578">
        <f t="shared" si="11"/>
        <v>100</v>
      </c>
      <c r="V42" s="1577" t="s">
        <v>8</v>
      </c>
      <c r="W42" s="1578">
        <f t="shared" si="12"/>
        <v>100</v>
      </c>
      <c r="X42" s="1579"/>
      <c r="Y42" s="3835"/>
      <c r="Z42" s="1580">
        <f t="shared" si="13"/>
        <v>111</v>
      </c>
      <c r="AA42" s="1576">
        <f t="shared" si="3"/>
        <v>1</v>
      </c>
      <c r="AB42" s="1576">
        <f t="shared" si="4"/>
        <v>1</v>
      </c>
      <c r="AC42" s="1576">
        <f t="shared" si="5"/>
        <v>1</v>
      </c>
    </row>
    <row r="43" spans="1:29" ht="14.4">
      <c r="A43" s="607" t="s">
        <v>555</v>
      </c>
      <c r="B43" s="608" t="s">
        <v>2934</v>
      </c>
      <c r="C43" s="609" t="s">
        <v>1</v>
      </c>
      <c r="D43" s="610"/>
      <c r="E43" s="611">
        <f>收储案例!Q2</f>
        <v>7765</v>
      </c>
      <c r="F43" s="612"/>
      <c r="G43" s="613">
        <f>收储案例!Q3</f>
        <v>11262</v>
      </c>
      <c r="H43" s="614"/>
      <c r="I43" s="611">
        <f>收储案例!Q4</f>
        <v>10447</v>
      </c>
      <c r="J43" s="614"/>
      <c r="K43" s="1340"/>
      <c r="L43" s="2145"/>
      <c r="M43" s="2135"/>
      <c r="N43" s="2135"/>
      <c r="O43" s="2146"/>
      <c r="P43" s="3830" t="str">
        <f>A43</f>
        <v>成交单价</v>
      </c>
      <c r="Q43" s="3830"/>
      <c r="R43" s="3844">
        <f>E43</f>
        <v>7765</v>
      </c>
      <c r="S43" s="3844"/>
      <c r="T43" s="3844">
        <f>G43</f>
        <v>11262</v>
      </c>
      <c r="U43" s="3844"/>
      <c r="V43" s="3844">
        <f>I43</f>
        <v>10447</v>
      </c>
      <c r="W43" s="3844"/>
      <c r="X43" s="1559"/>
      <c r="Y43" s="1581"/>
      <c r="Z43" s="1559"/>
      <c r="AA43" s="1559"/>
      <c r="AB43" s="1559"/>
      <c r="AC43" s="1559"/>
    </row>
    <row r="44" spans="1:29" ht="15" thickBot="1">
      <c r="A44" s="615" t="s">
        <v>2696</v>
      </c>
      <c r="B44" s="616"/>
      <c r="C44" s="617">
        <f>R45</f>
        <v>10555</v>
      </c>
      <c r="D44" s="618"/>
      <c r="E44" s="617">
        <f>R44</f>
        <v>8005</v>
      </c>
      <c r="F44" s="619"/>
      <c r="G44" s="620">
        <f>T44</f>
        <v>11850</v>
      </c>
      <c r="H44" s="618"/>
      <c r="I44" s="617">
        <f>V44</f>
        <v>11809</v>
      </c>
      <c r="J44" s="618"/>
      <c r="K44" s="1341"/>
      <c r="L44" s="2145"/>
      <c r="M44" s="2135"/>
      <c r="N44" s="2135"/>
      <c r="O44" s="2146"/>
      <c r="P44" s="3830" t="str">
        <f>A44</f>
        <v>比较价格（元/平方米）</v>
      </c>
      <c r="Q44" s="3830"/>
      <c r="R44" s="3854">
        <f>ROUND(PRODUCT(R43,AA9:AA42),0)</f>
        <v>8005</v>
      </c>
      <c r="S44" s="3854"/>
      <c r="T44" s="3854">
        <f>ROUND(PRODUCT(T43,AB9:AB42),0)</f>
        <v>11850</v>
      </c>
      <c r="U44" s="3854"/>
      <c r="V44" s="3854">
        <f>ROUND(PRODUCT(V43,AC9:AC42),0)</f>
        <v>11809</v>
      </c>
      <c r="W44" s="3854"/>
      <c r="X44" s="1559"/>
      <c r="Y44" s="1559"/>
      <c r="Z44" s="1559"/>
      <c r="AA44" s="1559"/>
      <c r="AB44" s="1559"/>
      <c r="AC44" s="1559"/>
    </row>
    <row r="45" spans="1:29" ht="15" thickBot="1">
      <c r="A45" s="621" t="s">
        <v>3500</v>
      </c>
      <c r="B45" s="622"/>
      <c r="C45" s="623">
        <f>R45</f>
        <v>10555</v>
      </c>
      <c r="D45" s="623"/>
      <c r="E45" s="623"/>
      <c r="F45" s="623"/>
      <c r="G45" s="623"/>
      <c r="H45" s="623"/>
      <c r="I45" s="623"/>
      <c r="J45" s="623"/>
      <c r="K45" s="3710">
        <f>ROUND(E44*E46+G44*G46+I44*I46,0)</f>
        <v>11449</v>
      </c>
      <c r="L45" s="2145"/>
      <c r="M45" s="2135"/>
      <c r="N45" s="2135"/>
      <c r="O45" s="2146"/>
      <c r="P45" s="3851" t="str">
        <f>A45</f>
        <v>估价对象工业用房的比较价格（楼面单价，元/平方米）</v>
      </c>
      <c r="Q45" s="3852"/>
      <c r="R45" s="3853">
        <f>ROUND(AVERAGE(R44:V44),0)</f>
        <v>10555</v>
      </c>
      <c r="S45" s="3853"/>
      <c r="T45" s="3853"/>
      <c r="U45" s="3853"/>
      <c r="V45" s="3853"/>
      <c r="W45" s="3853"/>
      <c r="X45" s="1559"/>
      <c r="Y45" s="1559"/>
      <c r="Z45" s="1559"/>
      <c r="AA45" s="1559"/>
      <c r="AB45" s="1559"/>
      <c r="AC45" s="1559"/>
    </row>
    <row r="46" spans="1:29">
      <c r="A46" s="2146"/>
      <c r="B46" s="2146"/>
      <c r="C46" s="2146"/>
      <c r="D46" s="2146"/>
      <c r="E46" s="3717">
        <v>0.1</v>
      </c>
      <c r="F46" s="2146"/>
      <c r="G46" s="2149">
        <v>0.5</v>
      </c>
      <c r="H46" s="2146"/>
      <c r="I46" s="2149">
        <f>1-E46-G46</f>
        <v>0.4</v>
      </c>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v>10555</v>
      </c>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3.0907920154539692E-2</v>
      </c>
      <c r="F48" s="627" t="str">
        <f>IF(OR(E48&gt;=0.3,E48&lt;=-0.3),"超过30%","")</f>
        <v/>
      </c>
      <c r="G48" s="626">
        <f>IF(G43&lt;G44,G44/G43-1,G43/G44-1)</f>
        <v>5.2210974960042567E-2</v>
      </c>
      <c r="H48" s="627" t="str">
        <f>IF(OR(G48&gt;=0.3,G48&lt;=-0.3),"超过30%","")</f>
        <v/>
      </c>
      <c r="I48" s="626">
        <f>IF(I43&lt;I44,I44/I43-1,I43/I44-1)</f>
        <v>0.130372355700201</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0.4803247970018738</v>
      </c>
      <c r="F49" s="627" t="str">
        <f>IF(OR(E49&gt;=0.2,E49&lt;=-0.2),"超过20%","")</f>
        <v>超过20%</v>
      </c>
      <c r="G49" s="626">
        <f>IF(G44&lt;I44,I44/G44-1,G44/I44-1)</f>
        <v>3.4719281903632382E-3</v>
      </c>
      <c r="H49" s="627" t="str">
        <f>IF(OR(G49&gt;=0.2,G49&lt;=-0.2),"超过20%","")</f>
        <v/>
      </c>
      <c r="I49" s="626">
        <f>IF(I44&lt;E44,E44/I44-1,I44/E44-1)</f>
        <v>0.47520299812617117</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0.45035415325177075</v>
      </c>
      <c r="F50" s="627" t="str">
        <f>IF(OR(E50&gt;=0.3,E50&lt;=-0.3),"超过30%","")</f>
        <v>超过30%</v>
      </c>
      <c r="G50" s="626">
        <f>IF(G43&lt;I43,I43/G43-1,G43/I43-1)</f>
        <v>7.8012826648798717E-2</v>
      </c>
      <c r="H50" s="627" t="str">
        <f>IF(OR(G50&gt;=0.3,G50&lt;=-0.3),"超过30%","")</f>
        <v/>
      </c>
      <c r="I50" s="626">
        <f>IF(I43&lt;E43,E43/I43-1,I43/E43-1)</f>
        <v>0.34539600772697998</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1724</v>
      </c>
      <c r="D52" s="2228" t="s">
        <v>2295</v>
      </c>
      <c r="E52" s="631" t="s">
        <v>561</v>
      </c>
      <c r="F52" s="1952" t="s">
        <v>562</v>
      </c>
      <c r="G52" s="4008" t="s">
        <v>2286</v>
      </c>
      <c r="H52" s="4009"/>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f>C45</f>
        <v>10555</v>
      </c>
      <c r="C53" s="635">
        <v>1</v>
      </c>
      <c r="D53" s="2229">
        <v>1</v>
      </c>
      <c r="E53" s="635">
        <f>'数据-汇总表'!E8+'数据-汇总表'!E9</f>
        <v>59362.400000000001</v>
      </c>
      <c r="F53" s="1951">
        <f t="shared" ref="F53:F62" si="15">ROUND(B53*E53/10000,0)</f>
        <v>62657</v>
      </c>
      <c r="G53" s="4010"/>
      <c r="H53" s="401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f>ROUND($C$45*C54*D54,0)</f>
        <v>0</v>
      </c>
      <c r="C54" s="378">
        <f t="shared" ref="C54:C62" si="16">IF($C$52="北京市系数",I54,J54)</f>
        <v>0</v>
      </c>
      <c r="D54" s="2230">
        <v>0.25</v>
      </c>
      <c r="E54" s="639"/>
      <c r="F54" s="1951">
        <f t="shared" si="15"/>
        <v>0</v>
      </c>
      <c r="G54" s="4012"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f t="shared" ref="B55:B62" si="17">ROUND($C$45*C55*D55,0)</f>
        <v>0</v>
      </c>
      <c r="C55" s="378">
        <f t="shared" si="16"/>
        <v>0</v>
      </c>
      <c r="D55" s="2230">
        <v>0.25</v>
      </c>
      <c r="E55" s="639"/>
      <c r="F55" s="1951">
        <f t="shared" si="15"/>
        <v>0</v>
      </c>
      <c r="G55" s="401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f t="shared" si="17"/>
        <v>0</v>
      </c>
      <c r="C56" s="378">
        <f t="shared" si="16"/>
        <v>0</v>
      </c>
      <c r="D56" s="2230">
        <v>0.25</v>
      </c>
      <c r="E56" s="639"/>
      <c r="F56" s="1951">
        <f t="shared" si="15"/>
        <v>0</v>
      </c>
      <c r="G56" s="401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f t="shared" si="17"/>
        <v>0</v>
      </c>
      <c r="C57" s="378">
        <f t="shared" si="16"/>
        <v>0</v>
      </c>
      <c r="D57" s="2230">
        <v>0.25</v>
      </c>
      <c r="E57" s="639"/>
      <c r="F57" s="1951">
        <f t="shared" si="15"/>
        <v>0</v>
      </c>
      <c r="G57" s="401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2296</v>
      </c>
      <c r="E63" s="643">
        <f>IF(B43="楼面地价",SUM(E53:E62),'数据-汇总表'!D3)</f>
        <v>182153.37</v>
      </c>
      <c r="F63" s="644">
        <f>IF(B43="楼面地价",SUM(F53:F62),ROUND(C45*E63/10000,0))</f>
        <v>192263</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26.4">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3708" t="s">
        <v>965</v>
      </c>
      <c r="P67" s="3708" t="s">
        <v>964</v>
      </c>
      <c r="Q67" s="3708" t="s">
        <v>963</v>
      </c>
      <c r="R67" s="3708" t="s">
        <v>962</v>
      </c>
      <c r="S67" s="3708" t="s">
        <v>961</v>
      </c>
      <c r="T67" s="3709" t="s">
        <v>960</v>
      </c>
      <c r="U67" s="2162"/>
      <c r="V67" s="2162"/>
      <c r="W67" s="2162"/>
      <c r="X67" s="2162"/>
      <c r="Y67" s="2162"/>
      <c r="Z67" s="2162"/>
      <c r="AA67" s="2162"/>
      <c r="AB67" s="2162"/>
      <c r="AC67" s="2162"/>
    </row>
    <row r="68" spans="1:29" s="1220" customFormat="1" ht="27.75" customHeight="1" thickBot="1">
      <c r="A68" s="2823" t="s">
        <v>2652</v>
      </c>
      <c r="B68" s="479" t="str">
        <f>"北京市平均增长率"&amp;TEXT(基准地价!P24,"0.00%")</f>
        <v>北京市平均增长率1.49%</v>
      </c>
      <c r="C68" s="894">
        <v>100</v>
      </c>
      <c r="D68" s="730">
        <v>100</v>
      </c>
      <c r="E68" s="730">
        <v>100</v>
      </c>
      <c r="F68" s="730">
        <v>100</v>
      </c>
      <c r="G68" s="730">
        <v>100</v>
      </c>
      <c r="H68" s="730">
        <v>100</v>
      </c>
      <c r="I68" s="730">
        <v>100</v>
      </c>
      <c r="J68" s="730">
        <v>100</v>
      </c>
      <c r="K68" s="730">
        <v>100</v>
      </c>
      <c r="L68" s="730">
        <v>100</v>
      </c>
      <c r="M68" s="730">
        <v>100</v>
      </c>
      <c r="N68" s="730">
        <v>100</v>
      </c>
      <c r="O68" s="730">
        <v>100</v>
      </c>
      <c r="P68" s="730">
        <v>100</v>
      </c>
      <c r="Q68" s="730">
        <v>100</v>
      </c>
      <c r="R68" s="730">
        <v>100</v>
      </c>
      <c r="S68" s="730">
        <v>100</v>
      </c>
      <c r="T68" s="730">
        <v>100</v>
      </c>
      <c r="U68" s="1994"/>
      <c r="V68" s="1994"/>
      <c r="W68" s="1994"/>
      <c r="X68" s="1994"/>
      <c r="Y68" s="1994"/>
      <c r="Z68" s="1994"/>
      <c r="AA68" s="1994"/>
      <c r="AB68" s="1994"/>
      <c r="AC68" s="1994"/>
    </row>
    <row r="69" spans="1:29" s="1220" customFormat="1" ht="15" thickBot="1">
      <c r="A69" s="653" t="s">
        <v>574</v>
      </c>
      <c r="B69" s="654"/>
      <c r="C69" s="3156">
        <v>2.44</v>
      </c>
      <c r="D69" s="2695">
        <v>2.0099999999999998</v>
      </c>
      <c r="E69" s="2682">
        <v>1.43</v>
      </c>
      <c r="F69" s="2695">
        <v>1.72</v>
      </c>
      <c r="G69" s="2696">
        <v>1.68</v>
      </c>
      <c r="H69" s="2695">
        <v>1.58</v>
      </c>
      <c r="I69" s="2682">
        <v>1.57</v>
      </c>
      <c r="J69" s="2695">
        <v>1.97</v>
      </c>
      <c r="K69" s="2696">
        <v>1.41</v>
      </c>
      <c r="L69" s="2695">
        <v>1.48</v>
      </c>
      <c r="M69" s="2701">
        <v>1.89</v>
      </c>
      <c r="N69" s="2706">
        <v>1.26</v>
      </c>
      <c r="O69" s="2696">
        <v>0.88</v>
      </c>
      <c r="P69" s="2695">
        <v>0.93</v>
      </c>
      <c r="Q69" s="2701">
        <v>0.89</v>
      </c>
      <c r="R69" s="2711">
        <v>0.72</v>
      </c>
      <c r="S69" s="2701">
        <v>1.52</v>
      </c>
      <c r="T69" s="2715">
        <v>1.36</v>
      </c>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95</v>
      </c>
      <c r="E86" s="679">
        <f>D86-$K17</f>
        <v>90</v>
      </c>
      <c r="F86" s="679">
        <f>E86-$K17</f>
        <v>85</v>
      </c>
      <c r="G86" s="679">
        <f>F86-$K17</f>
        <v>80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99</v>
      </c>
      <c r="E88" s="679">
        <f>D88-$K19</f>
        <v>98</v>
      </c>
      <c r="F88" s="679">
        <f>E88-$K19</f>
        <v>97</v>
      </c>
      <c r="G88" s="679">
        <f>F88-$K19</f>
        <v>96</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96</v>
      </c>
      <c r="E92" s="679">
        <f>D92-$K23</f>
        <v>92</v>
      </c>
      <c r="F92" s="679">
        <f>E92-$K23</f>
        <v>88</v>
      </c>
      <c r="G92" s="679">
        <f>F92-$K23</f>
        <v>84</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96</v>
      </c>
      <c r="E94" s="679">
        <f>D94-$K25</f>
        <v>92</v>
      </c>
      <c r="F94" s="679">
        <f>E94-$K25</f>
        <v>88</v>
      </c>
      <c r="G94" s="679">
        <f>F94-$K25</f>
        <v>84</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3418" t="s">
        <v>3485</v>
      </c>
      <c r="D99" s="3418" t="s">
        <v>3486</v>
      </c>
      <c r="E99" s="3418" t="s">
        <v>3487</v>
      </c>
      <c r="F99" s="3418" t="s">
        <v>3489</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3421" t="s">
        <v>3490</v>
      </c>
      <c r="D101" s="3421" t="s">
        <v>3491</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7.6">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v>0</v>
      </c>
      <c r="D110" s="730">
        <v>50000</v>
      </c>
      <c r="E110" s="730">
        <v>100000</v>
      </c>
      <c r="F110" s="730">
        <v>150000</v>
      </c>
      <c r="G110" s="730">
        <v>200000</v>
      </c>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v>96</v>
      </c>
      <c r="D111" s="726">
        <v>97</v>
      </c>
      <c r="E111" s="726">
        <v>98</v>
      </c>
      <c r="F111" s="726">
        <v>99</v>
      </c>
      <c r="G111" s="726">
        <v>100</v>
      </c>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3493</v>
      </c>
      <c r="D112" s="3421" t="s">
        <v>3968</v>
      </c>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3481</v>
      </c>
      <c r="D114" s="1375" t="s">
        <v>3495</v>
      </c>
      <c r="E114" s="1375" t="s">
        <v>3496</v>
      </c>
      <c r="F114" s="1375" t="s">
        <v>3497</v>
      </c>
      <c r="G114" s="1375" t="s">
        <v>3480</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3499</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3"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4.4"/>
  <cols>
    <col min="1" max="1" width="17.33203125" customWidth="1"/>
    <col min="6" max="6" width="7.33203125" customWidth="1"/>
    <col min="7" max="7" width="12.77734375" customWidth="1"/>
    <col min="11" max="11" width="12.777343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3520</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3515</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topLeftCell="J1" workbookViewId="0">
      <selection activeCell="T3" sqref="T3"/>
    </sheetView>
  </sheetViews>
  <sheetFormatPr defaultColWidth="9" defaultRowHeight="14.4"/>
  <cols>
    <col min="1" max="1" width="6.77734375" style="3707" customWidth="1"/>
    <col min="2" max="2" width="33.77734375" style="3707" customWidth="1"/>
    <col min="3" max="3" width="31.109375" style="3707" hidden="1" customWidth="1"/>
    <col min="4" max="4" width="14.77734375" style="3707" customWidth="1"/>
    <col min="5" max="5" width="9" style="3707"/>
    <col min="6" max="6" width="11.77734375" style="3707" customWidth="1"/>
    <col min="7" max="7" width="12.77734375" style="3707" customWidth="1"/>
    <col min="8" max="9" width="12.77734375" style="3707" hidden="1" customWidth="1"/>
    <col min="10" max="10" width="16.6640625" style="3707" customWidth="1"/>
    <col min="11" max="11" width="16.6640625" style="3707" hidden="1" customWidth="1"/>
    <col min="12" max="15" width="10.5546875" style="3707" customWidth="1"/>
    <col min="16" max="18" width="9" style="3707"/>
    <col min="19" max="19" width="14.77734375" style="3707" customWidth="1"/>
    <col min="20" max="16384" width="9" style="3707"/>
  </cols>
  <sheetData>
    <row r="1" spans="1:19" s="3701" customFormat="1" ht="36" customHeight="1">
      <c r="A1" s="3697" t="s">
        <v>3919</v>
      </c>
      <c r="B1" s="3697" t="s">
        <v>3360</v>
      </c>
      <c r="C1" s="3697" t="s">
        <v>3920</v>
      </c>
      <c r="D1" s="3697" t="s">
        <v>3921</v>
      </c>
      <c r="E1" s="3697" t="s">
        <v>3922</v>
      </c>
      <c r="F1" s="3697" t="s">
        <v>3923</v>
      </c>
      <c r="G1" s="3697" t="s">
        <v>3924</v>
      </c>
      <c r="H1" s="3698" t="s">
        <v>3925</v>
      </c>
      <c r="I1" s="3697" t="s">
        <v>3926</v>
      </c>
      <c r="J1" s="3697" t="s">
        <v>3927</v>
      </c>
      <c r="K1" s="3699"/>
      <c r="L1" s="3700" t="s">
        <v>3928</v>
      </c>
      <c r="M1" s="3700" t="s">
        <v>3929</v>
      </c>
      <c r="N1" s="3700" t="s">
        <v>3930</v>
      </c>
      <c r="O1" s="3700" t="s">
        <v>3931</v>
      </c>
      <c r="P1" s="3701" t="s">
        <v>3970</v>
      </c>
    </row>
    <row r="2" spans="1:19" ht="43.2">
      <c r="A2" s="3713" t="s">
        <v>3961</v>
      </c>
      <c r="B2" s="3698" t="s">
        <v>3966</v>
      </c>
      <c r="C2" s="3715" t="s">
        <v>3960</v>
      </c>
      <c r="D2" s="3716" t="s">
        <v>3958</v>
      </c>
      <c r="E2" s="3716" t="s">
        <v>3959</v>
      </c>
      <c r="F2" s="3704">
        <v>43173</v>
      </c>
      <c r="G2" s="3713">
        <v>21216</v>
      </c>
      <c r="H2" s="3713"/>
      <c r="I2" s="3713"/>
      <c r="J2" s="3713">
        <v>8908</v>
      </c>
      <c r="K2" s="3706"/>
      <c r="L2" s="3699">
        <v>1</v>
      </c>
      <c r="M2" s="3699">
        <v>39.799999999999997</v>
      </c>
      <c r="N2" s="3701">
        <f>ROUND((1-1/(1+$M$11)^$M$10)/(1-1/(1+$M$11)^M2),4)</f>
        <v>0.85089999999999999</v>
      </c>
      <c r="O2" s="3701">
        <f t="shared" ref="O2:O4" si="0">ROUND(J2/L2*N2,0)</f>
        <v>7580</v>
      </c>
      <c r="P2" s="3701">
        <f>ROUND((1+2.44%),4)</f>
        <v>1.0244</v>
      </c>
      <c r="Q2" s="3701">
        <f>ROUND(O2*P2,0)</f>
        <v>7765</v>
      </c>
    </row>
    <row r="3" spans="1:19" ht="30" customHeight="1">
      <c r="A3" s="3702" t="s">
        <v>3962</v>
      </c>
      <c r="B3" s="3698" t="s">
        <v>3940</v>
      </c>
      <c r="C3" s="3713" t="s">
        <v>3941</v>
      </c>
      <c r="D3" s="3702" t="s">
        <v>981</v>
      </c>
      <c r="E3" s="3702" t="s">
        <v>3008</v>
      </c>
      <c r="F3" s="3704">
        <v>42580</v>
      </c>
      <c r="G3" s="3702">
        <v>144861.38</v>
      </c>
      <c r="H3" s="3702">
        <v>178555.82</v>
      </c>
      <c r="I3" s="3702">
        <v>143818.38</v>
      </c>
      <c r="J3" s="3702">
        <f>ROUND(I3/G3*10000,0)</f>
        <v>9928</v>
      </c>
      <c r="K3" s="3705" t="s">
        <v>3942</v>
      </c>
      <c r="L3" s="3699">
        <v>1</v>
      </c>
      <c r="M3" s="3699">
        <v>26.93</v>
      </c>
      <c r="N3" s="3701">
        <f t="shared" ref="N3:N9" si="1">ROUND((1-1/(1+$M$11)^$M$10)/(1-1/(1+$M$11)^M3),4)</f>
        <v>1.0028999999999999</v>
      </c>
      <c r="O3" s="3701">
        <f t="shared" si="0"/>
        <v>9957</v>
      </c>
      <c r="P3" s="3701">
        <f>ROUND((1+1.57%)*(1+1.58%)*(1+1.68%)*(1+1.72%)*(1+1.43%)*(1+2.01%)*(1+2.44%),4)</f>
        <v>1.1311</v>
      </c>
      <c r="Q3" s="3701">
        <f t="shared" ref="Q3:Q4" si="2">ROUND(O3*P3,0)</f>
        <v>11262</v>
      </c>
    </row>
    <row r="4" spans="1:19">
      <c r="A4" s="4022" t="s">
        <v>3963</v>
      </c>
      <c r="B4" s="4023" t="s">
        <v>3950</v>
      </c>
      <c r="C4" s="4024" t="s">
        <v>3943</v>
      </c>
      <c r="D4" s="3702" t="s">
        <v>3473</v>
      </c>
      <c r="E4" s="3702" t="s">
        <v>3580</v>
      </c>
      <c r="F4" s="3704">
        <v>41730</v>
      </c>
      <c r="G4" s="3702">
        <v>8639.5</v>
      </c>
      <c r="H4" s="3713">
        <v>116652</v>
      </c>
      <c r="I4" s="4024" t="s">
        <v>3933</v>
      </c>
      <c r="J4" s="3713">
        <f>ROUND(H4/(G4+G5+G6+G7)*10000,0)</f>
        <v>8678</v>
      </c>
      <c r="K4" s="4021" t="s">
        <v>3944</v>
      </c>
      <c r="L4" s="3699">
        <v>0.85</v>
      </c>
      <c r="M4" s="3699">
        <v>50</v>
      </c>
      <c r="N4" s="3701">
        <f t="shared" si="1"/>
        <v>0.79549999999999998</v>
      </c>
      <c r="O4" s="3701">
        <f t="shared" si="0"/>
        <v>8122</v>
      </c>
      <c r="P4" s="3701">
        <f>ROUND((1+1.52%)*(1+0.72%)*(1+0.89%)*(1+0.93%)*(1+0.88%)*(1+1.26%)*(1+1.89%)*(1+1.48%)*(1+1.41%)*(1+1.97%)*(1+1.57%)*(1+1.58%)*(1+1.68%)*(1+1.72%)*(1+1.43%)*(1+2.01%)*(1+2.44%),4)</f>
        <v>1.2863</v>
      </c>
      <c r="Q4" s="3701">
        <f t="shared" si="2"/>
        <v>10447</v>
      </c>
    </row>
    <row r="5" spans="1:19" hidden="1">
      <c r="A5" s="4022"/>
      <c r="B5" s="4023"/>
      <c r="C5" s="4024"/>
      <c r="D5" s="3702" t="s">
        <v>3945</v>
      </c>
      <c r="E5" s="3702" t="s">
        <v>3580</v>
      </c>
      <c r="F5" s="3704"/>
      <c r="G5" s="3702">
        <v>62250.03</v>
      </c>
      <c r="H5" s="3723"/>
      <c r="I5" s="4022"/>
      <c r="J5" s="3723"/>
      <c r="K5" s="4021"/>
      <c r="L5" s="3699"/>
      <c r="M5" s="3699"/>
      <c r="N5" s="3701" t="e">
        <f t="shared" si="1"/>
        <v>#DIV/0!</v>
      </c>
    </row>
    <row r="6" spans="1:19" hidden="1">
      <c r="A6" s="4022"/>
      <c r="B6" s="4023"/>
      <c r="C6" s="4024"/>
      <c r="D6" s="3702" t="s">
        <v>3945</v>
      </c>
      <c r="E6" s="3702" t="s">
        <v>3580</v>
      </c>
      <c r="F6" s="3704"/>
      <c r="G6" s="3702">
        <v>58261.71</v>
      </c>
      <c r="H6" s="3723"/>
      <c r="I6" s="4022"/>
      <c r="J6" s="3723"/>
      <c r="K6" s="4021"/>
      <c r="L6" s="3699"/>
      <c r="M6" s="3699"/>
      <c r="N6" s="3701" t="e">
        <f t="shared" si="1"/>
        <v>#DIV/0!</v>
      </c>
    </row>
    <row r="7" spans="1:19" hidden="1">
      <c r="A7" s="4022"/>
      <c r="B7" s="4023"/>
      <c r="C7" s="4024"/>
      <c r="D7" s="3702" t="s">
        <v>3946</v>
      </c>
      <c r="E7" s="3703" t="s">
        <v>3947</v>
      </c>
      <c r="F7" s="3704"/>
      <c r="G7" s="3702">
        <v>5273.77</v>
      </c>
      <c r="H7" s="3723"/>
      <c r="I7" s="4022"/>
      <c r="J7" s="3723"/>
      <c r="K7" s="4021"/>
      <c r="L7" s="3699"/>
      <c r="M7" s="3699"/>
      <c r="N7" s="3701" t="e">
        <f t="shared" si="1"/>
        <v>#DIV/0!</v>
      </c>
    </row>
    <row r="8" spans="1:19" s="3701" customFormat="1" ht="28.8">
      <c r="A8" s="3713" t="s">
        <v>3964</v>
      </c>
      <c r="B8" s="3698" t="s">
        <v>3932</v>
      </c>
      <c r="C8" s="3716" t="s">
        <v>3124</v>
      </c>
      <c r="D8" s="3716" t="s">
        <v>3934</v>
      </c>
      <c r="E8" s="3716" t="s">
        <v>3124</v>
      </c>
      <c r="F8" s="3704">
        <v>42491</v>
      </c>
      <c r="G8" s="3713">
        <v>20600</v>
      </c>
      <c r="H8" s="3713">
        <v>9692.24</v>
      </c>
      <c r="I8" s="3716" t="s">
        <v>3124</v>
      </c>
      <c r="J8" s="3713">
        <f>ROUND(H8/G8*10000,0)</f>
        <v>4705</v>
      </c>
      <c r="K8" s="3714" t="s">
        <v>3935</v>
      </c>
      <c r="L8" s="3699">
        <v>0.85</v>
      </c>
      <c r="M8" s="3699">
        <v>50</v>
      </c>
      <c r="N8" s="3701">
        <f t="shared" si="1"/>
        <v>0.79549999999999998</v>
      </c>
      <c r="O8" s="3701">
        <f>ROUND(J8/L8*N8,0)</f>
        <v>4403</v>
      </c>
      <c r="S8" s="3701">
        <f>6530.947+48562.501</f>
        <v>55093.447999999997</v>
      </c>
    </row>
    <row r="9" spans="1:19" ht="28.8">
      <c r="A9" s="3713" t="s">
        <v>3965</v>
      </c>
      <c r="B9" s="3698" t="s">
        <v>3936</v>
      </c>
      <c r="C9" s="3715" t="s">
        <v>3937</v>
      </c>
      <c r="D9" s="3716" t="s">
        <v>3938</v>
      </c>
      <c r="E9" s="3716" t="s">
        <v>3507</v>
      </c>
      <c r="F9" s="3704">
        <v>42461</v>
      </c>
      <c r="G9" s="3713">
        <v>45366.55</v>
      </c>
      <c r="H9" s="3713">
        <v>73516.490000000005</v>
      </c>
      <c r="I9" s="3713">
        <v>73516.490000000005</v>
      </c>
      <c r="J9" s="3713">
        <f>ROUND(I9/G9*10000,0)</f>
        <v>16205</v>
      </c>
      <c r="K9" s="3706" t="s">
        <v>3939</v>
      </c>
      <c r="L9" s="3699">
        <v>0.75</v>
      </c>
      <c r="M9" s="3699">
        <v>70</v>
      </c>
      <c r="N9" s="3701">
        <f t="shared" si="1"/>
        <v>0.74729999999999996</v>
      </c>
      <c r="O9" s="3701">
        <f t="shared" ref="O9" si="3">ROUND(J9/L9*N9,0)</f>
        <v>16147</v>
      </c>
    </row>
    <row r="10" spans="1:19">
      <c r="A10" s="3719"/>
      <c r="B10" s="3724"/>
      <c r="C10" s="3720"/>
      <c r="D10" s="3721"/>
      <c r="E10" s="3721"/>
      <c r="F10" s="3722"/>
      <c r="G10" s="3719"/>
      <c r="H10" s="3719"/>
      <c r="I10" s="3719"/>
      <c r="J10" s="3719"/>
      <c r="K10" s="3706"/>
      <c r="L10" s="3699"/>
      <c r="M10" s="3699">
        <v>27.09</v>
      </c>
      <c r="N10" s="3701"/>
      <c r="O10" s="3701"/>
    </row>
    <row r="11" spans="1:19">
      <c r="M11" s="3718">
        <v>4.8000000000000001E-2</v>
      </c>
    </row>
  </sheetData>
  <mergeCells count="5">
    <mergeCell ref="K4:K7"/>
    <mergeCell ref="A4:A7"/>
    <mergeCell ref="B4:B7"/>
    <mergeCell ref="C4:C7"/>
    <mergeCell ref="I4:I7"/>
  </mergeCells>
  <phoneticPr fontId="238" type="noConversion"/>
  <pageMargins left="0.75" right="0.75" top="1" bottom="1" header="0.5" footer="0.5"/>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5" sqref="L5:L22"/>
    </sheetView>
  </sheetViews>
  <sheetFormatPr defaultColWidth="9" defaultRowHeight="13.2"/>
  <cols>
    <col min="1" max="1" width="9" style="2688"/>
    <col min="2" max="6" width="9" style="2688" customWidth="1"/>
    <col min="7" max="7" width="9" style="2704" customWidth="1"/>
    <col min="8" max="12" width="9" style="2688" customWidth="1"/>
    <col min="13" max="13" width="2.21875" style="2688" customWidth="1"/>
    <col min="14" max="14" width="9" style="2704" customWidth="1"/>
    <col min="15" max="17" width="9" style="2688" customWidth="1"/>
    <col min="18" max="18" width="2.33203125" style="2688" customWidth="1"/>
    <col min="19" max="19" width="7.109375" style="2704" customWidth="1"/>
    <col min="20" max="22" width="7.109375" style="2688" customWidth="1"/>
    <col min="23" max="23" width="24" style="2688" customWidth="1"/>
    <col min="24" max="25" width="9" style="2688"/>
    <col min="26" max="27" width="11.6640625" style="2688" customWidth="1"/>
    <col min="28" max="28" width="9" style="2688"/>
    <col min="29" max="29" width="2" style="2688" customWidth="1"/>
    <col min="30" max="16384" width="9" style="2688"/>
  </cols>
  <sheetData>
    <row r="1" spans="1:34" s="2678" customFormat="1">
      <c r="B1" s="4027" t="s">
        <v>2579</v>
      </c>
      <c r="C1" s="4027"/>
      <c r="D1" s="4027"/>
      <c r="E1" s="4027"/>
      <c r="F1" s="4027"/>
      <c r="G1" s="4026" t="s">
        <v>2580</v>
      </c>
      <c r="H1" s="4026"/>
      <c r="I1" s="4026"/>
      <c r="J1" s="4026"/>
      <c r="K1" s="4026"/>
      <c r="L1" s="4026"/>
      <c r="N1" s="4026" t="s">
        <v>2581</v>
      </c>
      <c r="O1" s="4026"/>
      <c r="P1" s="4026"/>
      <c r="Q1" s="4026"/>
      <c r="R1" s="2679"/>
      <c r="S1" s="4026" t="s">
        <v>2582</v>
      </c>
      <c r="T1" s="4026"/>
      <c r="U1" s="4026"/>
      <c r="V1" s="4026"/>
      <c r="X1" s="4025" t="s">
        <v>2642</v>
      </c>
      <c r="Y1" s="4026"/>
      <c r="Z1" s="4026"/>
      <c r="AA1" s="4026"/>
      <c r="AB1" s="4026"/>
      <c r="AD1" s="4025" t="s">
        <v>2646</v>
      </c>
      <c r="AE1" s="4026"/>
      <c r="AF1" s="4026"/>
      <c r="AG1" s="4026"/>
      <c r="AH1" s="4026"/>
    </row>
    <row r="2" spans="1:34" s="2781" customFormat="1" ht="1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4">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1.2863</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1.4800000000000001E-2</v>
      </c>
    </row>
    <row r="4" spans="1:34" s="2774" customFormat="1" ht="14.4">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295.73229452000004</v>
      </c>
      <c r="G5" s="2780">
        <v>2018</v>
      </c>
      <c r="H5" s="3140">
        <v>2</v>
      </c>
      <c r="I5" s="3156">
        <v>0</v>
      </c>
      <c r="J5" s="3156">
        <v>0</v>
      </c>
      <c r="K5" s="3156">
        <v>0</v>
      </c>
      <c r="L5" s="3156">
        <v>2.44</v>
      </c>
      <c r="N5" s="2787">
        <f t="shared" ref="N5" si="6">I5/100</f>
        <v>0</v>
      </c>
      <c r="O5" s="2787">
        <f t="shared" ref="O5" si="7">J5/100</f>
        <v>0</v>
      </c>
      <c r="P5" s="2787">
        <f t="shared" ref="P5" si="8">K5/100</f>
        <v>0</v>
      </c>
      <c r="Q5" s="2787">
        <f t="shared" ref="Q5" si="9">L5/100</f>
        <v>2.4399999999999998E-2</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1.2863</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1.49E-2</v>
      </c>
    </row>
    <row r="6" spans="1:34" s="2786" customFormat="1" ht="13.8"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8"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8"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4034">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4029"/>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4029"/>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8"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4030"/>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8" thickBot="1">
      <c r="A15" s="2680" t="s">
        <v>967</v>
      </c>
      <c r="B15" s="2686">
        <v>333</v>
      </c>
      <c r="C15" s="2686">
        <v>277</v>
      </c>
      <c r="D15" s="2686">
        <f t="shared" si="35"/>
        <v>277</v>
      </c>
      <c r="E15" s="2686">
        <v>459</v>
      </c>
      <c r="F15" s="2687">
        <v>249</v>
      </c>
      <c r="G15" s="4028">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4029"/>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4029"/>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4030"/>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8" thickBot="1">
      <c r="A19" s="2680" t="s">
        <v>963</v>
      </c>
      <c r="B19" s="2708">
        <v>318</v>
      </c>
      <c r="C19" s="2708">
        <v>268</v>
      </c>
      <c r="D19" s="2708">
        <f t="shared" si="35"/>
        <v>268</v>
      </c>
      <c r="E19" s="2708">
        <v>437</v>
      </c>
      <c r="F19" s="2709">
        <v>237</v>
      </c>
      <c r="G19" s="4028">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4029"/>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8"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4029"/>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8"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4030"/>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8" thickBot="1">
      <c r="A23" s="2680" t="s">
        <v>2586</v>
      </c>
      <c r="B23" s="2686">
        <v>299</v>
      </c>
      <c r="C23" s="2686">
        <v>252</v>
      </c>
      <c r="D23" s="2686">
        <f t="shared" si="35"/>
        <v>252</v>
      </c>
      <c r="E23" s="2686">
        <v>409</v>
      </c>
      <c r="F23" s="2687">
        <v>227</v>
      </c>
      <c r="G23" s="4031">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4032"/>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4032"/>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4033"/>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8" thickBot="1">
      <c r="A27" s="2680" t="s">
        <v>2590</v>
      </c>
      <c r="B27" s="2724">
        <v>278</v>
      </c>
      <c r="C27" s="2724">
        <v>234</v>
      </c>
      <c r="D27" s="2724">
        <f t="shared" si="35"/>
        <v>234</v>
      </c>
      <c r="E27" s="2724">
        <v>379</v>
      </c>
      <c r="F27" s="2725">
        <v>220</v>
      </c>
      <c r="G27" s="4028">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4029"/>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4029"/>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8" thickBot="1">
      <c r="A30" s="2680" t="s">
        <v>2593</v>
      </c>
      <c r="B30" s="2694">
        <f>B29/(1+N29)</f>
        <v>275.19025476197027</v>
      </c>
      <c r="C30" s="2726">
        <v>232</v>
      </c>
      <c r="D30" s="2726">
        <f t="shared" si="35"/>
        <v>232</v>
      </c>
      <c r="E30" s="2694">
        <f t="shared" si="46"/>
        <v>375.65990977608692</v>
      </c>
      <c r="F30" s="2694">
        <f t="shared" si="46"/>
        <v>214.12518283971252</v>
      </c>
      <c r="G30" s="4030"/>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8" thickBot="1">
      <c r="A31" s="2680" t="s">
        <v>2594</v>
      </c>
      <c r="B31" s="2686">
        <v>275</v>
      </c>
      <c r="C31" s="2686">
        <v>232</v>
      </c>
      <c r="D31" s="2686">
        <f t="shared" si="35"/>
        <v>232</v>
      </c>
      <c r="E31" s="2686">
        <v>376</v>
      </c>
      <c r="F31" s="2687">
        <v>213</v>
      </c>
      <c r="G31" s="4028">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4029">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4029">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8"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4030">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8" thickBot="1">
      <c r="A35" s="2680" t="s">
        <v>2598</v>
      </c>
      <c r="B35" s="2686">
        <v>269</v>
      </c>
      <c r="C35" s="2686">
        <v>221</v>
      </c>
      <c r="D35" s="2686">
        <f t="shared" si="35"/>
        <v>221</v>
      </c>
      <c r="E35" s="2686">
        <v>373</v>
      </c>
      <c r="F35" s="2687">
        <v>196</v>
      </c>
      <c r="G35" s="4028">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4029">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4029">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8"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4030">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8" thickBot="1">
      <c r="A39" s="2680" t="s">
        <v>2602</v>
      </c>
      <c r="B39" s="2686">
        <v>220</v>
      </c>
      <c r="C39" s="2686">
        <v>187</v>
      </c>
      <c r="D39" s="2686">
        <f t="shared" si="35"/>
        <v>187</v>
      </c>
      <c r="E39" s="2686">
        <v>301</v>
      </c>
      <c r="F39" s="2687">
        <v>168</v>
      </c>
      <c r="G39" s="4028">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4029">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4029">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4030">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8" thickBot="1">
      <c r="A43" s="2680" t="s">
        <v>2606</v>
      </c>
      <c r="B43" s="2724">
        <v>214</v>
      </c>
      <c r="C43" s="2724">
        <v>188</v>
      </c>
      <c r="D43" s="2724">
        <f t="shared" si="35"/>
        <v>188</v>
      </c>
      <c r="E43" s="2724">
        <v>289</v>
      </c>
      <c r="F43" s="2725">
        <v>166</v>
      </c>
      <c r="G43" s="4028">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4029">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4029">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8"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4030">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8" thickBot="1">
      <c r="A47" s="2680" t="s">
        <v>2610</v>
      </c>
      <c r="B47" s="2686">
        <v>188</v>
      </c>
      <c r="C47" s="2686">
        <v>165</v>
      </c>
      <c r="D47" s="2686">
        <f t="shared" si="35"/>
        <v>165</v>
      </c>
      <c r="E47" s="2686">
        <v>254</v>
      </c>
      <c r="F47" s="2687">
        <v>148</v>
      </c>
      <c r="G47" s="4028">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4029">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4029">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4030">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8" thickBot="1">
      <c r="A51" s="2680" t="s">
        <v>2614</v>
      </c>
      <c r="B51" s="2708">
        <v>159</v>
      </c>
      <c r="C51" s="2708">
        <v>141</v>
      </c>
      <c r="D51" s="2708">
        <f t="shared" si="35"/>
        <v>141</v>
      </c>
      <c r="E51" s="2708">
        <v>195</v>
      </c>
      <c r="F51" s="2709">
        <v>122</v>
      </c>
      <c r="G51" s="4028">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4029">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4029">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4030">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8" thickBot="1">
      <c r="A55" s="2680" t="s">
        <v>2618</v>
      </c>
      <c r="B55" s="2708">
        <v>138</v>
      </c>
      <c r="C55" s="2708">
        <v>131</v>
      </c>
      <c r="D55" s="2708">
        <f t="shared" si="35"/>
        <v>131</v>
      </c>
      <c r="E55" s="2708">
        <v>155</v>
      </c>
      <c r="F55" s="2709">
        <v>114</v>
      </c>
      <c r="G55" s="4028">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4029">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4029">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4030">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8" thickBot="1">
      <c r="A59" s="2680" t="s">
        <v>2622</v>
      </c>
      <c r="B59" s="2724">
        <v>121</v>
      </c>
      <c r="C59" s="2724">
        <v>122</v>
      </c>
      <c r="D59" s="2724">
        <f t="shared" si="35"/>
        <v>122</v>
      </c>
      <c r="E59" s="2724">
        <v>124</v>
      </c>
      <c r="F59" s="2725">
        <v>107</v>
      </c>
      <c r="G59" s="4028">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4029">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4029">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8" thickBot="1">
      <c r="A62" s="2680" t="s">
        <v>2625</v>
      </c>
      <c r="B62" s="2727">
        <f t="shared" si="69"/>
        <v>112.48648648648648</v>
      </c>
      <c r="C62" s="2727">
        <f t="shared" si="69"/>
        <v>115.21212121212122</v>
      </c>
      <c r="D62" s="2727">
        <f t="shared" si="35"/>
        <v>115.21212121212122</v>
      </c>
      <c r="E62" s="2727">
        <f t="shared" si="70"/>
        <v>110.4024024024024</v>
      </c>
      <c r="F62" s="2727">
        <f t="shared" si="70"/>
        <v>104</v>
      </c>
      <c r="G62" s="4030">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8" thickBot="1">
      <c r="A63" s="2680" t="s">
        <v>2626</v>
      </c>
      <c r="B63" s="2745">
        <v>111</v>
      </c>
      <c r="C63" s="2745">
        <v>114</v>
      </c>
      <c r="D63" s="2745">
        <f t="shared" si="35"/>
        <v>114</v>
      </c>
      <c r="E63" s="2745">
        <v>108</v>
      </c>
      <c r="F63" s="2746">
        <v>104</v>
      </c>
      <c r="G63" s="4028">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4029">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4029">
        <v>2003</v>
      </c>
      <c r="H65" s="2685">
        <v>2</v>
      </c>
      <c r="I65" s="2747"/>
      <c r="J65" s="2747"/>
      <c r="K65" s="2747"/>
      <c r="L65" s="2747"/>
      <c r="X65" s="2739"/>
      <c r="Y65" s="2739"/>
      <c r="Z65" s="2739"/>
    </row>
    <row r="66" spans="1:26" ht="13.8" thickBot="1">
      <c r="A66" s="2680" t="s">
        <v>2629</v>
      </c>
      <c r="B66" s="2749">
        <f t="shared" si="71"/>
        <v>107.25</v>
      </c>
      <c r="C66" s="2749">
        <f t="shared" si="71"/>
        <v>108.75</v>
      </c>
      <c r="D66" s="2749">
        <f t="shared" si="35"/>
        <v>108.75</v>
      </c>
      <c r="E66" s="2749">
        <f t="shared" si="72"/>
        <v>105.75</v>
      </c>
      <c r="F66" s="2749">
        <f t="shared" si="72"/>
        <v>102.5</v>
      </c>
      <c r="G66" s="4030">
        <v>2003</v>
      </c>
      <c r="H66" s="2750">
        <v>1</v>
      </c>
      <c r="I66" s="2747"/>
      <c r="J66" s="2747"/>
      <c r="K66" s="2747"/>
      <c r="L66" s="2747"/>
      <c r="S66" s="2689"/>
      <c r="T66" s="2690"/>
      <c r="U66" s="2690"/>
      <c r="X66" s="2739"/>
      <c r="Y66" s="2739"/>
      <c r="Z66" s="2739"/>
    </row>
    <row r="67" spans="1:26" ht="13.8" thickBot="1">
      <c r="A67" s="2680" t="s">
        <v>2630</v>
      </c>
      <c r="B67" s="2751">
        <v>106</v>
      </c>
      <c r="C67" s="2751">
        <v>107</v>
      </c>
      <c r="D67" s="2751">
        <f t="shared" si="35"/>
        <v>107</v>
      </c>
      <c r="E67" s="2751">
        <v>105</v>
      </c>
      <c r="F67" s="2752">
        <v>102</v>
      </c>
      <c r="G67" s="4028">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4029">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4029">
        <v>2002</v>
      </c>
      <c r="H69" s="2685">
        <v>2</v>
      </c>
      <c r="I69" s="2747"/>
      <c r="J69" s="2747"/>
      <c r="K69" s="2747"/>
      <c r="L69" s="2747"/>
      <c r="X69" s="2739"/>
      <c r="Y69" s="2739"/>
      <c r="Z69" s="2739"/>
    </row>
    <row r="70" spans="1:26" s="2716" customFormat="1" ht="13.8" thickBot="1">
      <c r="A70" s="2712" t="s">
        <v>2633</v>
      </c>
      <c r="B70" s="2753">
        <f t="shared" si="73"/>
        <v>103</v>
      </c>
      <c r="C70" s="2753">
        <f t="shared" si="73"/>
        <v>104</v>
      </c>
      <c r="D70" s="2753">
        <f t="shared" si="35"/>
        <v>104</v>
      </c>
      <c r="E70" s="2753">
        <f t="shared" si="74"/>
        <v>103.5</v>
      </c>
      <c r="F70" s="2753">
        <f t="shared" si="74"/>
        <v>100.5</v>
      </c>
      <c r="G70" s="4030">
        <v>2002</v>
      </c>
      <c r="H70" s="2754">
        <v>1</v>
      </c>
      <c r="I70" s="2755"/>
      <c r="J70" s="2755"/>
      <c r="K70" s="2755"/>
      <c r="L70" s="2755"/>
      <c r="N70" s="2756"/>
      <c r="S70" s="2756"/>
      <c r="X70" s="2757"/>
      <c r="Y70" s="2757"/>
      <c r="Z70" s="2757"/>
    </row>
    <row r="71" spans="1:26" ht="13.8"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8"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8"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8"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8" sqref="G2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2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836" t="s">
        <v>521</v>
      </c>
      <c r="D4" s="3837"/>
      <c r="E4" s="4013" t="s">
        <v>522</v>
      </c>
      <c r="F4" s="4014"/>
      <c r="G4" s="3836" t="s">
        <v>523</v>
      </c>
      <c r="H4" s="3837"/>
      <c r="I4" s="3836" t="s">
        <v>524</v>
      </c>
      <c r="J4" s="3837"/>
      <c r="K4" s="853" t="s">
        <v>525</v>
      </c>
      <c r="L4" s="2134"/>
      <c r="M4" s="2135"/>
      <c r="N4" s="2135"/>
      <c r="O4" s="2135"/>
      <c r="P4" s="3838" t="s">
        <v>526</v>
      </c>
      <c r="Q4" s="3839"/>
      <c r="R4" s="3823" t="s">
        <v>522</v>
      </c>
      <c r="S4" s="3824"/>
      <c r="T4" s="3823" t="s">
        <v>523</v>
      </c>
      <c r="U4" s="3824"/>
      <c r="V4" s="3844" t="s">
        <v>524</v>
      </c>
      <c r="W4" s="3844"/>
      <c r="X4" s="1567"/>
      <c r="Y4" s="3823" t="s">
        <v>526</v>
      </c>
      <c r="Z4" s="3824"/>
      <c r="AA4" s="3818" t="s">
        <v>522</v>
      </c>
      <c r="AB4" s="3818" t="s">
        <v>523</v>
      </c>
      <c r="AC4" s="3818" t="s">
        <v>524</v>
      </c>
    </row>
    <row r="5" spans="1:29">
      <c r="A5" s="515"/>
      <c r="B5" s="516"/>
      <c r="C5" s="3847" t="s">
        <v>2929</v>
      </c>
      <c r="D5" s="3848"/>
      <c r="E5" s="4035" t="s">
        <v>2930</v>
      </c>
      <c r="F5" s="4016"/>
      <c r="G5" s="3847" t="s">
        <v>2931</v>
      </c>
      <c r="H5" s="3848"/>
      <c r="I5" s="3847" t="s">
        <v>2932</v>
      </c>
      <c r="J5" s="3848"/>
      <c r="K5" s="854"/>
      <c r="L5" s="2134"/>
      <c r="M5" s="2135"/>
      <c r="N5" s="2135"/>
      <c r="O5" s="2135"/>
      <c r="P5" s="3840"/>
      <c r="Q5" s="3841"/>
      <c r="R5" s="3825"/>
      <c r="S5" s="3826"/>
      <c r="T5" s="3825"/>
      <c r="U5" s="3826"/>
      <c r="V5" s="3844"/>
      <c r="W5" s="3844"/>
      <c r="X5" s="1567"/>
      <c r="Y5" s="3825"/>
      <c r="Z5" s="3826"/>
      <c r="AA5" s="3819"/>
      <c r="AB5" s="3819"/>
      <c r="AC5" s="3819"/>
    </row>
    <row r="6" spans="1:29" ht="15" thickBot="1">
      <c r="A6" s="517"/>
      <c r="B6" s="518"/>
      <c r="C6" s="3845" t="s">
        <v>2933</v>
      </c>
      <c r="D6" s="3846"/>
      <c r="E6" s="4019" t="s">
        <v>2933</v>
      </c>
      <c r="F6" s="4020"/>
      <c r="G6" s="3845" t="s">
        <v>2933</v>
      </c>
      <c r="H6" s="3846"/>
      <c r="I6" s="3845" t="s">
        <v>2933</v>
      </c>
      <c r="J6" s="3846"/>
      <c r="K6" s="854" t="s">
        <v>527</v>
      </c>
      <c r="L6" s="2134"/>
      <c r="M6" s="2135"/>
      <c r="N6" s="2135"/>
      <c r="O6" s="2135"/>
      <c r="P6" s="3842"/>
      <c r="Q6" s="3843"/>
      <c r="R6" s="3825"/>
      <c r="S6" s="3826"/>
      <c r="T6" s="3828"/>
      <c r="U6" s="3829"/>
      <c r="V6" s="3844"/>
      <c r="W6" s="3844"/>
      <c r="X6" s="1567"/>
      <c r="Y6" s="3828"/>
      <c r="Z6" s="3829"/>
      <c r="AA6" s="3820"/>
      <c r="AB6" s="3820"/>
      <c r="AC6" s="3820"/>
    </row>
    <row r="7" spans="1:29" s="1220" customFormat="1" ht="1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821" t="s">
        <v>529</v>
      </c>
      <c r="Q7" s="3831"/>
      <c r="R7" s="1568" t="s">
        <v>13</v>
      </c>
      <c r="S7" s="1569">
        <f t="shared" ref="S7:S15" si="0">F7</f>
        <v>0</v>
      </c>
      <c r="T7" s="1568" t="s">
        <v>13</v>
      </c>
      <c r="U7" s="1569">
        <f t="shared" ref="U7:U15" si="1">H7</f>
        <v>0</v>
      </c>
      <c r="V7" s="1568" t="s">
        <v>13</v>
      </c>
      <c r="W7" s="1569">
        <f t="shared" ref="W7:W15"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821" t="s">
        <v>532</v>
      </c>
      <c r="Q8" s="3822"/>
      <c r="R8" s="1568" t="s">
        <v>13</v>
      </c>
      <c r="S8" s="1569">
        <f t="shared" si="0"/>
        <v>0</v>
      </c>
      <c r="T8" s="1568" t="s">
        <v>13</v>
      </c>
      <c r="U8" s="1569">
        <f t="shared" si="1"/>
        <v>0</v>
      </c>
      <c r="V8" s="1568" t="s">
        <v>13</v>
      </c>
      <c r="W8" s="1569">
        <f t="shared" si="2"/>
        <v>0</v>
      </c>
      <c r="X8" s="1570"/>
      <c r="Y8" s="3821" t="s">
        <v>532</v>
      </c>
      <c r="Z8" s="3822"/>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830" t="s">
        <v>534</v>
      </c>
      <c r="Q9" s="1151" t="str">
        <f t="shared" ref="Q9:Q15" si="6">B9</f>
        <v>用途</v>
      </c>
      <c r="R9" s="1568" t="s">
        <v>8</v>
      </c>
      <c r="S9" s="1569">
        <f t="shared" si="0"/>
        <v>100</v>
      </c>
      <c r="T9" s="1568" t="s">
        <v>8</v>
      </c>
      <c r="U9" s="1569">
        <f t="shared" si="1"/>
        <v>100</v>
      </c>
      <c r="V9" s="1568" t="s">
        <v>8</v>
      </c>
      <c r="W9" s="1569">
        <f t="shared" si="2"/>
        <v>100</v>
      </c>
      <c r="X9" s="1570"/>
      <c r="Y9" s="3827"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830"/>
      <c r="Q11" s="1151" t="str">
        <f t="shared" si="6"/>
        <v>容积率</v>
      </c>
      <c r="R11" s="1568" t="s">
        <v>11</v>
      </c>
      <c r="S11" s="1569" t="e">
        <f t="shared" si="0"/>
        <v>#N/A</v>
      </c>
      <c r="T11" s="1568" t="s">
        <v>11</v>
      </c>
      <c r="U11" s="1569" t="e">
        <f t="shared" si="1"/>
        <v>#N/A</v>
      </c>
      <c r="V11" s="1568" t="s">
        <v>11</v>
      </c>
      <c r="W11" s="1569" t="e">
        <f t="shared" si="2"/>
        <v>#N/A</v>
      </c>
      <c r="X11" s="1570"/>
      <c r="Y11" s="3827"/>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830"/>
      <c r="Q12" s="1151">
        <f t="shared" si="6"/>
        <v>111</v>
      </c>
      <c r="R12" s="1568" t="s">
        <v>11</v>
      </c>
      <c r="S12" s="1569">
        <f t="shared" si="0"/>
        <v>100</v>
      </c>
      <c r="T12" s="1568" t="s">
        <v>11</v>
      </c>
      <c r="U12" s="1569">
        <f t="shared" si="1"/>
        <v>100</v>
      </c>
      <c r="V12" s="1568" t="s">
        <v>11</v>
      </c>
      <c r="W12" s="1569">
        <f t="shared" si="2"/>
        <v>100</v>
      </c>
      <c r="X12" s="1570"/>
      <c r="Y12" s="3827"/>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830"/>
      <c r="Q13" s="1151">
        <f t="shared" si="6"/>
        <v>111</v>
      </c>
      <c r="R13" s="1568" t="s">
        <v>11</v>
      </c>
      <c r="S13" s="1569">
        <f t="shared" si="0"/>
        <v>100</v>
      </c>
      <c r="T13" s="1568" t="s">
        <v>11</v>
      </c>
      <c r="U13" s="1569">
        <f t="shared" si="1"/>
        <v>100</v>
      </c>
      <c r="V13" s="1568" t="s">
        <v>11</v>
      </c>
      <c r="W13" s="1569">
        <f t="shared" si="2"/>
        <v>100</v>
      </c>
      <c r="X13" s="1570"/>
      <c r="Y13" s="3827"/>
      <c r="Z13" s="1150">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830"/>
      <c r="Q14" s="1151">
        <f t="shared" si="6"/>
        <v>111</v>
      </c>
      <c r="R14" s="1568" t="s">
        <v>11</v>
      </c>
      <c r="S14" s="1569">
        <f t="shared" si="0"/>
        <v>100</v>
      </c>
      <c r="T14" s="1568" t="s">
        <v>11</v>
      </c>
      <c r="U14" s="1569">
        <f t="shared" si="1"/>
        <v>100</v>
      </c>
      <c r="V14" s="1568" t="s">
        <v>11</v>
      </c>
      <c r="W14" s="1569">
        <f t="shared" si="2"/>
        <v>100</v>
      </c>
      <c r="X14" s="1570"/>
      <c r="Y14" s="3827"/>
      <c r="Z14" s="1150">
        <f t="shared" si="7"/>
        <v>111</v>
      </c>
      <c r="AA14" s="1571">
        <f t="shared" si="3"/>
        <v>1</v>
      </c>
      <c r="AB14" s="1571">
        <f t="shared" si="4"/>
        <v>1</v>
      </c>
      <c r="AC14" s="1571">
        <f t="shared" si="5"/>
        <v>1</v>
      </c>
    </row>
    <row r="15" spans="1:29" ht="96.6">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832" t="s">
        <v>539</v>
      </c>
      <c r="Q15" s="1572" t="str">
        <f t="shared" si="6"/>
        <v>居住社区成熟度</v>
      </c>
      <c r="R15" s="1573" t="s">
        <v>11</v>
      </c>
      <c r="S15" s="1574">
        <f t="shared" si="0"/>
        <v>100</v>
      </c>
      <c r="T15" s="1573" t="s">
        <v>11</v>
      </c>
      <c r="U15" s="1574">
        <f t="shared" si="1"/>
        <v>100</v>
      </c>
      <c r="V15" s="1573" t="s">
        <v>11</v>
      </c>
      <c r="W15" s="1574">
        <f t="shared" si="2"/>
        <v>100</v>
      </c>
      <c r="X15" s="1567"/>
      <c r="Y15" s="3832"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833"/>
      <c r="Q16" s="1572"/>
      <c r="R16" s="1573"/>
      <c r="S16" s="1574"/>
      <c r="T16" s="1573"/>
      <c r="U16" s="1574"/>
      <c r="V16" s="1573"/>
      <c r="W16" s="1574"/>
      <c r="X16" s="1567"/>
      <c r="Y16" s="3833"/>
      <c r="Z16" s="1575"/>
      <c r="AA16" s="1576">
        <v>1</v>
      </c>
      <c r="AB16" s="1576">
        <v>1</v>
      </c>
      <c r="AC16" s="1576">
        <v>1</v>
      </c>
    </row>
    <row r="17" spans="1:29" ht="82.8">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833"/>
      <c r="Q17" s="1572" t="str">
        <f>B17</f>
        <v>交通便捷度</v>
      </c>
      <c r="R17" s="1573" t="s">
        <v>11</v>
      </c>
      <c r="S17" s="1574">
        <f>F17</f>
        <v>100</v>
      </c>
      <c r="T17" s="1573" t="s">
        <v>11</v>
      </c>
      <c r="U17" s="1574">
        <f>H17</f>
        <v>100</v>
      </c>
      <c r="V17" s="1573" t="s">
        <v>11</v>
      </c>
      <c r="W17" s="1574">
        <f>J17</f>
        <v>100</v>
      </c>
      <c r="X17" s="1567"/>
      <c r="Y17" s="383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833"/>
      <c r="Q18" s="1572"/>
      <c r="R18" s="1573"/>
      <c r="S18" s="1574"/>
      <c r="T18" s="1573"/>
      <c r="U18" s="1574"/>
      <c r="V18" s="1573"/>
      <c r="W18" s="1574"/>
      <c r="X18" s="1567"/>
      <c r="Y18" s="3833"/>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833"/>
      <c r="Q19" s="1572" t="str">
        <f>B19</f>
        <v>公共配套设施</v>
      </c>
      <c r="R19" s="1573" t="s">
        <v>11</v>
      </c>
      <c r="S19" s="1574">
        <f>F19</f>
        <v>100</v>
      </c>
      <c r="T19" s="1573" t="s">
        <v>11</v>
      </c>
      <c r="U19" s="1574">
        <f>H19</f>
        <v>100</v>
      </c>
      <c r="V19" s="1573" t="s">
        <v>11</v>
      </c>
      <c r="W19" s="1574">
        <f>J19</f>
        <v>100</v>
      </c>
      <c r="X19" s="1567"/>
      <c r="Y19" s="383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833"/>
      <c r="Q20" s="1572"/>
      <c r="R20" s="1573"/>
      <c r="S20" s="1574"/>
      <c r="T20" s="1573"/>
      <c r="U20" s="1574"/>
      <c r="V20" s="1573"/>
      <c r="W20" s="1574"/>
      <c r="X20" s="1567"/>
      <c r="Y20" s="3833"/>
      <c r="Z20" s="1575"/>
      <c r="AA20" s="1576">
        <v>1</v>
      </c>
      <c r="AB20" s="1576">
        <v>1</v>
      </c>
      <c r="AC20" s="1576">
        <v>1</v>
      </c>
    </row>
    <row r="21" spans="1:29" ht="27.6">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833"/>
      <c r="Q21" s="2604" t="str">
        <f>B21</f>
        <v>基础设施水平</v>
      </c>
      <c r="R21" s="1573" t="s">
        <v>11</v>
      </c>
      <c r="S21" s="1574">
        <f>F21</f>
        <v>100</v>
      </c>
      <c r="T21" s="1573" t="s">
        <v>11</v>
      </c>
      <c r="U21" s="1574">
        <f>H21</f>
        <v>100</v>
      </c>
      <c r="V21" s="1573" t="s">
        <v>11</v>
      </c>
      <c r="W21" s="1574">
        <f>J21</f>
        <v>100</v>
      </c>
      <c r="X21" s="2606"/>
      <c r="Y21" s="383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833"/>
      <c r="Q22" s="2604"/>
      <c r="R22" s="1573"/>
      <c r="S22" s="1574"/>
      <c r="T22" s="1573"/>
      <c r="U22" s="1574"/>
      <c r="V22" s="1573"/>
      <c r="W22" s="1574"/>
      <c r="X22" s="2606"/>
      <c r="Y22" s="3833"/>
      <c r="Z22" s="2605"/>
      <c r="AA22" s="1576">
        <v>1</v>
      </c>
      <c r="AB22" s="1576">
        <v>1</v>
      </c>
      <c r="AC22" s="1576">
        <v>1</v>
      </c>
    </row>
    <row r="23" spans="1:29" ht="55.2">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833"/>
      <c r="Q23" s="1572" t="str">
        <f>B23</f>
        <v>自然及人文环境</v>
      </c>
      <c r="R23" s="1573" t="s">
        <v>11</v>
      </c>
      <c r="S23" s="1574">
        <f>F23</f>
        <v>100</v>
      </c>
      <c r="T23" s="1573" t="s">
        <v>11</v>
      </c>
      <c r="U23" s="1574">
        <f>H23</f>
        <v>100</v>
      </c>
      <c r="V23" s="1573" t="s">
        <v>11</v>
      </c>
      <c r="W23" s="1574">
        <f>J23</f>
        <v>100</v>
      </c>
      <c r="X23" s="1567"/>
      <c r="Y23" s="383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833"/>
      <c r="Q24" s="1572"/>
      <c r="R24" s="1573"/>
      <c r="S24" s="1574"/>
      <c r="T24" s="1573"/>
      <c r="U24" s="1574"/>
      <c r="V24" s="1573"/>
      <c r="W24" s="1574"/>
      <c r="X24" s="1567"/>
      <c r="Y24" s="383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833"/>
      <c r="Q25" s="1572" t="str">
        <f t="shared" ref="Q25:Q46" si="11">B25</f>
        <v>楼层-1</v>
      </c>
      <c r="R25" s="1573" t="s">
        <v>11</v>
      </c>
      <c r="S25" s="1574">
        <f>F25</f>
        <v>100</v>
      </c>
      <c r="T25" s="1573" t="s">
        <v>11</v>
      </c>
      <c r="U25" s="1574">
        <f>H25</f>
        <v>100</v>
      </c>
      <c r="V25" s="1573" t="s">
        <v>11</v>
      </c>
      <c r="W25" s="1574">
        <f>J25</f>
        <v>100</v>
      </c>
      <c r="X25" s="1567"/>
      <c r="Y25" s="3833"/>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833"/>
      <c r="Q26" s="1572" t="str">
        <f t="shared" si="11"/>
        <v>朝向</v>
      </c>
      <c r="R26" s="1573" t="s">
        <v>11</v>
      </c>
      <c r="S26" s="1574">
        <f>F26</f>
        <v>100</v>
      </c>
      <c r="T26" s="1573" t="s">
        <v>11</v>
      </c>
      <c r="U26" s="1574">
        <f>H26</f>
        <v>100</v>
      </c>
      <c r="V26" s="1573" t="s">
        <v>11</v>
      </c>
      <c r="W26" s="1574">
        <f>J26</f>
        <v>100</v>
      </c>
      <c r="X26" s="1567"/>
      <c r="Y26" s="3833"/>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833"/>
      <c r="Q27" s="1151" t="str">
        <f t="shared" si="11"/>
        <v>道路级别</v>
      </c>
      <c r="R27" s="1568" t="s">
        <v>11</v>
      </c>
      <c r="S27" s="1569">
        <f>F27</f>
        <v>100</v>
      </c>
      <c r="T27" s="1568" t="s">
        <v>11</v>
      </c>
      <c r="U27" s="1569">
        <f>H27</f>
        <v>100</v>
      </c>
      <c r="V27" s="1568" t="s">
        <v>11</v>
      </c>
      <c r="W27" s="1569">
        <f>J27</f>
        <v>100</v>
      </c>
      <c r="X27" s="1570"/>
      <c r="Y27" s="383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833"/>
      <c r="Q28" s="1572">
        <f t="shared" si="11"/>
        <v>111</v>
      </c>
      <c r="R28" s="1573" t="s">
        <v>11</v>
      </c>
      <c r="S28" s="1574">
        <f t="shared" ref="S28:S46" si="12">F28</f>
        <v>100</v>
      </c>
      <c r="T28" s="1573" t="s">
        <v>11</v>
      </c>
      <c r="U28" s="1574">
        <f t="shared" ref="U28:U46" si="13">H28</f>
        <v>100</v>
      </c>
      <c r="V28" s="1573" t="s">
        <v>11</v>
      </c>
      <c r="W28" s="1574">
        <f t="shared" ref="W28:W46" si="14">J28</f>
        <v>100</v>
      </c>
      <c r="X28" s="1567"/>
      <c r="Y28" s="383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833"/>
      <c r="Q29" s="1572">
        <f t="shared" si="11"/>
        <v>111</v>
      </c>
      <c r="R29" s="1573" t="s">
        <v>11</v>
      </c>
      <c r="S29" s="1574">
        <f t="shared" si="12"/>
        <v>100</v>
      </c>
      <c r="T29" s="1573" t="s">
        <v>11</v>
      </c>
      <c r="U29" s="1574">
        <f t="shared" si="13"/>
        <v>100</v>
      </c>
      <c r="V29" s="1573" t="s">
        <v>11</v>
      </c>
      <c r="W29" s="1574">
        <f t="shared" si="14"/>
        <v>100</v>
      </c>
      <c r="X29" s="1567"/>
      <c r="Y29" s="383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833"/>
      <c r="Q30" s="1572">
        <f t="shared" si="11"/>
        <v>111</v>
      </c>
      <c r="R30" s="1573" t="s">
        <v>11</v>
      </c>
      <c r="S30" s="1574">
        <f t="shared" si="12"/>
        <v>100</v>
      </c>
      <c r="T30" s="1573" t="s">
        <v>11</v>
      </c>
      <c r="U30" s="1574">
        <f t="shared" si="13"/>
        <v>100</v>
      </c>
      <c r="V30" s="1573" t="s">
        <v>11</v>
      </c>
      <c r="W30" s="1574">
        <f t="shared" si="14"/>
        <v>100</v>
      </c>
      <c r="X30" s="1567"/>
      <c r="Y30" s="3833"/>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833"/>
      <c r="Q31" s="1572">
        <f t="shared" si="11"/>
        <v>111</v>
      </c>
      <c r="R31" s="1573" t="s">
        <v>11</v>
      </c>
      <c r="S31" s="1574">
        <f t="shared" si="12"/>
        <v>100</v>
      </c>
      <c r="T31" s="1573" t="s">
        <v>11</v>
      </c>
      <c r="U31" s="1574">
        <f t="shared" si="13"/>
        <v>100</v>
      </c>
      <c r="V31" s="1573" t="s">
        <v>11</v>
      </c>
      <c r="W31" s="1574">
        <f t="shared" si="14"/>
        <v>100</v>
      </c>
      <c r="X31" s="1567"/>
      <c r="Y31" s="3833"/>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834" t="s">
        <v>549</v>
      </c>
      <c r="Q32" s="1572" t="str">
        <f t="shared" si="11"/>
        <v>建筑类型</v>
      </c>
      <c r="R32" s="1573" t="s">
        <v>11</v>
      </c>
      <c r="S32" s="1574">
        <f t="shared" si="12"/>
        <v>100</v>
      </c>
      <c r="T32" s="1573" t="s">
        <v>11</v>
      </c>
      <c r="U32" s="1574">
        <f t="shared" si="13"/>
        <v>100</v>
      </c>
      <c r="V32" s="1573" t="s">
        <v>11</v>
      </c>
      <c r="W32" s="1574">
        <f t="shared" si="14"/>
        <v>100</v>
      </c>
      <c r="X32" s="1567"/>
      <c r="Y32" s="3835"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835"/>
      <c r="Q33" s="1605" t="str">
        <f t="shared" si="11"/>
        <v>项目建筑规模</v>
      </c>
      <c r="R33" s="1577" t="s">
        <v>11</v>
      </c>
      <c r="S33" s="1578" t="e">
        <f t="shared" si="12"/>
        <v>#N/A</v>
      </c>
      <c r="T33" s="1577" t="s">
        <v>11</v>
      </c>
      <c r="U33" s="1578" t="e">
        <f t="shared" si="13"/>
        <v>#N/A</v>
      </c>
      <c r="V33" s="1577" t="s">
        <v>11</v>
      </c>
      <c r="W33" s="1578" t="e">
        <f t="shared" si="14"/>
        <v>#N/A</v>
      </c>
      <c r="X33" s="1579"/>
      <c r="Y33" s="3835"/>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835"/>
      <c r="Q34" s="1572" t="str">
        <f t="shared" si="11"/>
        <v>建筑结构</v>
      </c>
      <c r="R34" s="1573" t="s">
        <v>11</v>
      </c>
      <c r="S34" s="1574">
        <f t="shared" si="12"/>
        <v>100</v>
      </c>
      <c r="T34" s="1573" t="s">
        <v>11</v>
      </c>
      <c r="U34" s="1574">
        <f t="shared" si="13"/>
        <v>100</v>
      </c>
      <c r="V34" s="1573" t="s">
        <v>11</v>
      </c>
      <c r="W34" s="1574">
        <f t="shared" si="14"/>
        <v>100</v>
      </c>
      <c r="X34" s="1567"/>
      <c r="Y34" s="3835"/>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835"/>
      <c r="Q35" s="1572" t="str">
        <f t="shared" si="11"/>
        <v>建筑品质</v>
      </c>
      <c r="R35" s="1573" t="s">
        <v>11</v>
      </c>
      <c r="S35" s="1574">
        <f t="shared" si="12"/>
        <v>100</v>
      </c>
      <c r="T35" s="1573" t="s">
        <v>11</v>
      </c>
      <c r="U35" s="1574">
        <f t="shared" si="13"/>
        <v>100</v>
      </c>
      <c r="V35" s="1573" t="s">
        <v>11</v>
      </c>
      <c r="W35" s="1574">
        <f t="shared" si="14"/>
        <v>100</v>
      </c>
      <c r="X35" s="1567"/>
      <c r="Y35" s="3835"/>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835"/>
      <c r="Q36" s="1572" t="str">
        <f t="shared" si="11"/>
        <v>公共部分装修</v>
      </c>
      <c r="R36" s="1573" t="s">
        <v>11</v>
      </c>
      <c r="S36" s="1574">
        <f t="shared" si="12"/>
        <v>100</v>
      </c>
      <c r="T36" s="1573" t="s">
        <v>11</v>
      </c>
      <c r="U36" s="1574">
        <f t="shared" si="13"/>
        <v>100</v>
      </c>
      <c r="V36" s="1573" t="s">
        <v>11</v>
      </c>
      <c r="W36" s="1574">
        <f t="shared" si="14"/>
        <v>100</v>
      </c>
      <c r="X36" s="1567"/>
      <c r="Y36" s="3835"/>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835"/>
      <c r="Q37" s="1151" t="str">
        <f t="shared" si="11"/>
        <v>成新度</v>
      </c>
      <c r="R37" s="1568" t="s">
        <v>11</v>
      </c>
      <c r="S37" s="1569" t="e">
        <f t="shared" si="12"/>
        <v>#N/A</v>
      </c>
      <c r="T37" s="1568" t="s">
        <v>11</v>
      </c>
      <c r="U37" s="1569" t="e">
        <f t="shared" si="13"/>
        <v>#N/A</v>
      </c>
      <c r="V37" s="1568" t="s">
        <v>11</v>
      </c>
      <c r="W37" s="1569" t="e">
        <f t="shared" si="14"/>
        <v>#N/A</v>
      </c>
      <c r="X37" s="1570"/>
      <c r="Y37" s="3835"/>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835" t="s">
        <v>549</v>
      </c>
      <c r="Q38" s="1572" t="str">
        <f t="shared" si="11"/>
        <v>物业管理</v>
      </c>
      <c r="R38" s="1573" t="s">
        <v>11</v>
      </c>
      <c r="S38" s="1574">
        <f t="shared" si="12"/>
        <v>100</v>
      </c>
      <c r="T38" s="1573" t="s">
        <v>11</v>
      </c>
      <c r="U38" s="1574">
        <f t="shared" si="13"/>
        <v>100</v>
      </c>
      <c r="V38" s="1573" t="s">
        <v>11</v>
      </c>
      <c r="W38" s="1574">
        <f t="shared" si="14"/>
        <v>100</v>
      </c>
      <c r="X38" s="1567"/>
      <c r="Y38" s="3835"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835"/>
      <c r="Q39" s="1572" t="str">
        <f t="shared" si="11"/>
        <v>市政基础设施</v>
      </c>
      <c r="R39" s="1573" t="s">
        <v>11</v>
      </c>
      <c r="S39" s="1574">
        <f t="shared" si="12"/>
        <v>100</v>
      </c>
      <c r="T39" s="1573" t="s">
        <v>11</v>
      </c>
      <c r="U39" s="1574">
        <f t="shared" si="13"/>
        <v>100</v>
      </c>
      <c r="V39" s="1573" t="s">
        <v>11</v>
      </c>
      <c r="W39" s="1574">
        <f t="shared" si="14"/>
        <v>100</v>
      </c>
      <c r="X39" s="1567"/>
      <c r="Y39" s="3835"/>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835"/>
      <c r="Q40" s="1572" t="str">
        <f t="shared" si="11"/>
        <v>房型</v>
      </c>
      <c r="R40" s="1573" t="s">
        <v>11</v>
      </c>
      <c r="S40" s="1574">
        <f t="shared" si="12"/>
        <v>100</v>
      </c>
      <c r="T40" s="1573" t="s">
        <v>11</v>
      </c>
      <c r="U40" s="1574">
        <f t="shared" si="13"/>
        <v>100</v>
      </c>
      <c r="V40" s="1573" t="s">
        <v>11</v>
      </c>
      <c r="W40" s="1574">
        <f t="shared" si="14"/>
        <v>100</v>
      </c>
      <c r="X40" s="1567"/>
      <c r="Y40" s="3835"/>
      <c r="Z40" s="1575" t="str">
        <f t="shared" si="15"/>
        <v>房型</v>
      </c>
      <c r="AA40" s="1576">
        <f t="shared" si="3"/>
        <v>1</v>
      </c>
      <c r="AB40" s="1576">
        <f t="shared" si="4"/>
        <v>1</v>
      </c>
      <c r="AC40" s="1576">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835"/>
      <c r="Q41" s="1605" t="str">
        <f t="shared" si="11"/>
        <v>单套/主力户型建筑面积</v>
      </c>
      <c r="R41" s="1577" t="s">
        <v>11</v>
      </c>
      <c r="S41" s="1578">
        <f t="shared" si="12"/>
        <v>100</v>
      </c>
      <c r="T41" s="1577" t="s">
        <v>11</v>
      </c>
      <c r="U41" s="1578">
        <f t="shared" si="13"/>
        <v>100</v>
      </c>
      <c r="V41" s="1577" t="s">
        <v>11</v>
      </c>
      <c r="W41" s="1578">
        <f t="shared" si="14"/>
        <v>100</v>
      </c>
      <c r="X41" s="1579"/>
      <c r="Y41" s="3835"/>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835"/>
      <c r="Q42" s="1572" t="str">
        <f t="shared" si="11"/>
        <v>内部装修</v>
      </c>
      <c r="R42" s="1573" t="s">
        <v>11</v>
      </c>
      <c r="S42" s="1574">
        <f t="shared" si="12"/>
        <v>100</v>
      </c>
      <c r="T42" s="1573" t="s">
        <v>11</v>
      </c>
      <c r="U42" s="1574">
        <f t="shared" si="13"/>
        <v>100</v>
      </c>
      <c r="V42" s="1573" t="s">
        <v>11</v>
      </c>
      <c r="W42" s="1574">
        <f t="shared" si="14"/>
        <v>100</v>
      </c>
      <c r="X42" s="1567"/>
      <c r="Y42" s="3835"/>
      <c r="Z42" s="1575" t="str">
        <f t="shared" si="15"/>
        <v>内部装修</v>
      </c>
      <c r="AA42" s="1576">
        <f t="shared" si="3"/>
        <v>1</v>
      </c>
      <c r="AB42" s="1576">
        <f t="shared" si="4"/>
        <v>1</v>
      </c>
      <c r="AC42" s="1576">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835"/>
      <c r="Q43" s="1572" t="str">
        <f t="shared" si="11"/>
        <v>内部装修维护情况</v>
      </c>
      <c r="R43" s="1573" t="s">
        <v>11</v>
      </c>
      <c r="S43" s="1574">
        <f t="shared" si="12"/>
        <v>100</v>
      </c>
      <c r="T43" s="1573" t="s">
        <v>11</v>
      </c>
      <c r="U43" s="1574">
        <f t="shared" si="13"/>
        <v>100</v>
      </c>
      <c r="V43" s="1573" t="s">
        <v>11</v>
      </c>
      <c r="W43" s="1574">
        <f t="shared" si="14"/>
        <v>100</v>
      </c>
      <c r="X43" s="1567"/>
      <c r="Y43" s="383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835"/>
      <c r="Q44" s="1151">
        <f t="shared" si="11"/>
        <v>111</v>
      </c>
      <c r="R44" s="1568" t="s">
        <v>11</v>
      </c>
      <c r="S44" s="1569">
        <f t="shared" si="12"/>
        <v>100</v>
      </c>
      <c r="T44" s="1568" t="s">
        <v>11</v>
      </c>
      <c r="U44" s="1569">
        <f t="shared" si="13"/>
        <v>100</v>
      </c>
      <c r="V44" s="1568" t="s">
        <v>11</v>
      </c>
      <c r="W44" s="1569">
        <f t="shared" si="14"/>
        <v>100</v>
      </c>
      <c r="X44" s="1570"/>
      <c r="Y44" s="383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835"/>
      <c r="Q45" s="1572">
        <f t="shared" si="11"/>
        <v>111</v>
      </c>
      <c r="R45" s="1573" t="s">
        <v>11</v>
      </c>
      <c r="S45" s="1574">
        <f t="shared" si="12"/>
        <v>100</v>
      </c>
      <c r="T45" s="1573" t="s">
        <v>11</v>
      </c>
      <c r="U45" s="1574">
        <f t="shared" si="13"/>
        <v>100</v>
      </c>
      <c r="V45" s="1573" t="s">
        <v>11</v>
      </c>
      <c r="W45" s="1574">
        <f t="shared" si="14"/>
        <v>100</v>
      </c>
      <c r="X45" s="1567"/>
      <c r="Y45" s="3835"/>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4038"/>
      <c r="Q46" s="1572">
        <f t="shared" si="11"/>
        <v>111</v>
      </c>
      <c r="R46" s="1573" t="s">
        <v>10</v>
      </c>
      <c r="S46" s="1574">
        <f t="shared" si="12"/>
        <v>100</v>
      </c>
      <c r="T46" s="1573" t="s">
        <v>10</v>
      </c>
      <c r="U46" s="1574">
        <f t="shared" si="13"/>
        <v>100</v>
      </c>
      <c r="V46" s="1573" t="s">
        <v>10</v>
      </c>
      <c r="W46" s="1574">
        <f t="shared" si="14"/>
        <v>100</v>
      </c>
      <c r="X46" s="1567"/>
      <c r="Y46" s="4038"/>
      <c r="Z46" s="1575">
        <f t="shared" si="15"/>
        <v>111</v>
      </c>
      <c r="AA46" s="1576">
        <f t="shared" si="3"/>
        <v>1</v>
      </c>
      <c r="AB46" s="1576">
        <f t="shared" si="4"/>
        <v>1</v>
      </c>
      <c r="AC46" s="1576">
        <f t="shared" si="5"/>
        <v>1</v>
      </c>
    </row>
    <row r="47" spans="1:29" ht="14.4">
      <c r="A47" s="607" t="s">
        <v>735</v>
      </c>
      <c r="B47" s="887"/>
      <c r="C47" s="2652" t="s">
        <v>9</v>
      </c>
      <c r="D47" s="2653"/>
      <c r="E47" s="2654"/>
      <c r="F47" s="2655"/>
      <c r="G47" s="2656"/>
      <c r="H47" s="2657"/>
      <c r="I47" s="2654"/>
      <c r="J47" s="2657"/>
      <c r="K47" s="1606"/>
      <c r="L47" s="2145"/>
      <c r="M47" s="2146"/>
      <c r="N47" s="2135"/>
      <c r="O47" s="2146"/>
      <c r="P47" s="3830" t="str">
        <f>A47</f>
        <v>成交单价（元/平方米）</v>
      </c>
      <c r="Q47" s="3830"/>
      <c r="R47" s="4037">
        <f>E47</f>
        <v>0</v>
      </c>
      <c r="S47" s="4037"/>
      <c r="T47" s="4037">
        <f>G47</f>
        <v>0</v>
      </c>
      <c r="U47" s="4037"/>
      <c r="V47" s="4037">
        <f>I47</f>
        <v>0</v>
      </c>
      <c r="W47" s="4037"/>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830" t="str">
        <f>A48</f>
        <v>比较价格（元/平方米）</v>
      </c>
      <c r="Q48" s="3830"/>
      <c r="R48" s="4037" t="e">
        <f>IF(F1="售价",ROUND(PRODUCT(R47,AA7:AA46),0),ROUND(PRODUCT(R47,AA7:AA46),1))</f>
        <v>#DIV/0!</v>
      </c>
      <c r="S48" s="4037"/>
      <c r="T48" s="4037" t="e">
        <f>IF(F1="售价",ROUND(PRODUCT(T47,AB7:AB46),0),ROUND(PRODUCT(T47,AB7:AB46),1))</f>
        <v>#DIV/0!</v>
      </c>
      <c r="U48" s="4037"/>
      <c r="V48" s="4037" t="e">
        <f>IF(F1="售价",ROUND(PRODUCT(V47,AC7:AC46),0),ROUND(PRODUCT(V47,AC7:AC46),1))</f>
        <v>#DIV/0!</v>
      </c>
      <c r="W48" s="4037"/>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08"/>
      <c r="L49" s="2145"/>
      <c r="M49" s="2146"/>
      <c r="N49" s="2146"/>
      <c r="O49" s="2146"/>
      <c r="P49" s="3851" t="str">
        <f>A49</f>
        <v>估价对象XX用房的比较价格（楼面单价，元/平方米）</v>
      </c>
      <c r="Q49" s="3852"/>
      <c r="R49" s="4036" t="e">
        <f>IF(F1="售价",ROUND(AVERAGE(R48:V48),0),ROUND(AVERAGE(R48:V48),1))</f>
        <v>#DIV/0!</v>
      </c>
      <c r="S49" s="4036"/>
      <c r="T49" s="4036"/>
      <c r="U49" s="4036"/>
      <c r="V49" s="4036"/>
      <c r="W49" s="403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836" t="s">
        <v>521</v>
      </c>
      <c r="D4" s="3837"/>
      <c r="E4" s="4013" t="s">
        <v>522</v>
      </c>
      <c r="F4" s="4014"/>
      <c r="G4" s="3836" t="s">
        <v>523</v>
      </c>
      <c r="H4" s="3837"/>
      <c r="I4" s="3836" t="s">
        <v>524</v>
      </c>
      <c r="J4" s="3837"/>
      <c r="K4" s="514" t="s">
        <v>525</v>
      </c>
      <c r="L4" s="2134"/>
      <c r="M4" s="2135"/>
      <c r="N4" s="2135"/>
      <c r="O4" s="2135"/>
      <c r="P4" s="3838" t="s">
        <v>526</v>
      </c>
      <c r="Q4" s="3839"/>
      <c r="R4" s="3823" t="s">
        <v>522</v>
      </c>
      <c r="S4" s="3824"/>
      <c r="T4" s="3823" t="s">
        <v>523</v>
      </c>
      <c r="U4" s="3824"/>
      <c r="V4" s="3844" t="s">
        <v>524</v>
      </c>
      <c r="W4" s="3844"/>
      <c r="X4" s="1567"/>
      <c r="Y4" s="3823" t="s">
        <v>526</v>
      </c>
      <c r="Z4" s="3824"/>
      <c r="AA4" s="3818" t="s">
        <v>522</v>
      </c>
      <c r="AB4" s="3844" t="s">
        <v>523</v>
      </c>
      <c r="AC4" s="3818" t="s">
        <v>524</v>
      </c>
    </row>
    <row r="5" spans="1:29">
      <c r="A5" s="515"/>
      <c r="B5" s="516"/>
      <c r="C5" s="3847" t="s">
        <v>2929</v>
      </c>
      <c r="D5" s="3848"/>
      <c r="E5" s="4035" t="s">
        <v>2930</v>
      </c>
      <c r="F5" s="4016"/>
      <c r="G5" s="3847" t="s">
        <v>2931</v>
      </c>
      <c r="H5" s="3848"/>
      <c r="I5" s="3847" t="s">
        <v>2932</v>
      </c>
      <c r="J5" s="3848"/>
      <c r="K5" s="514"/>
      <c r="L5" s="2134"/>
      <c r="M5" s="2135"/>
      <c r="N5" s="2135"/>
      <c r="O5" s="2135"/>
      <c r="P5" s="3840"/>
      <c r="Q5" s="3841"/>
      <c r="R5" s="3825"/>
      <c r="S5" s="3826"/>
      <c r="T5" s="3825"/>
      <c r="U5" s="3826"/>
      <c r="V5" s="3844"/>
      <c r="W5" s="3844"/>
      <c r="X5" s="1567"/>
      <c r="Y5" s="3825"/>
      <c r="Z5" s="3826"/>
      <c r="AA5" s="3819"/>
      <c r="AB5" s="3844"/>
      <c r="AC5" s="3819"/>
    </row>
    <row r="6" spans="1:29" ht="15" thickBot="1">
      <c r="A6" s="517"/>
      <c r="B6" s="518"/>
      <c r="C6" s="3845" t="s">
        <v>2933</v>
      </c>
      <c r="D6" s="3846"/>
      <c r="E6" s="4019" t="s">
        <v>2933</v>
      </c>
      <c r="F6" s="4020"/>
      <c r="G6" s="3845" t="s">
        <v>2933</v>
      </c>
      <c r="H6" s="3846"/>
      <c r="I6" s="3845" t="s">
        <v>2933</v>
      </c>
      <c r="J6" s="3846"/>
      <c r="K6" s="514" t="s">
        <v>527</v>
      </c>
      <c r="L6" s="2134"/>
      <c r="M6" s="2135"/>
      <c r="N6" s="2135"/>
      <c r="O6" s="2135"/>
      <c r="P6" s="3842"/>
      <c r="Q6" s="3843"/>
      <c r="R6" s="3825"/>
      <c r="S6" s="3826"/>
      <c r="T6" s="3828"/>
      <c r="U6" s="3829"/>
      <c r="V6" s="3844"/>
      <c r="W6" s="3844"/>
      <c r="X6" s="1567"/>
      <c r="Y6" s="3828"/>
      <c r="Z6" s="3829"/>
      <c r="AA6" s="3820"/>
      <c r="AB6" s="3844"/>
      <c r="AC6" s="3820"/>
    </row>
    <row r="7" spans="1:29" s="1220" customFormat="1" ht="1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821" t="s">
        <v>529</v>
      </c>
      <c r="Q7" s="3831"/>
      <c r="R7" s="1568" t="s">
        <v>8</v>
      </c>
      <c r="S7" s="1569">
        <f t="shared" ref="S7:S15" si="0">F7</f>
        <v>0</v>
      </c>
      <c r="T7" s="1568" t="s">
        <v>8</v>
      </c>
      <c r="U7" s="1569">
        <f t="shared" ref="U7:U15" si="1">H7</f>
        <v>0</v>
      </c>
      <c r="V7" s="1568" t="s">
        <v>8</v>
      </c>
      <c r="W7" s="1569">
        <f t="shared" ref="W7:W15"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821" t="s">
        <v>532</v>
      </c>
      <c r="Q8" s="3822"/>
      <c r="R8" s="1568" t="s">
        <v>8</v>
      </c>
      <c r="S8" s="1569">
        <f t="shared" si="0"/>
        <v>0</v>
      </c>
      <c r="T8" s="1568" t="s">
        <v>8</v>
      </c>
      <c r="U8" s="1569">
        <f t="shared" si="1"/>
        <v>0</v>
      </c>
      <c r="V8" s="1568" t="s">
        <v>8</v>
      </c>
      <c r="W8" s="1569">
        <f t="shared" si="2"/>
        <v>0</v>
      </c>
      <c r="X8" s="1570"/>
      <c r="Y8" s="3821" t="s">
        <v>532</v>
      </c>
      <c r="Z8" s="3822"/>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830" t="s">
        <v>534</v>
      </c>
      <c r="Q9" s="1151" t="str">
        <f t="shared" ref="Q9:Q15" si="6">B9</f>
        <v>用途</v>
      </c>
      <c r="R9" s="1568" t="s">
        <v>8</v>
      </c>
      <c r="S9" s="1569">
        <f t="shared" si="0"/>
        <v>100</v>
      </c>
      <c r="T9" s="1568" t="s">
        <v>8</v>
      </c>
      <c r="U9" s="1569">
        <f t="shared" si="1"/>
        <v>100</v>
      </c>
      <c r="V9" s="1568" t="s">
        <v>8</v>
      </c>
      <c r="W9" s="1569">
        <f t="shared" si="2"/>
        <v>100</v>
      </c>
      <c r="X9" s="1570"/>
      <c r="Y9" s="3827"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830"/>
      <c r="Q11" s="1151" t="str">
        <f t="shared" si="6"/>
        <v>容积率</v>
      </c>
      <c r="R11" s="1568" t="s">
        <v>8</v>
      </c>
      <c r="S11" s="1569" t="e">
        <f t="shared" si="0"/>
        <v>#N/A</v>
      </c>
      <c r="T11" s="1568" t="s">
        <v>8</v>
      </c>
      <c r="U11" s="1569" t="e">
        <f t="shared" si="1"/>
        <v>#N/A</v>
      </c>
      <c r="V11" s="1568" t="s">
        <v>8</v>
      </c>
      <c r="W11" s="1569" t="e">
        <f t="shared" si="2"/>
        <v>#N/A</v>
      </c>
      <c r="X11" s="1570"/>
      <c r="Y11" s="3827"/>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830"/>
      <c r="Q12" s="1151">
        <f t="shared" si="6"/>
        <v>111</v>
      </c>
      <c r="R12" s="1568" t="s">
        <v>8</v>
      </c>
      <c r="S12" s="1569">
        <f t="shared" si="0"/>
        <v>100</v>
      </c>
      <c r="T12" s="1568" t="s">
        <v>8</v>
      </c>
      <c r="U12" s="1569">
        <f t="shared" si="1"/>
        <v>100</v>
      </c>
      <c r="V12" s="1568" t="s">
        <v>8</v>
      </c>
      <c r="W12" s="1569">
        <f t="shared" si="2"/>
        <v>100</v>
      </c>
      <c r="X12" s="1570"/>
      <c r="Y12" s="3827"/>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830"/>
      <c r="Q13" s="1151">
        <f t="shared" si="6"/>
        <v>111</v>
      </c>
      <c r="R13" s="1568" t="s">
        <v>8</v>
      </c>
      <c r="S13" s="1569">
        <f t="shared" si="0"/>
        <v>100</v>
      </c>
      <c r="T13" s="1568" t="s">
        <v>8</v>
      </c>
      <c r="U13" s="1569">
        <f t="shared" si="1"/>
        <v>100</v>
      </c>
      <c r="V13" s="1568" t="s">
        <v>8</v>
      </c>
      <c r="W13" s="1569">
        <f t="shared" si="2"/>
        <v>100</v>
      </c>
      <c r="X13" s="1570"/>
      <c r="Y13" s="3827"/>
      <c r="Z13" s="1150">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830"/>
      <c r="Q14" s="1151">
        <f t="shared" si="6"/>
        <v>111</v>
      </c>
      <c r="R14" s="1568" t="s">
        <v>8</v>
      </c>
      <c r="S14" s="1569">
        <f t="shared" si="0"/>
        <v>100</v>
      </c>
      <c r="T14" s="1568" t="s">
        <v>8</v>
      </c>
      <c r="U14" s="1569">
        <f t="shared" si="1"/>
        <v>100</v>
      </c>
      <c r="V14" s="1568" t="s">
        <v>8</v>
      </c>
      <c r="W14" s="1569">
        <f t="shared" si="2"/>
        <v>100</v>
      </c>
      <c r="X14" s="1570"/>
      <c r="Y14" s="3827"/>
      <c r="Z14" s="1150">
        <f t="shared" si="7"/>
        <v>111</v>
      </c>
      <c r="AA14" s="1571">
        <f t="shared" si="3"/>
        <v>1</v>
      </c>
      <c r="AB14" s="1571">
        <f t="shared" si="4"/>
        <v>1</v>
      </c>
      <c r="AC14" s="1571">
        <f t="shared" si="5"/>
        <v>1</v>
      </c>
    </row>
    <row r="15" spans="1:29" ht="82.8">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832" t="s">
        <v>539</v>
      </c>
      <c r="Q15" s="1572" t="str">
        <f t="shared" si="6"/>
        <v>商业繁华度</v>
      </c>
      <c r="R15" s="1573" t="s">
        <v>8</v>
      </c>
      <c r="S15" s="1574">
        <f t="shared" si="0"/>
        <v>100</v>
      </c>
      <c r="T15" s="1573" t="s">
        <v>8</v>
      </c>
      <c r="U15" s="1574">
        <f t="shared" si="1"/>
        <v>100</v>
      </c>
      <c r="V15" s="1573" t="s">
        <v>8</v>
      </c>
      <c r="W15" s="1574">
        <f t="shared" si="2"/>
        <v>100</v>
      </c>
      <c r="X15" s="1567"/>
      <c r="Y15" s="3832"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833"/>
      <c r="Q16" s="1572"/>
      <c r="R16" s="1573"/>
      <c r="S16" s="1574"/>
      <c r="T16" s="1573"/>
      <c r="U16" s="1574"/>
      <c r="V16" s="1573"/>
      <c r="W16" s="1574"/>
      <c r="X16" s="1567"/>
      <c r="Y16" s="3833"/>
      <c r="Z16" s="1575"/>
      <c r="AA16" s="1576">
        <v>1</v>
      </c>
      <c r="AB16" s="1576">
        <v>1</v>
      </c>
      <c r="AC16" s="1576">
        <v>1</v>
      </c>
    </row>
    <row r="17" spans="1:29" ht="96.6">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833"/>
      <c r="Q17" s="1572" t="str">
        <f>B17</f>
        <v>交通便捷度</v>
      </c>
      <c r="R17" s="1573" t="s">
        <v>8</v>
      </c>
      <c r="S17" s="1574">
        <f>F17</f>
        <v>100</v>
      </c>
      <c r="T17" s="1573" t="s">
        <v>8</v>
      </c>
      <c r="U17" s="1574">
        <f>H17</f>
        <v>100</v>
      </c>
      <c r="V17" s="1573" t="s">
        <v>8</v>
      </c>
      <c r="W17" s="1574">
        <f>J17</f>
        <v>100</v>
      </c>
      <c r="X17" s="1567"/>
      <c r="Y17" s="383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833"/>
      <c r="Q18" s="1572"/>
      <c r="R18" s="1573"/>
      <c r="S18" s="1574"/>
      <c r="T18" s="1573"/>
      <c r="U18" s="1574"/>
      <c r="V18" s="1573"/>
      <c r="W18" s="1574"/>
      <c r="X18" s="1567"/>
      <c r="Y18" s="3833"/>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833"/>
      <c r="Q19" s="1572" t="str">
        <f>B19</f>
        <v>公共配套设施</v>
      </c>
      <c r="R19" s="1573" t="s">
        <v>8</v>
      </c>
      <c r="S19" s="1574">
        <f>F19</f>
        <v>100</v>
      </c>
      <c r="T19" s="1573" t="s">
        <v>8</v>
      </c>
      <c r="U19" s="1574">
        <f>H19</f>
        <v>100</v>
      </c>
      <c r="V19" s="1573" t="s">
        <v>8</v>
      </c>
      <c r="W19" s="1574">
        <f>J19</f>
        <v>100</v>
      </c>
      <c r="X19" s="1567"/>
      <c r="Y19" s="383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833"/>
      <c r="Q20" s="1572"/>
      <c r="R20" s="1573"/>
      <c r="S20" s="1574"/>
      <c r="T20" s="1573"/>
      <c r="U20" s="1574"/>
      <c r="V20" s="1573"/>
      <c r="W20" s="1574"/>
      <c r="X20" s="1567"/>
      <c r="Y20" s="3833"/>
      <c r="Z20" s="1575"/>
      <c r="AA20" s="1576">
        <v>1</v>
      </c>
      <c r="AB20" s="1576">
        <v>1</v>
      </c>
      <c r="AC20" s="1576">
        <v>1</v>
      </c>
    </row>
    <row r="21" spans="1:29" ht="41.4">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833"/>
      <c r="Q21" s="2604" t="str">
        <f>B21</f>
        <v>基础设施水平</v>
      </c>
      <c r="R21" s="1573" t="s">
        <v>8</v>
      </c>
      <c r="S21" s="1574">
        <f>F21</f>
        <v>100</v>
      </c>
      <c r="T21" s="1573" t="s">
        <v>8</v>
      </c>
      <c r="U21" s="1574">
        <f>H21</f>
        <v>100</v>
      </c>
      <c r="V21" s="1573" t="s">
        <v>8</v>
      </c>
      <c r="W21" s="1574">
        <f>J21</f>
        <v>100</v>
      </c>
      <c r="X21" s="2606"/>
      <c r="Y21" s="383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833"/>
      <c r="Q22" s="2604"/>
      <c r="R22" s="1573"/>
      <c r="S22" s="1574"/>
      <c r="T22" s="1573"/>
      <c r="U22" s="1574"/>
      <c r="V22" s="1573"/>
      <c r="W22" s="1574"/>
      <c r="X22" s="2606"/>
      <c r="Y22" s="3833"/>
      <c r="Z22" s="2605"/>
      <c r="AA22" s="1576">
        <v>1</v>
      </c>
      <c r="AB22" s="1576">
        <v>1</v>
      </c>
      <c r="AC22" s="1576">
        <v>1</v>
      </c>
    </row>
    <row r="23" spans="1:29" ht="55.2">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833"/>
      <c r="Q23" s="1572" t="str">
        <f>B23</f>
        <v>自然及人文环境</v>
      </c>
      <c r="R23" s="1573" t="s">
        <v>8</v>
      </c>
      <c r="S23" s="1574">
        <f>F23</f>
        <v>100</v>
      </c>
      <c r="T23" s="1573" t="s">
        <v>8</v>
      </c>
      <c r="U23" s="1574">
        <f>H23</f>
        <v>100</v>
      </c>
      <c r="V23" s="1573" t="s">
        <v>8</v>
      </c>
      <c r="W23" s="1574">
        <f>J23</f>
        <v>100</v>
      </c>
      <c r="X23" s="1567"/>
      <c r="Y23" s="383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833"/>
      <c r="Q24" s="1572"/>
      <c r="R24" s="1573"/>
      <c r="S24" s="1574"/>
      <c r="T24" s="1573"/>
      <c r="U24" s="1574"/>
      <c r="V24" s="1573"/>
      <c r="W24" s="1574"/>
      <c r="X24" s="1567"/>
      <c r="Y24" s="3833"/>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833"/>
      <c r="Q25" s="1572" t="str">
        <f t="shared" ref="Q25:Q46" si="11">B25</f>
        <v>临街状况</v>
      </c>
      <c r="R25" s="1573" t="s">
        <v>8</v>
      </c>
      <c r="S25" s="1574">
        <f>F25</f>
        <v>100</v>
      </c>
      <c r="T25" s="1573" t="s">
        <v>8</v>
      </c>
      <c r="U25" s="1574">
        <f>H25</f>
        <v>100</v>
      </c>
      <c r="V25" s="1573" t="s">
        <v>8</v>
      </c>
      <c r="W25" s="1574">
        <f>J25</f>
        <v>100</v>
      </c>
      <c r="X25" s="1567"/>
      <c r="Y25" s="3833"/>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833"/>
      <c r="Q26" s="1572" t="str">
        <f t="shared" si="11"/>
        <v>平面位置/可视性</v>
      </c>
      <c r="R26" s="1573" t="s">
        <v>8</v>
      </c>
      <c r="S26" s="1574">
        <f>F26</f>
        <v>100</v>
      </c>
      <c r="T26" s="1573" t="s">
        <v>8</v>
      </c>
      <c r="U26" s="1574">
        <f>H26</f>
        <v>100</v>
      </c>
      <c r="V26" s="1573" t="s">
        <v>8</v>
      </c>
      <c r="W26" s="1574">
        <f>J26</f>
        <v>100</v>
      </c>
      <c r="X26" s="1567"/>
      <c r="Y26" s="3833"/>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833"/>
      <c r="Q27" s="1151" t="str">
        <f t="shared" si="11"/>
        <v>人流量</v>
      </c>
      <c r="R27" s="1568" t="s">
        <v>8</v>
      </c>
      <c r="S27" s="1569">
        <f>F27</f>
        <v>100</v>
      </c>
      <c r="T27" s="1568" t="s">
        <v>8</v>
      </c>
      <c r="U27" s="1569">
        <f>H27</f>
        <v>100</v>
      </c>
      <c r="V27" s="1568" t="s">
        <v>8</v>
      </c>
      <c r="W27" s="1569">
        <f>J27</f>
        <v>100</v>
      </c>
      <c r="X27" s="1570"/>
      <c r="Y27" s="3833"/>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83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83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833"/>
      <c r="Q29" s="1572">
        <f t="shared" si="11"/>
        <v>111</v>
      </c>
      <c r="R29" s="1573" t="s">
        <v>8</v>
      </c>
      <c r="S29" s="1574">
        <f t="shared" si="12"/>
        <v>100</v>
      </c>
      <c r="T29" s="1573" t="s">
        <v>8</v>
      </c>
      <c r="U29" s="1574">
        <f t="shared" si="13"/>
        <v>100</v>
      </c>
      <c r="V29" s="1573" t="s">
        <v>8</v>
      </c>
      <c r="W29" s="1574">
        <f t="shared" si="14"/>
        <v>100</v>
      </c>
      <c r="X29" s="1567"/>
      <c r="Y29" s="383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833"/>
      <c r="Q30" s="1572">
        <f t="shared" si="11"/>
        <v>111</v>
      </c>
      <c r="R30" s="1573" t="s">
        <v>8</v>
      </c>
      <c r="S30" s="1574">
        <f t="shared" si="12"/>
        <v>100</v>
      </c>
      <c r="T30" s="1573" t="s">
        <v>8</v>
      </c>
      <c r="U30" s="1574">
        <f t="shared" si="13"/>
        <v>100</v>
      </c>
      <c r="V30" s="1573" t="s">
        <v>8</v>
      </c>
      <c r="W30" s="1574">
        <f t="shared" si="14"/>
        <v>100</v>
      </c>
      <c r="X30" s="1567"/>
      <c r="Y30" s="3833"/>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833"/>
      <c r="Q31" s="1572">
        <f t="shared" si="11"/>
        <v>111</v>
      </c>
      <c r="R31" s="1573" t="s">
        <v>8</v>
      </c>
      <c r="S31" s="1574">
        <f t="shared" si="12"/>
        <v>100</v>
      </c>
      <c r="T31" s="1573" t="s">
        <v>8</v>
      </c>
      <c r="U31" s="1574">
        <f t="shared" si="13"/>
        <v>100</v>
      </c>
      <c r="V31" s="1573" t="s">
        <v>8</v>
      </c>
      <c r="W31" s="1574">
        <f t="shared" si="14"/>
        <v>100</v>
      </c>
      <c r="X31" s="1567"/>
      <c r="Y31" s="3833"/>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834" t="s">
        <v>549</v>
      </c>
      <c r="Q32" s="1572" t="str">
        <f t="shared" si="11"/>
        <v>商业类型</v>
      </c>
      <c r="R32" s="1573" t="s">
        <v>8</v>
      </c>
      <c r="S32" s="1574">
        <f t="shared" si="12"/>
        <v>100</v>
      </c>
      <c r="T32" s="1573" t="s">
        <v>8</v>
      </c>
      <c r="U32" s="1574">
        <f t="shared" si="13"/>
        <v>100</v>
      </c>
      <c r="V32" s="1573" t="s">
        <v>8</v>
      </c>
      <c r="W32" s="1574">
        <f t="shared" si="14"/>
        <v>100</v>
      </c>
      <c r="X32" s="1567"/>
      <c r="Y32" s="3835"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835"/>
      <c r="Q33" s="1605" t="str">
        <f t="shared" si="11"/>
        <v>项目建筑规模</v>
      </c>
      <c r="R33" s="1577" t="s">
        <v>8</v>
      </c>
      <c r="S33" s="1578" t="e">
        <f t="shared" si="12"/>
        <v>#N/A</v>
      </c>
      <c r="T33" s="1577" t="s">
        <v>8</v>
      </c>
      <c r="U33" s="1578" t="e">
        <f t="shared" si="13"/>
        <v>#N/A</v>
      </c>
      <c r="V33" s="1577" t="s">
        <v>8</v>
      </c>
      <c r="W33" s="1578" t="e">
        <f t="shared" si="14"/>
        <v>#N/A</v>
      </c>
      <c r="X33" s="1579"/>
      <c r="Y33" s="3835"/>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835"/>
      <c r="Q34" s="1572" t="str">
        <f t="shared" si="11"/>
        <v>建筑结构</v>
      </c>
      <c r="R34" s="1573" t="s">
        <v>8</v>
      </c>
      <c r="S34" s="1574">
        <f t="shared" si="12"/>
        <v>100</v>
      </c>
      <c r="T34" s="1573" t="s">
        <v>8</v>
      </c>
      <c r="U34" s="1574">
        <f t="shared" si="13"/>
        <v>100</v>
      </c>
      <c r="V34" s="1573" t="s">
        <v>8</v>
      </c>
      <c r="W34" s="1574">
        <f t="shared" si="14"/>
        <v>100</v>
      </c>
      <c r="X34" s="1567"/>
      <c r="Y34" s="3835"/>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835"/>
      <c r="Q35" s="1572" t="str">
        <f t="shared" si="11"/>
        <v>公共部分装修</v>
      </c>
      <c r="R35" s="1573" t="s">
        <v>8</v>
      </c>
      <c r="S35" s="1574">
        <f t="shared" si="12"/>
        <v>100</v>
      </c>
      <c r="T35" s="1573" t="s">
        <v>8</v>
      </c>
      <c r="U35" s="1574">
        <f t="shared" si="13"/>
        <v>100</v>
      </c>
      <c r="V35" s="1573" t="s">
        <v>8</v>
      </c>
      <c r="W35" s="1574">
        <f t="shared" si="14"/>
        <v>100</v>
      </c>
      <c r="X35" s="1567"/>
      <c r="Y35" s="3835"/>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835"/>
      <c r="Q36" s="1572" t="str">
        <f t="shared" si="11"/>
        <v>成新度</v>
      </c>
      <c r="R36" s="1573" t="s">
        <v>8</v>
      </c>
      <c r="S36" s="1574" t="e">
        <f t="shared" si="12"/>
        <v>#N/A</v>
      </c>
      <c r="T36" s="1573" t="s">
        <v>8</v>
      </c>
      <c r="U36" s="1574" t="e">
        <f t="shared" si="13"/>
        <v>#N/A</v>
      </c>
      <c r="V36" s="1573" t="s">
        <v>8</v>
      </c>
      <c r="W36" s="1574" t="e">
        <f t="shared" si="14"/>
        <v>#N/A</v>
      </c>
      <c r="X36" s="1567"/>
      <c r="Y36" s="3835"/>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835"/>
      <c r="Q37" s="1151" t="str">
        <f t="shared" si="11"/>
        <v>市政基础设施</v>
      </c>
      <c r="R37" s="1568" t="s">
        <v>8</v>
      </c>
      <c r="S37" s="1569">
        <f t="shared" si="12"/>
        <v>100</v>
      </c>
      <c r="T37" s="1568" t="s">
        <v>8</v>
      </c>
      <c r="U37" s="1569">
        <f t="shared" si="13"/>
        <v>100</v>
      </c>
      <c r="V37" s="1568" t="s">
        <v>8</v>
      </c>
      <c r="W37" s="1569">
        <f t="shared" si="14"/>
        <v>100</v>
      </c>
      <c r="X37" s="1570"/>
      <c r="Y37" s="3835"/>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835" t="s">
        <v>765</v>
      </c>
      <c r="Q38" s="1572" t="str">
        <f t="shared" si="11"/>
        <v>业态</v>
      </c>
      <c r="R38" s="1573" t="s">
        <v>8</v>
      </c>
      <c r="S38" s="1574">
        <f t="shared" si="12"/>
        <v>100</v>
      </c>
      <c r="T38" s="1573" t="s">
        <v>8</v>
      </c>
      <c r="U38" s="1574">
        <f t="shared" si="13"/>
        <v>100</v>
      </c>
      <c r="V38" s="1573" t="s">
        <v>8</v>
      </c>
      <c r="W38" s="1574">
        <f t="shared" si="14"/>
        <v>100</v>
      </c>
      <c r="X38" s="1567"/>
      <c r="Y38" s="3835"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835"/>
      <c r="Q39" s="1572" t="str">
        <f t="shared" si="11"/>
        <v>层高</v>
      </c>
      <c r="R39" s="1573" t="s">
        <v>8</v>
      </c>
      <c r="S39" s="1574">
        <f t="shared" si="12"/>
        <v>100</v>
      </c>
      <c r="T39" s="1573" t="s">
        <v>8</v>
      </c>
      <c r="U39" s="1574">
        <f t="shared" si="13"/>
        <v>100</v>
      </c>
      <c r="V39" s="1573" t="s">
        <v>8</v>
      </c>
      <c r="W39" s="1574">
        <f t="shared" si="14"/>
        <v>100</v>
      </c>
      <c r="X39" s="1567"/>
      <c r="Y39" s="3835"/>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835"/>
      <c r="Q40" s="1572" t="str">
        <f t="shared" si="11"/>
        <v>单套建筑面积</v>
      </c>
      <c r="R40" s="1573" t="s">
        <v>8</v>
      </c>
      <c r="S40" s="1574">
        <f t="shared" si="12"/>
        <v>100</v>
      </c>
      <c r="T40" s="1573" t="s">
        <v>8</v>
      </c>
      <c r="U40" s="1574">
        <f t="shared" si="13"/>
        <v>100</v>
      </c>
      <c r="V40" s="1573" t="s">
        <v>8</v>
      </c>
      <c r="W40" s="1574">
        <f t="shared" si="14"/>
        <v>100</v>
      </c>
      <c r="X40" s="1567"/>
      <c r="Y40" s="3835"/>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835"/>
      <c r="Q41" s="1605" t="str">
        <f t="shared" si="11"/>
        <v>进深比</v>
      </c>
      <c r="R41" s="1577" t="s">
        <v>8</v>
      </c>
      <c r="S41" s="1578">
        <f t="shared" si="12"/>
        <v>100</v>
      </c>
      <c r="T41" s="1577" t="s">
        <v>8</v>
      </c>
      <c r="U41" s="1578">
        <f t="shared" si="13"/>
        <v>100</v>
      </c>
      <c r="V41" s="1577" t="s">
        <v>8</v>
      </c>
      <c r="W41" s="1578">
        <f t="shared" si="14"/>
        <v>100</v>
      </c>
      <c r="X41" s="1579"/>
      <c r="Y41" s="3835"/>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835"/>
      <c r="Q42" s="1572" t="str">
        <f t="shared" si="11"/>
        <v>内部装修</v>
      </c>
      <c r="R42" s="1573" t="s">
        <v>8</v>
      </c>
      <c r="S42" s="1574">
        <f t="shared" si="12"/>
        <v>100</v>
      </c>
      <c r="T42" s="1573" t="s">
        <v>8</v>
      </c>
      <c r="U42" s="1574">
        <f t="shared" si="13"/>
        <v>100</v>
      </c>
      <c r="V42" s="1573" t="s">
        <v>8</v>
      </c>
      <c r="W42" s="1574">
        <f t="shared" si="14"/>
        <v>100</v>
      </c>
      <c r="X42" s="1567"/>
      <c r="Y42" s="3835"/>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835"/>
      <c r="Q43" s="1572" t="str">
        <f t="shared" si="11"/>
        <v>内部装修维护情况</v>
      </c>
      <c r="R43" s="1573" t="s">
        <v>8</v>
      </c>
      <c r="S43" s="1574">
        <f t="shared" si="12"/>
        <v>100</v>
      </c>
      <c r="T43" s="1573" t="s">
        <v>8</v>
      </c>
      <c r="U43" s="1574">
        <f t="shared" si="13"/>
        <v>100</v>
      </c>
      <c r="V43" s="1573" t="s">
        <v>8</v>
      </c>
      <c r="W43" s="1574">
        <f t="shared" si="14"/>
        <v>100</v>
      </c>
      <c r="X43" s="1567"/>
      <c r="Y43" s="383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835"/>
      <c r="Q44" s="1151">
        <f t="shared" si="11"/>
        <v>111</v>
      </c>
      <c r="R44" s="1568" t="s">
        <v>8</v>
      </c>
      <c r="S44" s="1569">
        <f t="shared" si="12"/>
        <v>100</v>
      </c>
      <c r="T44" s="1568" t="s">
        <v>8</v>
      </c>
      <c r="U44" s="1569">
        <f t="shared" si="13"/>
        <v>100</v>
      </c>
      <c r="V44" s="1568" t="s">
        <v>8</v>
      </c>
      <c r="W44" s="1569">
        <f t="shared" si="14"/>
        <v>100</v>
      </c>
      <c r="X44" s="1570"/>
      <c r="Y44" s="383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835"/>
      <c r="Q45" s="1572">
        <f t="shared" si="11"/>
        <v>111</v>
      </c>
      <c r="R45" s="1573" t="s">
        <v>8</v>
      </c>
      <c r="S45" s="1574">
        <f t="shared" si="12"/>
        <v>100</v>
      </c>
      <c r="T45" s="1573" t="s">
        <v>8</v>
      </c>
      <c r="U45" s="1574">
        <f t="shared" si="13"/>
        <v>100</v>
      </c>
      <c r="V45" s="1573" t="s">
        <v>8</v>
      </c>
      <c r="W45" s="1574">
        <f t="shared" si="14"/>
        <v>100</v>
      </c>
      <c r="X45" s="1567"/>
      <c r="Y45" s="3835"/>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4038"/>
      <c r="Q46" s="1572">
        <f t="shared" si="11"/>
        <v>111</v>
      </c>
      <c r="R46" s="1573" t="s">
        <v>8</v>
      </c>
      <c r="S46" s="1574">
        <f t="shared" si="12"/>
        <v>100</v>
      </c>
      <c r="T46" s="1573" t="s">
        <v>8</v>
      </c>
      <c r="U46" s="1574">
        <f t="shared" si="13"/>
        <v>100</v>
      </c>
      <c r="V46" s="1573" t="s">
        <v>8</v>
      </c>
      <c r="W46" s="1574">
        <f t="shared" si="14"/>
        <v>100</v>
      </c>
      <c r="X46" s="1567"/>
      <c r="Y46" s="4038"/>
      <c r="Z46" s="1575">
        <f t="shared" si="15"/>
        <v>111</v>
      </c>
      <c r="AA46" s="1576">
        <f t="shared" si="3"/>
        <v>1</v>
      </c>
      <c r="AB46" s="1576">
        <f t="shared" si="4"/>
        <v>1</v>
      </c>
      <c r="AC46" s="1576">
        <f t="shared" si="5"/>
        <v>1</v>
      </c>
    </row>
    <row r="47" spans="1:29" ht="14.4">
      <c r="A47" s="607" t="s">
        <v>735</v>
      </c>
      <c r="B47" s="887"/>
      <c r="C47" s="2652" t="s">
        <v>1</v>
      </c>
      <c r="D47" s="2653"/>
      <c r="E47" s="2654"/>
      <c r="F47" s="2655"/>
      <c r="G47" s="2656"/>
      <c r="H47" s="2657"/>
      <c r="I47" s="2654"/>
      <c r="J47" s="2657"/>
      <c r="K47" s="1611"/>
      <c r="L47" s="2145"/>
      <c r="M47" s="2146"/>
      <c r="N47" s="2135"/>
      <c r="O47" s="2146"/>
      <c r="P47" s="3830" t="str">
        <f>A47</f>
        <v>成交单价（元/平方米）</v>
      </c>
      <c r="Q47" s="3830"/>
      <c r="R47" s="4037">
        <f>E47</f>
        <v>0</v>
      </c>
      <c r="S47" s="4037"/>
      <c r="T47" s="4037">
        <f>G47</f>
        <v>0</v>
      </c>
      <c r="U47" s="4037"/>
      <c r="V47" s="4037">
        <f>I47</f>
        <v>0</v>
      </c>
      <c r="W47" s="4037"/>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830" t="str">
        <f>A48</f>
        <v>比较价格（元/平方米）</v>
      </c>
      <c r="Q48" s="3830"/>
      <c r="R48" s="4037" t="e">
        <f>IF(F1="售价",ROUND(PRODUCT(R47,AA7:AA46),0),ROUND(PRODUCT(R47,AA7:AA46),1))</f>
        <v>#DIV/0!</v>
      </c>
      <c r="S48" s="4037"/>
      <c r="T48" s="4037" t="e">
        <f>IF(F1="售价",ROUND(PRODUCT(T47,AB7:AB46),0),ROUND(PRODUCT(T47,AB7:AB46),1))</f>
        <v>#DIV/0!</v>
      </c>
      <c r="U48" s="4037"/>
      <c r="V48" s="4037" t="e">
        <f>IF(F1="售价",ROUND(PRODUCT(V47,AC7:AC46),0),ROUND(PRODUCT(V47,AC7:AC46),1))</f>
        <v>#DIV/0!</v>
      </c>
      <c r="W48" s="4037"/>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13"/>
      <c r="L49" s="2145"/>
      <c r="M49" s="2146"/>
      <c r="N49" s="2135"/>
      <c r="O49" s="2146"/>
      <c r="P49" s="3851" t="str">
        <f>A49</f>
        <v>估价对象XX用房的比较价格（楼面单价，元/平方米）</v>
      </c>
      <c r="Q49" s="3852"/>
      <c r="R49" s="4036" t="e">
        <f>IF(F1="售价",ROUND(AVERAGE(R48:V48),0),ROUND(AVERAGE(R48:V48),1))</f>
        <v>#DIV/0!</v>
      </c>
      <c r="S49" s="4036"/>
      <c r="T49" s="4036"/>
      <c r="U49" s="4036"/>
      <c r="V49" s="4036"/>
      <c r="W49" s="403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836" t="s">
        <v>521</v>
      </c>
      <c r="D4" s="3837"/>
      <c r="E4" s="4013" t="s">
        <v>522</v>
      </c>
      <c r="F4" s="4014"/>
      <c r="G4" s="3836" t="s">
        <v>523</v>
      </c>
      <c r="H4" s="3837"/>
      <c r="I4" s="3836" t="s">
        <v>524</v>
      </c>
      <c r="J4" s="3837"/>
      <c r="K4" s="514" t="s">
        <v>525</v>
      </c>
      <c r="L4" s="2134"/>
      <c r="M4" s="2135"/>
      <c r="N4" s="2135"/>
      <c r="O4" s="2135"/>
      <c r="P4" s="4039" t="s">
        <v>526</v>
      </c>
      <c r="Q4" s="3839"/>
      <c r="R4" s="3823" t="s">
        <v>522</v>
      </c>
      <c r="S4" s="3824"/>
      <c r="T4" s="3823" t="s">
        <v>523</v>
      </c>
      <c r="U4" s="3824"/>
      <c r="V4" s="3844" t="s">
        <v>524</v>
      </c>
      <c r="W4" s="3844"/>
      <c r="X4" s="1567"/>
      <c r="Y4" s="3823" t="s">
        <v>526</v>
      </c>
      <c r="Z4" s="3824"/>
      <c r="AA4" s="3818" t="s">
        <v>522</v>
      </c>
      <c r="AB4" s="3818" t="s">
        <v>523</v>
      </c>
      <c r="AC4" s="3818" t="s">
        <v>524</v>
      </c>
    </row>
    <row r="5" spans="1:29">
      <c r="A5" s="515"/>
      <c r="B5" s="516"/>
      <c r="C5" s="3847" t="s">
        <v>2929</v>
      </c>
      <c r="D5" s="3848"/>
      <c r="E5" s="4035" t="s">
        <v>2930</v>
      </c>
      <c r="F5" s="4016"/>
      <c r="G5" s="3847" t="s">
        <v>2931</v>
      </c>
      <c r="H5" s="3848"/>
      <c r="I5" s="3847" t="s">
        <v>2932</v>
      </c>
      <c r="J5" s="3848"/>
      <c r="K5" s="514"/>
      <c r="L5" s="2134"/>
      <c r="M5" s="2135"/>
      <c r="N5" s="2135"/>
      <c r="O5" s="2135"/>
      <c r="P5" s="4040"/>
      <c r="Q5" s="3841"/>
      <c r="R5" s="3825"/>
      <c r="S5" s="3826"/>
      <c r="T5" s="3825"/>
      <c r="U5" s="3826"/>
      <c r="V5" s="3844"/>
      <c r="W5" s="3844"/>
      <c r="X5" s="1567"/>
      <c r="Y5" s="3825"/>
      <c r="Z5" s="3826"/>
      <c r="AA5" s="3819"/>
      <c r="AB5" s="3819"/>
      <c r="AC5" s="3819"/>
    </row>
    <row r="6" spans="1:29" ht="15" thickBot="1">
      <c r="A6" s="517"/>
      <c r="B6" s="518"/>
      <c r="C6" s="3845" t="s">
        <v>2933</v>
      </c>
      <c r="D6" s="3846"/>
      <c r="E6" s="4019" t="s">
        <v>2933</v>
      </c>
      <c r="F6" s="4020"/>
      <c r="G6" s="3845" t="s">
        <v>2933</v>
      </c>
      <c r="H6" s="3846"/>
      <c r="I6" s="3845" t="s">
        <v>2933</v>
      </c>
      <c r="J6" s="3846"/>
      <c r="K6" s="514" t="s">
        <v>527</v>
      </c>
      <c r="L6" s="2134"/>
      <c r="M6" s="2135"/>
      <c r="N6" s="2135"/>
      <c r="O6" s="2135"/>
      <c r="P6" s="4041"/>
      <c r="Q6" s="3843"/>
      <c r="R6" s="3825"/>
      <c r="S6" s="3826"/>
      <c r="T6" s="3828"/>
      <c r="U6" s="3829"/>
      <c r="V6" s="3844"/>
      <c r="W6" s="3844"/>
      <c r="X6" s="1567"/>
      <c r="Y6" s="3828"/>
      <c r="Z6" s="3829"/>
      <c r="AA6" s="3820"/>
      <c r="AB6" s="3820"/>
      <c r="AC6" s="3820"/>
    </row>
    <row r="7" spans="1:29" s="1220" customFormat="1" ht="1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831" t="s">
        <v>529</v>
      </c>
      <c r="Q7" s="3831"/>
      <c r="R7" s="1568" t="s">
        <v>8</v>
      </c>
      <c r="S7" s="1569">
        <f t="shared" ref="S7:S15" si="0">F7</f>
        <v>0</v>
      </c>
      <c r="T7" s="1568" t="s">
        <v>8</v>
      </c>
      <c r="U7" s="1569">
        <f t="shared" ref="U7:U15" si="1">H7</f>
        <v>0</v>
      </c>
      <c r="V7" s="1568" t="s">
        <v>8</v>
      </c>
      <c r="W7" s="1569">
        <f t="shared" ref="W7:W15"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831" t="s">
        <v>532</v>
      </c>
      <c r="Q8" s="3822"/>
      <c r="R8" s="1568" t="s">
        <v>8</v>
      </c>
      <c r="S8" s="1569">
        <f t="shared" si="0"/>
        <v>0</v>
      </c>
      <c r="T8" s="1568" t="s">
        <v>8</v>
      </c>
      <c r="U8" s="1569">
        <f t="shared" si="1"/>
        <v>0</v>
      </c>
      <c r="V8" s="1568" t="s">
        <v>8</v>
      </c>
      <c r="W8" s="1569">
        <f t="shared" si="2"/>
        <v>0</v>
      </c>
      <c r="X8" s="1570"/>
      <c r="Y8" s="3821" t="s">
        <v>532</v>
      </c>
      <c r="Z8" s="3822"/>
      <c r="AA8" s="1571" t="e">
        <f t="shared" ref="AA8:AA47" si="3">D8/F8</f>
        <v>#DIV/0!</v>
      </c>
      <c r="AB8" s="1571" t="e">
        <f t="shared" ref="AB8:AB47" si="4">D8/H8</f>
        <v>#DIV/0!</v>
      </c>
      <c r="AC8" s="1571" t="e">
        <f t="shared" ref="AC8:AC47" si="5">D8/J8</f>
        <v>#DIV/0!</v>
      </c>
    </row>
    <row r="9" spans="1:29" s="1220" customFormat="1" ht="14.4">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830" t="s">
        <v>534</v>
      </c>
      <c r="Q9" s="1151" t="str">
        <f t="shared" ref="Q9:Q15" si="6">B9</f>
        <v>用途</v>
      </c>
      <c r="R9" s="1568" t="s">
        <v>8</v>
      </c>
      <c r="S9" s="1569">
        <f t="shared" si="0"/>
        <v>100</v>
      </c>
      <c r="T9" s="1568" t="s">
        <v>8</v>
      </c>
      <c r="U9" s="1569">
        <f t="shared" si="1"/>
        <v>100</v>
      </c>
      <c r="V9" s="1568" t="s">
        <v>8</v>
      </c>
      <c r="W9" s="1569">
        <f t="shared" si="2"/>
        <v>100</v>
      </c>
      <c r="X9" s="1570"/>
      <c r="Y9" s="3827"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830"/>
      <c r="Q11" s="1151" t="str">
        <f t="shared" si="6"/>
        <v>容积率</v>
      </c>
      <c r="R11" s="1568" t="s">
        <v>8</v>
      </c>
      <c r="S11" s="1569" t="e">
        <f t="shared" si="0"/>
        <v>#N/A</v>
      </c>
      <c r="T11" s="1568" t="s">
        <v>8</v>
      </c>
      <c r="U11" s="1569" t="e">
        <f t="shared" si="1"/>
        <v>#N/A</v>
      </c>
      <c r="V11" s="1568" t="s">
        <v>8</v>
      </c>
      <c r="W11" s="1569" t="e">
        <f t="shared" si="2"/>
        <v>#N/A</v>
      </c>
      <c r="X11" s="1570"/>
      <c r="Y11" s="3827"/>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830"/>
      <c r="Q12" s="1151">
        <f t="shared" si="6"/>
        <v>111</v>
      </c>
      <c r="R12" s="1568" t="s">
        <v>8</v>
      </c>
      <c r="S12" s="1569">
        <f t="shared" si="0"/>
        <v>100</v>
      </c>
      <c r="T12" s="1568" t="s">
        <v>8</v>
      </c>
      <c r="U12" s="1569">
        <f t="shared" si="1"/>
        <v>100</v>
      </c>
      <c r="V12" s="1568" t="s">
        <v>8</v>
      </c>
      <c r="W12" s="1569">
        <f t="shared" si="2"/>
        <v>100</v>
      </c>
      <c r="X12" s="1570"/>
      <c r="Y12" s="3827"/>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830"/>
      <c r="Q13" s="1151">
        <f t="shared" si="6"/>
        <v>111</v>
      </c>
      <c r="R13" s="1568" t="s">
        <v>8</v>
      </c>
      <c r="S13" s="1569">
        <f t="shared" si="0"/>
        <v>100</v>
      </c>
      <c r="T13" s="1568" t="s">
        <v>8</v>
      </c>
      <c r="U13" s="1569">
        <f t="shared" si="1"/>
        <v>100</v>
      </c>
      <c r="V13" s="1568" t="s">
        <v>8</v>
      </c>
      <c r="W13" s="1569">
        <f t="shared" si="2"/>
        <v>100</v>
      </c>
      <c r="X13" s="1570"/>
      <c r="Y13" s="3827"/>
      <c r="Z13" s="1150">
        <f t="shared" si="7"/>
        <v>111</v>
      </c>
      <c r="AA13" s="1571">
        <f t="shared" si="3"/>
        <v>1</v>
      </c>
      <c r="AB13" s="1571">
        <f t="shared" si="4"/>
        <v>1</v>
      </c>
      <c r="AC13" s="1571">
        <f t="shared" si="5"/>
        <v>1</v>
      </c>
    </row>
    <row r="14" spans="1:29" ht="15.6"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830"/>
      <c r="Q14" s="1151">
        <f t="shared" si="6"/>
        <v>111</v>
      </c>
      <c r="R14" s="1568" t="s">
        <v>8</v>
      </c>
      <c r="S14" s="1569">
        <f t="shared" si="0"/>
        <v>100</v>
      </c>
      <c r="T14" s="1568" t="s">
        <v>8</v>
      </c>
      <c r="U14" s="1569">
        <f t="shared" si="1"/>
        <v>100</v>
      </c>
      <c r="V14" s="1568" t="s">
        <v>8</v>
      </c>
      <c r="W14" s="1569">
        <f t="shared" si="2"/>
        <v>100</v>
      </c>
      <c r="X14" s="1570"/>
      <c r="Y14" s="3827"/>
      <c r="Z14" s="1150">
        <f t="shared" si="7"/>
        <v>111</v>
      </c>
      <c r="AA14" s="1571">
        <f t="shared" si="3"/>
        <v>1</v>
      </c>
      <c r="AB14" s="1571">
        <f t="shared" si="4"/>
        <v>1</v>
      </c>
      <c r="AC14" s="1571">
        <f t="shared" si="5"/>
        <v>1</v>
      </c>
    </row>
    <row r="15" spans="1:29" ht="82.8">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832" t="s">
        <v>539</v>
      </c>
      <c r="Q15" s="1572" t="str">
        <f t="shared" si="6"/>
        <v>办公集聚程度</v>
      </c>
      <c r="R15" s="1573" t="s">
        <v>8</v>
      </c>
      <c r="S15" s="1574">
        <f t="shared" si="0"/>
        <v>100</v>
      </c>
      <c r="T15" s="1573" t="s">
        <v>8</v>
      </c>
      <c r="U15" s="1574">
        <f t="shared" si="1"/>
        <v>100</v>
      </c>
      <c r="V15" s="1573" t="s">
        <v>8</v>
      </c>
      <c r="W15" s="1574">
        <f t="shared" si="2"/>
        <v>100</v>
      </c>
      <c r="X15" s="1567"/>
      <c r="Y15" s="3832"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833"/>
      <c r="Q16" s="1572"/>
      <c r="R16" s="1573"/>
      <c r="S16" s="1574"/>
      <c r="T16" s="1573"/>
      <c r="U16" s="1574"/>
      <c r="V16" s="1573"/>
      <c r="W16" s="1574"/>
      <c r="X16" s="1567"/>
      <c r="Y16" s="3833"/>
      <c r="Z16" s="1575"/>
      <c r="AA16" s="1576">
        <v>1</v>
      </c>
      <c r="AB16" s="1576">
        <v>1</v>
      </c>
      <c r="AC16" s="1576">
        <v>1</v>
      </c>
    </row>
    <row r="17" spans="1:29" ht="96.6">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833"/>
      <c r="Q17" s="1572" t="str">
        <f>B17</f>
        <v>交通便捷度</v>
      </c>
      <c r="R17" s="1573" t="s">
        <v>8</v>
      </c>
      <c r="S17" s="1574">
        <f>F17</f>
        <v>100</v>
      </c>
      <c r="T17" s="1573" t="s">
        <v>8</v>
      </c>
      <c r="U17" s="1574">
        <f>H17</f>
        <v>100</v>
      </c>
      <c r="V17" s="1573" t="s">
        <v>8</v>
      </c>
      <c r="W17" s="1574">
        <f>J17</f>
        <v>100</v>
      </c>
      <c r="X17" s="1567"/>
      <c r="Y17" s="383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833"/>
      <c r="Q18" s="1572"/>
      <c r="R18" s="1573"/>
      <c r="S18" s="1574"/>
      <c r="T18" s="1573"/>
      <c r="U18" s="1574"/>
      <c r="V18" s="1573"/>
      <c r="W18" s="1574"/>
      <c r="X18" s="1567"/>
      <c r="Y18" s="3833"/>
      <c r="Z18" s="1575"/>
      <c r="AA18" s="1576">
        <v>1</v>
      </c>
      <c r="AB18" s="1576">
        <v>1</v>
      </c>
      <c r="AC18" s="1576">
        <v>1</v>
      </c>
    </row>
    <row r="19" spans="1:29" ht="41.4">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833"/>
      <c r="Q19" s="1572" t="str">
        <f>B19</f>
        <v>公共配套设施</v>
      </c>
      <c r="R19" s="1573" t="s">
        <v>8</v>
      </c>
      <c r="S19" s="1574">
        <f>F19</f>
        <v>100</v>
      </c>
      <c r="T19" s="1573" t="s">
        <v>8</v>
      </c>
      <c r="U19" s="1574">
        <f>H19</f>
        <v>100</v>
      </c>
      <c r="V19" s="1573" t="s">
        <v>8</v>
      </c>
      <c r="W19" s="1574">
        <f>J19</f>
        <v>100</v>
      </c>
      <c r="X19" s="1567"/>
      <c r="Y19" s="383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833"/>
      <c r="Q20" s="1572"/>
      <c r="R20" s="1573"/>
      <c r="S20" s="1574"/>
      <c r="T20" s="1573"/>
      <c r="U20" s="1574"/>
      <c r="V20" s="1573"/>
      <c r="W20" s="1574"/>
      <c r="X20" s="1567"/>
      <c r="Y20" s="3833"/>
      <c r="Z20" s="1575"/>
      <c r="AA20" s="1576">
        <v>1</v>
      </c>
      <c r="AB20" s="1576">
        <v>1</v>
      </c>
      <c r="AC20" s="1576">
        <v>1</v>
      </c>
    </row>
    <row r="21" spans="1:29" ht="41.4">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833"/>
      <c r="Q21" s="2604" t="str">
        <f>B21</f>
        <v>基础设施水平</v>
      </c>
      <c r="R21" s="1573" t="s">
        <v>8</v>
      </c>
      <c r="S21" s="1574">
        <f>F21</f>
        <v>100</v>
      </c>
      <c r="T21" s="1573" t="s">
        <v>8</v>
      </c>
      <c r="U21" s="1574">
        <f>H21</f>
        <v>100</v>
      </c>
      <c r="V21" s="1573" t="s">
        <v>8</v>
      </c>
      <c r="W21" s="1574">
        <f>J21</f>
        <v>100</v>
      </c>
      <c r="X21" s="2606"/>
      <c r="Y21" s="383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833"/>
      <c r="Q22" s="2604"/>
      <c r="R22" s="1573"/>
      <c r="S22" s="1574"/>
      <c r="T22" s="1573"/>
      <c r="U22" s="1574"/>
      <c r="V22" s="1573"/>
      <c r="W22" s="1574"/>
      <c r="X22" s="2606"/>
      <c r="Y22" s="3833"/>
      <c r="Z22" s="2605"/>
      <c r="AA22" s="1576">
        <v>1</v>
      </c>
      <c r="AB22" s="1576">
        <v>1</v>
      </c>
      <c r="AC22" s="1576">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833"/>
      <c r="Q23" s="1572" t="str">
        <f>B23</f>
        <v>环境质量</v>
      </c>
      <c r="R23" s="1573" t="s">
        <v>8</v>
      </c>
      <c r="S23" s="1574">
        <f>F23</f>
        <v>100</v>
      </c>
      <c r="T23" s="1573" t="s">
        <v>8</v>
      </c>
      <c r="U23" s="1574">
        <f>H23</f>
        <v>100</v>
      </c>
      <c r="V23" s="1573" t="s">
        <v>8</v>
      </c>
      <c r="W23" s="1574">
        <f>J23</f>
        <v>100</v>
      </c>
      <c r="X23" s="1567"/>
      <c r="Y23" s="383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833"/>
      <c r="Q24" s="1572"/>
      <c r="R24" s="1573"/>
      <c r="S24" s="1574"/>
      <c r="T24" s="1573"/>
      <c r="U24" s="1574"/>
      <c r="V24" s="1573"/>
      <c r="W24" s="1574"/>
      <c r="X24" s="1567"/>
      <c r="Y24" s="3833"/>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833"/>
      <c r="Q25" s="1572" t="str">
        <f>B25</f>
        <v>毗邻道路的类型与等级</v>
      </c>
      <c r="R25" s="1573" t="s">
        <v>8</v>
      </c>
      <c r="S25" s="1574">
        <f>F25</f>
        <v>100</v>
      </c>
      <c r="T25" s="1573" t="s">
        <v>8</v>
      </c>
      <c r="U25" s="1574">
        <f>H25</f>
        <v>100</v>
      </c>
      <c r="V25" s="1573" t="s">
        <v>8</v>
      </c>
      <c r="W25" s="1574">
        <f>J25</f>
        <v>100</v>
      </c>
      <c r="X25" s="1567"/>
      <c r="Y25" s="383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833"/>
      <c r="Q26" s="1572"/>
      <c r="R26" s="1573"/>
      <c r="S26" s="1574"/>
      <c r="T26" s="1573"/>
      <c r="U26" s="1574"/>
      <c r="V26" s="1573"/>
      <c r="W26" s="1574"/>
      <c r="X26" s="1567"/>
      <c r="Y26" s="3833"/>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833"/>
      <c r="Q27" s="1572" t="str">
        <f t="shared" ref="Q27:Q47" si="11">B27</f>
        <v>楼层</v>
      </c>
      <c r="R27" s="1573" t="s">
        <v>8</v>
      </c>
      <c r="S27" s="1574">
        <f>F27</f>
        <v>100</v>
      </c>
      <c r="T27" s="1573" t="s">
        <v>8</v>
      </c>
      <c r="U27" s="1574">
        <f>H27</f>
        <v>100</v>
      </c>
      <c r="V27" s="1573" t="s">
        <v>8</v>
      </c>
      <c r="W27" s="1574">
        <f>J27</f>
        <v>100</v>
      </c>
      <c r="X27" s="1567"/>
      <c r="Y27" s="3833"/>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833"/>
      <c r="Q28" s="1151" t="str">
        <f t="shared" si="11"/>
        <v>朝向</v>
      </c>
      <c r="R28" s="1568" t="s">
        <v>8</v>
      </c>
      <c r="S28" s="1569">
        <f>F28</f>
        <v>100</v>
      </c>
      <c r="T28" s="1568" t="s">
        <v>8</v>
      </c>
      <c r="U28" s="1569">
        <f>H28</f>
        <v>100</v>
      </c>
      <c r="V28" s="1568" t="s">
        <v>8</v>
      </c>
      <c r="W28" s="1569">
        <f>J28</f>
        <v>100</v>
      </c>
      <c r="X28" s="1570"/>
      <c r="Y28" s="383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833"/>
      <c r="Q29" s="1572">
        <f t="shared" si="11"/>
        <v>111</v>
      </c>
      <c r="R29" s="1573" t="s">
        <v>8</v>
      </c>
      <c r="S29" s="1574">
        <f t="shared" ref="S29:S47" si="12">F29</f>
        <v>100</v>
      </c>
      <c r="T29" s="1573" t="s">
        <v>8</v>
      </c>
      <c r="U29" s="1574">
        <f t="shared" ref="U29:U47" si="13">H29</f>
        <v>100</v>
      </c>
      <c r="V29" s="1573" t="s">
        <v>8</v>
      </c>
      <c r="W29" s="1574">
        <f t="shared" ref="W29:W47" si="14">J29</f>
        <v>100</v>
      </c>
      <c r="X29" s="1567"/>
      <c r="Y29" s="383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833"/>
      <c r="Q30" s="1572">
        <f t="shared" si="11"/>
        <v>111</v>
      </c>
      <c r="R30" s="1573" t="s">
        <v>8</v>
      </c>
      <c r="S30" s="1574">
        <f t="shared" si="12"/>
        <v>100</v>
      </c>
      <c r="T30" s="1573" t="s">
        <v>8</v>
      </c>
      <c r="U30" s="1574">
        <f t="shared" si="13"/>
        <v>100</v>
      </c>
      <c r="V30" s="1573" t="s">
        <v>8</v>
      </c>
      <c r="W30" s="1574">
        <f t="shared" si="14"/>
        <v>100</v>
      </c>
      <c r="X30" s="1567"/>
      <c r="Y30" s="383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833"/>
      <c r="Q31" s="1572">
        <f t="shared" si="11"/>
        <v>111</v>
      </c>
      <c r="R31" s="1573" t="s">
        <v>8</v>
      </c>
      <c r="S31" s="1574">
        <f t="shared" si="12"/>
        <v>100</v>
      </c>
      <c r="T31" s="1573" t="s">
        <v>8</v>
      </c>
      <c r="U31" s="1574">
        <f t="shared" si="13"/>
        <v>100</v>
      </c>
      <c r="V31" s="1573" t="s">
        <v>8</v>
      </c>
      <c r="W31" s="1574">
        <f t="shared" si="14"/>
        <v>100</v>
      </c>
      <c r="X31" s="1567"/>
      <c r="Y31" s="3833"/>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833"/>
      <c r="Q32" s="1572">
        <f t="shared" si="11"/>
        <v>111</v>
      </c>
      <c r="R32" s="1573" t="s">
        <v>8</v>
      </c>
      <c r="S32" s="1574">
        <f t="shared" si="12"/>
        <v>100</v>
      </c>
      <c r="T32" s="1573" t="s">
        <v>8</v>
      </c>
      <c r="U32" s="1574">
        <f t="shared" si="13"/>
        <v>100</v>
      </c>
      <c r="V32" s="1573" t="s">
        <v>8</v>
      </c>
      <c r="W32" s="1574">
        <f t="shared" si="14"/>
        <v>100</v>
      </c>
      <c r="X32" s="1567"/>
      <c r="Y32" s="3833"/>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834" t="s">
        <v>549</v>
      </c>
      <c r="Q33" s="1572" t="str">
        <f t="shared" si="11"/>
        <v>建筑类型</v>
      </c>
      <c r="R33" s="1573" t="s">
        <v>8</v>
      </c>
      <c r="S33" s="1574">
        <f t="shared" si="12"/>
        <v>100</v>
      </c>
      <c r="T33" s="1573" t="s">
        <v>8</v>
      </c>
      <c r="U33" s="1574">
        <f t="shared" si="13"/>
        <v>100</v>
      </c>
      <c r="V33" s="1573" t="s">
        <v>8</v>
      </c>
      <c r="W33" s="1574">
        <f t="shared" si="14"/>
        <v>100</v>
      </c>
      <c r="X33" s="1567"/>
      <c r="Y33" s="3835"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835"/>
      <c r="Q34" s="1605" t="str">
        <f t="shared" si="11"/>
        <v>项目建筑规模</v>
      </c>
      <c r="R34" s="1577" t="s">
        <v>8</v>
      </c>
      <c r="S34" s="1578" t="e">
        <f t="shared" si="12"/>
        <v>#N/A</v>
      </c>
      <c r="T34" s="1577" t="s">
        <v>8</v>
      </c>
      <c r="U34" s="1578" t="e">
        <f t="shared" si="13"/>
        <v>#N/A</v>
      </c>
      <c r="V34" s="1577" t="s">
        <v>8</v>
      </c>
      <c r="W34" s="1578" t="e">
        <f t="shared" si="14"/>
        <v>#N/A</v>
      </c>
      <c r="X34" s="1579"/>
      <c r="Y34" s="3835"/>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835"/>
      <c r="Q35" s="1572" t="str">
        <f t="shared" si="11"/>
        <v>建筑结构</v>
      </c>
      <c r="R35" s="1573" t="s">
        <v>8</v>
      </c>
      <c r="S35" s="1574">
        <f t="shared" si="12"/>
        <v>100</v>
      </c>
      <c r="T35" s="1573" t="s">
        <v>8</v>
      </c>
      <c r="U35" s="1574">
        <f t="shared" si="13"/>
        <v>100</v>
      </c>
      <c r="V35" s="1573" t="s">
        <v>8</v>
      </c>
      <c r="W35" s="1574">
        <f t="shared" si="14"/>
        <v>100</v>
      </c>
      <c r="X35" s="1567"/>
      <c r="Y35" s="3835"/>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835"/>
      <c r="Q36" s="1572" t="str">
        <f t="shared" si="11"/>
        <v>公共部分装修</v>
      </c>
      <c r="R36" s="1573" t="s">
        <v>8</v>
      </c>
      <c r="S36" s="1574">
        <f t="shared" si="12"/>
        <v>100</v>
      </c>
      <c r="T36" s="1573" t="s">
        <v>8</v>
      </c>
      <c r="U36" s="1574">
        <f t="shared" si="13"/>
        <v>100</v>
      </c>
      <c r="V36" s="1573" t="s">
        <v>8</v>
      </c>
      <c r="W36" s="1574">
        <f t="shared" si="14"/>
        <v>100</v>
      </c>
      <c r="X36" s="1567"/>
      <c r="Y36" s="3835"/>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835"/>
      <c r="Q37" s="1572" t="str">
        <f t="shared" si="11"/>
        <v>成新度</v>
      </c>
      <c r="R37" s="1573" t="s">
        <v>8</v>
      </c>
      <c r="S37" s="1574" t="e">
        <f t="shared" si="12"/>
        <v>#N/A</v>
      </c>
      <c r="T37" s="1573" t="s">
        <v>8</v>
      </c>
      <c r="U37" s="1574" t="e">
        <f t="shared" si="13"/>
        <v>#N/A</v>
      </c>
      <c r="V37" s="1573" t="s">
        <v>8</v>
      </c>
      <c r="W37" s="1574" t="e">
        <f t="shared" si="14"/>
        <v>#N/A</v>
      </c>
      <c r="X37" s="1567"/>
      <c r="Y37" s="3835"/>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835"/>
      <c r="Q38" s="1151" t="str">
        <f t="shared" si="11"/>
        <v>写字楼等级</v>
      </c>
      <c r="R38" s="1568" t="s">
        <v>8</v>
      </c>
      <c r="S38" s="1569">
        <f t="shared" si="12"/>
        <v>100</v>
      </c>
      <c r="T38" s="1568" t="s">
        <v>8</v>
      </c>
      <c r="U38" s="1569">
        <f t="shared" si="13"/>
        <v>100</v>
      </c>
      <c r="V38" s="1568" t="s">
        <v>8</v>
      </c>
      <c r="W38" s="1569">
        <f t="shared" si="14"/>
        <v>100</v>
      </c>
      <c r="X38" s="1570"/>
      <c r="Y38" s="3835"/>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835" t="s">
        <v>549</v>
      </c>
      <c r="Q39" s="1572" t="str">
        <f t="shared" si="11"/>
        <v>物业管理</v>
      </c>
      <c r="R39" s="1573" t="s">
        <v>8</v>
      </c>
      <c r="S39" s="1574">
        <f t="shared" si="12"/>
        <v>100</v>
      </c>
      <c r="T39" s="1573" t="s">
        <v>8</v>
      </c>
      <c r="U39" s="1574">
        <f t="shared" si="13"/>
        <v>100</v>
      </c>
      <c r="V39" s="1573" t="s">
        <v>8</v>
      </c>
      <c r="W39" s="1574">
        <f t="shared" si="14"/>
        <v>100</v>
      </c>
      <c r="X39" s="1567"/>
      <c r="Y39" s="3835"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835"/>
      <c r="Q40" s="1572" t="str">
        <f t="shared" si="11"/>
        <v>市政基础设施</v>
      </c>
      <c r="R40" s="1573" t="s">
        <v>8</v>
      </c>
      <c r="S40" s="1574">
        <f t="shared" si="12"/>
        <v>100</v>
      </c>
      <c r="T40" s="1573" t="s">
        <v>8</v>
      </c>
      <c r="U40" s="1574">
        <f t="shared" si="13"/>
        <v>100</v>
      </c>
      <c r="V40" s="1573" t="s">
        <v>8</v>
      </c>
      <c r="W40" s="1574">
        <f t="shared" si="14"/>
        <v>100</v>
      </c>
      <c r="X40" s="1567"/>
      <c r="Y40" s="3835"/>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835"/>
      <c r="Q41" s="1572" t="str">
        <f t="shared" si="11"/>
        <v>层高</v>
      </c>
      <c r="R41" s="1573" t="s">
        <v>8</v>
      </c>
      <c r="S41" s="1574">
        <f t="shared" si="12"/>
        <v>100</v>
      </c>
      <c r="T41" s="1573" t="s">
        <v>8</v>
      </c>
      <c r="U41" s="1574">
        <f t="shared" si="13"/>
        <v>100</v>
      </c>
      <c r="V41" s="1573" t="s">
        <v>8</v>
      </c>
      <c r="W41" s="1574">
        <f t="shared" si="14"/>
        <v>100</v>
      </c>
      <c r="X41" s="1567"/>
      <c r="Y41" s="3835"/>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835"/>
      <c r="Q42" s="1605" t="str">
        <f t="shared" si="11"/>
        <v>单套建筑面积</v>
      </c>
      <c r="R42" s="1577" t="s">
        <v>8</v>
      </c>
      <c r="S42" s="1578">
        <f t="shared" si="12"/>
        <v>100</v>
      </c>
      <c r="T42" s="1577" t="s">
        <v>8</v>
      </c>
      <c r="U42" s="1578">
        <f t="shared" si="13"/>
        <v>100</v>
      </c>
      <c r="V42" s="1577" t="s">
        <v>8</v>
      </c>
      <c r="W42" s="1578">
        <f t="shared" si="14"/>
        <v>100</v>
      </c>
      <c r="X42" s="1579"/>
      <c r="Y42" s="3835"/>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835"/>
      <c r="Q43" s="1572" t="str">
        <f t="shared" si="11"/>
        <v>内部装修</v>
      </c>
      <c r="R43" s="1573" t="s">
        <v>8</v>
      </c>
      <c r="S43" s="1574">
        <f t="shared" si="12"/>
        <v>100</v>
      </c>
      <c r="T43" s="1573" t="s">
        <v>8</v>
      </c>
      <c r="U43" s="1574">
        <f t="shared" si="13"/>
        <v>100</v>
      </c>
      <c r="V43" s="1573" t="s">
        <v>8</v>
      </c>
      <c r="W43" s="1574">
        <f t="shared" si="14"/>
        <v>100</v>
      </c>
      <c r="X43" s="1567"/>
      <c r="Y43" s="3835"/>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835"/>
      <c r="Q44" s="1572" t="str">
        <f t="shared" si="11"/>
        <v>内部装修维护情况</v>
      </c>
      <c r="R44" s="1573" t="s">
        <v>8</v>
      </c>
      <c r="S44" s="1574">
        <f t="shared" si="12"/>
        <v>100</v>
      </c>
      <c r="T44" s="1573" t="s">
        <v>8</v>
      </c>
      <c r="U44" s="1574">
        <f t="shared" si="13"/>
        <v>100</v>
      </c>
      <c r="V44" s="1573" t="s">
        <v>8</v>
      </c>
      <c r="W44" s="1574">
        <f t="shared" si="14"/>
        <v>100</v>
      </c>
      <c r="X44" s="1567"/>
      <c r="Y44" s="383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835"/>
      <c r="Q45" s="1151">
        <f t="shared" si="11"/>
        <v>111</v>
      </c>
      <c r="R45" s="1568" t="s">
        <v>8</v>
      </c>
      <c r="S45" s="1569">
        <f t="shared" si="12"/>
        <v>100</v>
      </c>
      <c r="T45" s="1568" t="s">
        <v>8</v>
      </c>
      <c r="U45" s="1569">
        <f t="shared" si="13"/>
        <v>100</v>
      </c>
      <c r="V45" s="1568" t="s">
        <v>8</v>
      </c>
      <c r="W45" s="1569">
        <f t="shared" si="14"/>
        <v>100</v>
      </c>
      <c r="X45" s="1570"/>
      <c r="Y45" s="383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835"/>
      <c r="Q46" s="1572">
        <f t="shared" si="11"/>
        <v>111</v>
      </c>
      <c r="R46" s="1573" t="s">
        <v>8</v>
      </c>
      <c r="S46" s="1574">
        <f t="shared" si="12"/>
        <v>100</v>
      </c>
      <c r="T46" s="1573" t="s">
        <v>8</v>
      </c>
      <c r="U46" s="1574">
        <f t="shared" si="13"/>
        <v>100</v>
      </c>
      <c r="V46" s="1573" t="s">
        <v>8</v>
      </c>
      <c r="W46" s="1574">
        <f t="shared" si="14"/>
        <v>100</v>
      </c>
      <c r="X46" s="1567"/>
      <c r="Y46" s="3835"/>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4038"/>
      <c r="Q47" s="1572">
        <f t="shared" si="11"/>
        <v>111</v>
      </c>
      <c r="R47" s="1573" t="s">
        <v>8</v>
      </c>
      <c r="S47" s="1574">
        <f t="shared" si="12"/>
        <v>100</v>
      </c>
      <c r="T47" s="1573" t="s">
        <v>8</v>
      </c>
      <c r="U47" s="1574">
        <f t="shared" si="13"/>
        <v>100</v>
      </c>
      <c r="V47" s="1573" t="s">
        <v>8</v>
      </c>
      <c r="W47" s="1574">
        <f t="shared" si="14"/>
        <v>100</v>
      </c>
      <c r="X47" s="1567"/>
      <c r="Y47" s="4038"/>
      <c r="Z47" s="1575">
        <f t="shared" si="15"/>
        <v>111</v>
      </c>
      <c r="AA47" s="1576">
        <f t="shared" si="3"/>
        <v>1</v>
      </c>
      <c r="AB47" s="1576">
        <f t="shared" si="4"/>
        <v>1</v>
      </c>
      <c r="AC47" s="1576">
        <f t="shared" si="5"/>
        <v>1</v>
      </c>
    </row>
    <row r="48" spans="1:29" ht="14.4">
      <c r="A48" s="607" t="s">
        <v>735</v>
      </c>
      <c r="B48" s="887"/>
      <c r="C48" s="2652" t="s">
        <v>1</v>
      </c>
      <c r="D48" s="2653"/>
      <c r="E48" s="2654"/>
      <c r="F48" s="2655"/>
      <c r="G48" s="2656"/>
      <c r="H48" s="2657"/>
      <c r="I48" s="2654"/>
      <c r="J48" s="2657"/>
      <c r="K48" s="1611"/>
      <c r="L48" s="2145"/>
      <c r="M48" s="2135"/>
      <c r="N48" s="2135"/>
      <c r="O48" s="2135"/>
      <c r="P48" s="3852" t="str">
        <f>A48</f>
        <v>成交单价（元/平方米）</v>
      </c>
      <c r="Q48" s="3830"/>
      <c r="R48" s="4037">
        <f>E48</f>
        <v>0</v>
      </c>
      <c r="S48" s="4037"/>
      <c r="T48" s="4037">
        <f>G48</f>
        <v>0</v>
      </c>
      <c r="U48" s="4037"/>
      <c r="V48" s="4037">
        <f>I48</f>
        <v>0</v>
      </c>
      <c r="W48" s="4037"/>
      <c r="X48" s="1559"/>
      <c r="Y48" s="1581"/>
      <c r="Z48" s="1559"/>
      <c r="AA48" s="1559"/>
      <c r="AB48" s="1559"/>
      <c r="AC48" s="1559"/>
    </row>
    <row r="49" spans="1:29" ht="1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852" t="str">
        <f>A49</f>
        <v>比较价格（元/平方米）</v>
      </c>
      <c r="Q49" s="3830"/>
      <c r="R49" s="4037" t="e">
        <f>IF(F1="售价",ROUND(PRODUCT(R48,AA7:AA47),0),ROUND(PRODUCT(R48,AA7:AA47),1))</f>
        <v>#DIV/0!</v>
      </c>
      <c r="S49" s="4037"/>
      <c r="T49" s="4037" t="e">
        <f>IF(F1="售价",ROUND(PRODUCT(T48,AB7:AB47),0),ROUND(PRODUCT(T48,AB7:AB47),1))</f>
        <v>#DIV/0!</v>
      </c>
      <c r="U49" s="4037"/>
      <c r="V49" s="4037" t="e">
        <f>IF(F1="售价",ROUND(PRODUCT(V48,AC7:AC47),0),ROUND(PRODUCT(V48,AC7:AC47),1))</f>
        <v>#DIV/0!</v>
      </c>
      <c r="W49" s="4037"/>
      <c r="X49" s="1559"/>
      <c r="Y49" s="1559"/>
      <c r="Z49" s="1559"/>
      <c r="AA49" s="1559"/>
      <c r="AB49" s="1559"/>
      <c r="AC49" s="1559"/>
    </row>
    <row r="50" spans="1:29" ht="15" thickBot="1">
      <c r="A50" s="621" t="s">
        <v>2935</v>
      </c>
      <c r="B50" s="622"/>
      <c r="C50" s="2661" t="e">
        <f>R50</f>
        <v>#DIV/0!</v>
      </c>
      <c r="D50" s="2661"/>
      <c r="E50" s="2661"/>
      <c r="F50" s="2661"/>
      <c r="G50" s="2661"/>
      <c r="H50" s="2661"/>
      <c r="I50" s="2661"/>
      <c r="J50" s="2661"/>
      <c r="K50" s="1613"/>
      <c r="L50" s="2145"/>
      <c r="M50" s="2135"/>
      <c r="N50" s="2135"/>
      <c r="O50" s="2135"/>
      <c r="P50" s="4042" t="str">
        <f>A50</f>
        <v>估价对象XX用房的比较价格（楼面单价，元/平方米）</v>
      </c>
      <c r="Q50" s="3852"/>
      <c r="R50" s="4036" t="e">
        <f>IF(F1="售价",ROUND(AVERAGE(R49:V49),0),ROUND(AVERAGE(R49:V49),1))</f>
        <v>#DIV/0!</v>
      </c>
      <c r="S50" s="4036"/>
      <c r="T50" s="4036"/>
      <c r="U50" s="4036"/>
      <c r="V50" s="4036"/>
      <c r="W50" s="403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836" t="s">
        <v>521</v>
      </c>
      <c r="D4" s="3837"/>
      <c r="E4" s="4013" t="s">
        <v>522</v>
      </c>
      <c r="F4" s="4014"/>
      <c r="G4" s="3836" t="s">
        <v>523</v>
      </c>
      <c r="H4" s="3837"/>
      <c r="I4" s="3836" t="s">
        <v>524</v>
      </c>
      <c r="J4" s="3837"/>
      <c r="K4" s="514" t="s">
        <v>525</v>
      </c>
      <c r="L4" s="2134"/>
      <c r="M4" s="2135"/>
      <c r="N4" s="2135"/>
      <c r="O4" s="2135"/>
      <c r="P4" s="3838" t="s">
        <v>526</v>
      </c>
      <c r="Q4" s="3839"/>
      <c r="R4" s="3823" t="s">
        <v>522</v>
      </c>
      <c r="S4" s="3824"/>
      <c r="T4" s="3823" t="s">
        <v>523</v>
      </c>
      <c r="U4" s="3824"/>
      <c r="V4" s="3844" t="s">
        <v>524</v>
      </c>
      <c r="W4" s="3844"/>
      <c r="X4" s="1567"/>
      <c r="Y4" s="3823" t="s">
        <v>526</v>
      </c>
      <c r="Z4" s="3824"/>
      <c r="AA4" s="3818" t="s">
        <v>522</v>
      </c>
      <c r="AB4" s="3819" t="s">
        <v>523</v>
      </c>
      <c r="AC4" s="3818" t="s">
        <v>524</v>
      </c>
    </row>
    <row r="5" spans="1:29">
      <c r="A5" s="515"/>
      <c r="B5" s="516"/>
      <c r="C5" s="3847" t="s">
        <v>2929</v>
      </c>
      <c r="D5" s="3848"/>
      <c r="E5" s="4035" t="s">
        <v>2930</v>
      </c>
      <c r="F5" s="4016"/>
      <c r="G5" s="3847" t="s">
        <v>2931</v>
      </c>
      <c r="H5" s="3848"/>
      <c r="I5" s="3847" t="s">
        <v>2932</v>
      </c>
      <c r="J5" s="3848"/>
      <c r="K5" s="514"/>
      <c r="L5" s="2134"/>
      <c r="M5" s="2135"/>
      <c r="N5" s="2135"/>
      <c r="O5" s="2135"/>
      <c r="P5" s="3840"/>
      <c r="Q5" s="3841"/>
      <c r="R5" s="3825"/>
      <c r="S5" s="3826"/>
      <c r="T5" s="3825"/>
      <c r="U5" s="3826"/>
      <c r="V5" s="3844"/>
      <c r="W5" s="3844"/>
      <c r="X5" s="1567"/>
      <c r="Y5" s="3825"/>
      <c r="Z5" s="3826"/>
      <c r="AA5" s="3819"/>
      <c r="AB5" s="3819"/>
      <c r="AC5" s="3819"/>
    </row>
    <row r="6" spans="1:29" ht="15" thickBot="1">
      <c r="A6" s="517"/>
      <c r="B6" s="518"/>
      <c r="C6" s="3845" t="s">
        <v>2933</v>
      </c>
      <c r="D6" s="3846"/>
      <c r="E6" s="4019" t="s">
        <v>2933</v>
      </c>
      <c r="F6" s="4020"/>
      <c r="G6" s="3845" t="s">
        <v>2933</v>
      </c>
      <c r="H6" s="3846"/>
      <c r="I6" s="3845" t="s">
        <v>2933</v>
      </c>
      <c r="J6" s="3846"/>
      <c r="K6" s="514" t="s">
        <v>527</v>
      </c>
      <c r="L6" s="2134"/>
      <c r="M6" s="2135"/>
      <c r="N6" s="2135"/>
      <c r="O6" s="2135"/>
      <c r="P6" s="3842"/>
      <c r="Q6" s="3843"/>
      <c r="R6" s="3825"/>
      <c r="S6" s="3826"/>
      <c r="T6" s="3828"/>
      <c r="U6" s="3829"/>
      <c r="V6" s="3844"/>
      <c r="W6" s="3844"/>
      <c r="X6" s="1567"/>
      <c r="Y6" s="3828"/>
      <c r="Z6" s="3829"/>
      <c r="AA6" s="3820"/>
      <c r="AB6" s="3820"/>
      <c r="AC6" s="3820"/>
    </row>
    <row r="7" spans="1:29" s="1220" customFormat="1" ht="1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821" t="s">
        <v>529</v>
      </c>
      <c r="Q7" s="3831"/>
      <c r="R7" s="1568" t="s">
        <v>8</v>
      </c>
      <c r="S7" s="1569">
        <f t="shared" ref="S7:S15" si="0">F7</f>
        <v>0</v>
      </c>
      <c r="T7" s="1568" t="s">
        <v>8</v>
      </c>
      <c r="U7" s="1569">
        <f t="shared" ref="U7:U15" si="1">H7</f>
        <v>0</v>
      </c>
      <c r="V7" s="1568" t="s">
        <v>8</v>
      </c>
      <c r="W7" s="1569">
        <f t="shared" ref="W7:W15"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821" t="s">
        <v>532</v>
      </c>
      <c r="Q8" s="3822"/>
      <c r="R8" s="1568" t="s">
        <v>8</v>
      </c>
      <c r="S8" s="1569">
        <f t="shared" si="0"/>
        <v>0</v>
      </c>
      <c r="T8" s="1568" t="s">
        <v>8</v>
      </c>
      <c r="U8" s="1569">
        <f t="shared" si="1"/>
        <v>0</v>
      </c>
      <c r="V8" s="1568" t="s">
        <v>8</v>
      </c>
      <c r="W8" s="1569">
        <f t="shared" si="2"/>
        <v>0</v>
      </c>
      <c r="X8" s="1570"/>
      <c r="Y8" s="3821" t="s">
        <v>532</v>
      </c>
      <c r="Z8" s="3822"/>
      <c r="AA8" s="1571" t="e">
        <f t="shared" ref="AA8:AA40" si="3">D8/F8</f>
        <v>#DIV/0!</v>
      </c>
      <c r="AB8" s="1571" t="e">
        <f t="shared" ref="AB8:AB40" si="4">D8/H8</f>
        <v>#DIV/0!</v>
      </c>
      <c r="AC8" s="1571" t="e">
        <f t="shared" ref="AC8:AC40" si="5">D8/J8</f>
        <v>#DIV/0!</v>
      </c>
    </row>
    <row r="9" spans="1:29" s="1220" customFormat="1" ht="14.4">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830" t="s">
        <v>534</v>
      </c>
      <c r="Q9" s="1151" t="str">
        <f t="shared" ref="Q9:Q15" si="6">B9</f>
        <v>用途</v>
      </c>
      <c r="R9" s="1568" t="s">
        <v>8</v>
      </c>
      <c r="S9" s="1569">
        <f t="shared" si="0"/>
        <v>100</v>
      </c>
      <c r="T9" s="1568" t="s">
        <v>8</v>
      </c>
      <c r="U9" s="1569">
        <f t="shared" si="1"/>
        <v>100</v>
      </c>
      <c r="V9" s="1568" t="s">
        <v>8</v>
      </c>
      <c r="W9" s="1569">
        <f t="shared" si="2"/>
        <v>100</v>
      </c>
      <c r="X9" s="1570"/>
      <c r="Y9" s="3827"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830"/>
      <c r="Q11" s="1151" t="str">
        <f t="shared" si="6"/>
        <v>容积率</v>
      </c>
      <c r="R11" s="1568" t="s">
        <v>8</v>
      </c>
      <c r="S11" s="1569" t="e">
        <f t="shared" si="0"/>
        <v>#N/A</v>
      </c>
      <c r="T11" s="1568" t="s">
        <v>8</v>
      </c>
      <c r="U11" s="1569" t="e">
        <f t="shared" si="1"/>
        <v>#N/A</v>
      </c>
      <c r="V11" s="1568" t="s">
        <v>8</v>
      </c>
      <c r="W11" s="1569" t="e">
        <f t="shared" si="2"/>
        <v>#N/A</v>
      </c>
      <c r="X11" s="1570"/>
      <c r="Y11" s="3827"/>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830"/>
      <c r="Q12" s="1151">
        <f t="shared" si="6"/>
        <v>111</v>
      </c>
      <c r="R12" s="1568" t="s">
        <v>8</v>
      </c>
      <c r="S12" s="1569">
        <f t="shared" si="0"/>
        <v>100</v>
      </c>
      <c r="T12" s="1568" t="s">
        <v>8</v>
      </c>
      <c r="U12" s="1569">
        <f t="shared" si="1"/>
        <v>100</v>
      </c>
      <c r="V12" s="1568" t="s">
        <v>8</v>
      </c>
      <c r="W12" s="1569">
        <f t="shared" si="2"/>
        <v>100</v>
      </c>
      <c r="X12" s="1570"/>
      <c r="Y12" s="3827"/>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830"/>
      <c r="Q13" s="1151">
        <f t="shared" si="6"/>
        <v>111</v>
      </c>
      <c r="R13" s="1568" t="s">
        <v>8</v>
      </c>
      <c r="S13" s="1569">
        <f t="shared" si="0"/>
        <v>100</v>
      </c>
      <c r="T13" s="1568" t="s">
        <v>8</v>
      </c>
      <c r="U13" s="1569">
        <f t="shared" si="1"/>
        <v>100</v>
      </c>
      <c r="V13" s="1568" t="s">
        <v>8</v>
      </c>
      <c r="W13" s="1569">
        <f t="shared" si="2"/>
        <v>100</v>
      </c>
      <c r="X13" s="1570"/>
      <c r="Y13" s="3827"/>
      <c r="Z13" s="1150">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830"/>
      <c r="Q14" s="1151">
        <f t="shared" si="6"/>
        <v>111</v>
      </c>
      <c r="R14" s="1568" t="s">
        <v>8</v>
      </c>
      <c r="S14" s="1569">
        <f t="shared" si="0"/>
        <v>100</v>
      </c>
      <c r="T14" s="1568" t="s">
        <v>8</v>
      </c>
      <c r="U14" s="1569">
        <f t="shared" si="1"/>
        <v>100</v>
      </c>
      <c r="V14" s="1568" t="s">
        <v>8</v>
      </c>
      <c r="W14" s="1569">
        <f t="shared" si="2"/>
        <v>100</v>
      </c>
      <c r="X14" s="1570"/>
      <c r="Y14" s="3827"/>
      <c r="Z14" s="1150">
        <f t="shared" si="7"/>
        <v>111</v>
      </c>
      <c r="AA14" s="1571">
        <f t="shared" si="3"/>
        <v>1</v>
      </c>
      <c r="AB14" s="1571">
        <f t="shared" si="4"/>
        <v>1</v>
      </c>
      <c r="AC14" s="1571">
        <f t="shared" si="5"/>
        <v>1</v>
      </c>
    </row>
    <row r="15" spans="1:29" ht="69">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832" t="s">
        <v>539</v>
      </c>
      <c r="Q15" s="1572" t="str">
        <f t="shared" si="6"/>
        <v>产业集聚程度</v>
      </c>
      <c r="R15" s="1573" t="s">
        <v>8</v>
      </c>
      <c r="S15" s="1574">
        <f t="shared" si="0"/>
        <v>100</v>
      </c>
      <c r="T15" s="1573" t="s">
        <v>8</v>
      </c>
      <c r="U15" s="1574">
        <f t="shared" si="1"/>
        <v>100</v>
      </c>
      <c r="V15" s="1573" t="s">
        <v>8</v>
      </c>
      <c r="W15" s="1574">
        <f t="shared" si="2"/>
        <v>100</v>
      </c>
      <c r="X15" s="1567"/>
      <c r="Y15" s="3832"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833"/>
      <c r="Q16" s="1572"/>
      <c r="R16" s="1573"/>
      <c r="S16" s="1574"/>
      <c r="T16" s="1573"/>
      <c r="U16" s="1574"/>
      <c r="V16" s="1573"/>
      <c r="W16" s="1574"/>
      <c r="X16" s="1567"/>
      <c r="Y16" s="3833"/>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833"/>
      <c r="Q17" s="1572" t="str">
        <f>B17</f>
        <v>交通便捷度</v>
      </c>
      <c r="R17" s="1573" t="s">
        <v>8</v>
      </c>
      <c r="S17" s="1574">
        <f>F17</f>
        <v>100</v>
      </c>
      <c r="T17" s="1573" t="s">
        <v>8</v>
      </c>
      <c r="U17" s="1574">
        <f>H17</f>
        <v>100</v>
      </c>
      <c r="V17" s="1573" t="s">
        <v>8</v>
      </c>
      <c r="W17" s="1574">
        <f>J17</f>
        <v>100</v>
      </c>
      <c r="X17" s="1567"/>
      <c r="Y17" s="383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833"/>
      <c r="Q18" s="1572"/>
      <c r="R18" s="1573"/>
      <c r="S18" s="1574"/>
      <c r="T18" s="1573"/>
      <c r="U18" s="1574"/>
      <c r="V18" s="1573"/>
      <c r="W18" s="1574"/>
      <c r="X18" s="1567"/>
      <c r="Y18" s="3833"/>
      <c r="Z18" s="1575"/>
      <c r="AA18" s="1576">
        <v>1</v>
      </c>
      <c r="AB18" s="1576">
        <v>1</v>
      </c>
      <c r="AC18" s="1576">
        <v>1</v>
      </c>
    </row>
    <row r="19" spans="1:29" ht="55.2">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833"/>
      <c r="Q19" s="1572" t="str">
        <f>B19</f>
        <v>公共配套设施</v>
      </c>
      <c r="R19" s="1573" t="s">
        <v>8</v>
      </c>
      <c r="S19" s="1574">
        <f>F19</f>
        <v>100</v>
      </c>
      <c r="T19" s="1573" t="s">
        <v>8</v>
      </c>
      <c r="U19" s="1574">
        <f>H19</f>
        <v>100</v>
      </c>
      <c r="V19" s="1573" t="s">
        <v>8</v>
      </c>
      <c r="W19" s="1574">
        <f>J19</f>
        <v>100</v>
      </c>
      <c r="X19" s="1567"/>
      <c r="Y19" s="383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833"/>
      <c r="Q20" s="1572"/>
      <c r="R20" s="1573"/>
      <c r="S20" s="1574"/>
      <c r="T20" s="1573"/>
      <c r="U20" s="1574"/>
      <c r="V20" s="1573"/>
      <c r="W20" s="1574"/>
      <c r="X20" s="1567"/>
      <c r="Y20" s="3833"/>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833"/>
      <c r="Q21" s="2604" t="str">
        <f>B21</f>
        <v>基础设施水平</v>
      </c>
      <c r="R21" s="1573" t="s">
        <v>8</v>
      </c>
      <c r="S21" s="1574">
        <f>F21</f>
        <v>100</v>
      </c>
      <c r="T21" s="1573" t="s">
        <v>8</v>
      </c>
      <c r="U21" s="1574">
        <f>H21</f>
        <v>100</v>
      </c>
      <c r="V21" s="1573" t="s">
        <v>8</v>
      </c>
      <c r="W21" s="1574">
        <f>J21</f>
        <v>100</v>
      </c>
      <c r="X21" s="2606"/>
      <c r="Y21" s="383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833"/>
      <c r="Q22" s="2604"/>
      <c r="R22" s="1573"/>
      <c r="S22" s="1574"/>
      <c r="T22" s="1573"/>
      <c r="U22" s="1574"/>
      <c r="V22" s="1573"/>
      <c r="W22" s="1574"/>
      <c r="X22" s="2606"/>
      <c r="Y22" s="3833"/>
      <c r="Z22" s="2605"/>
      <c r="AA22" s="1576">
        <v>1</v>
      </c>
      <c r="AB22" s="1576">
        <v>1</v>
      </c>
      <c r="AC22" s="1576">
        <v>1</v>
      </c>
    </row>
    <row r="23" spans="1:29" ht="82.8">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833"/>
      <c r="Q23" s="1572" t="str">
        <f>B23</f>
        <v>环境质量</v>
      </c>
      <c r="R23" s="1573" t="s">
        <v>8</v>
      </c>
      <c r="S23" s="1574">
        <f>F23</f>
        <v>100</v>
      </c>
      <c r="T23" s="1573" t="s">
        <v>8</v>
      </c>
      <c r="U23" s="1574">
        <f>H23</f>
        <v>100</v>
      </c>
      <c r="V23" s="1573" t="s">
        <v>8</v>
      </c>
      <c r="W23" s="1574">
        <f>J23</f>
        <v>100</v>
      </c>
      <c r="X23" s="1567"/>
      <c r="Y23" s="383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833"/>
      <c r="Q24" s="1572"/>
      <c r="R24" s="1573"/>
      <c r="S24" s="1574"/>
      <c r="T24" s="1573"/>
      <c r="U24" s="1574"/>
      <c r="V24" s="1573"/>
      <c r="W24" s="1574"/>
      <c r="X24" s="1567"/>
      <c r="Y24" s="383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833"/>
      <c r="Q25" s="1572">
        <f>B25</f>
        <v>111</v>
      </c>
      <c r="R25" s="1573" t="s">
        <v>8</v>
      </c>
      <c r="S25" s="1574">
        <f>F25</f>
        <v>100</v>
      </c>
      <c r="T25" s="1573" t="s">
        <v>8</v>
      </c>
      <c r="U25" s="1574">
        <f>H25</f>
        <v>100</v>
      </c>
      <c r="V25" s="1573" t="s">
        <v>8</v>
      </c>
      <c r="W25" s="1574">
        <f>J25</f>
        <v>100</v>
      </c>
      <c r="X25" s="1567"/>
      <c r="Y25" s="383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833"/>
      <c r="Q26" s="1572">
        <f t="shared" ref="Q26:Q40" si="11">B26</f>
        <v>111</v>
      </c>
      <c r="R26" s="1573" t="s">
        <v>8</v>
      </c>
      <c r="S26" s="1574">
        <f>F26</f>
        <v>100</v>
      </c>
      <c r="T26" s="1573" t="s">
        <v>8</v>
      </c>
      <c r="U26" s="1574">
        <f>H26</f>
        <v>100</v>
      </c>
      <c r="V26" s="1573" t="s">
        <v>8</v>
      </c>
      <c r="W26" s="1574">
        <f>J26</f>
        <v>100</v>
      </c>
      <c r="X26" s="1567"/>
      <c r="Y26" s="383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833"/>
      <c r="Q27" s="1151">
        <f t="shared" si="11"/>
        <v>111</v>
      </c>
      <c r="R27" s="1568" t="s">
        <v>8</v>
      </c>
      <c r="S27" s="1569">
        <f>F27</f>
        <v>100</v>
      </c>
      <c r="T27" s="1568" t="s">
        <v>8</v>
      </c>
      <c r="U27" s="1569">
        <f>H27</f>
        <v>100</v>
      </c>
      <c r="V27" s="1568" t="s">
        <v>8</v>
      </c>
      <c r="W27" s="1569">
        <f>J27</f>
        <v>100</v>
      </c>
      <c r="X27" s="1570"/>
      <c r="Y27" s="3833"/>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833"/>
      <c r="Q28" s="1572">
        <f t="shared" si="11"/>
        <v>111</v>
      </c>
      <c r="R28" s="1573" t="s">
        <v>8</v>
      </c>
      <c r="S28" s="1574">
        <f t="shared" ref="S28:S40" si="12">F28</f>
        <v>100</v>
      </c>
      <c r="T28" s="1573" t="s">
        <v>8</v>
      </c>
      <c r="U28" s="1574">
        <f t="shared" ref="U28:U40" si="13">H28</f>
        <v>100</v>
      </c>
      <c r="V28" s="1573" t="s">
        <v>8</v>
      </c>
      <c r="W28" s="1574">
        <f t="shared" ref="W28:W40" si="14">J28</f>
        <v>100</v>
      </c>
      <c r="X28" s="1567"/>
      <c r="Y28" s="3833"/>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834" t="s">
        <v>549</v>
      </c>
      <c r="Q29" s="1572" t="str">
        <f t="shared" si="11"/>
        <v>建筑类型</v>
      </c>
      <c r="R29" s="1573" t="s">
        <v>8</v>
      </c>
      <c r="S29" s="1574">
        <f t="shared" si="12"/>
        <v>100</v>
      </c>
      <c r="T29" s="1573" t="s">
        <v>8</v>
      </c>
      <c r="U29" s="1574">
        <f t="shared" si="13"/>
        <v>100</v>
      </c>
      <c r="V29" s="1573" t="s">
        <v>8</v>
      </c>
      <c r="W29" s="1574">
        <f t="shared" si="14"/>
        <v>100</v>
      </c>
      <c r="X29" s="1567"/>
      <c r="Y29" s="3835"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835"/>
      <c r="Q30" s="1605" t="str">
        <f t="shared" si="11"/>
        <v>项目建筑规模</v>
      </c>
      <c r="R30" s="1577" t="s">
        <v>8</v>
      </c>
      <c r="S30" s="1578" t="e">
        <f t="shared" si="12"/>
        <v>#N/A</v>
      </c>
      <c r="T30" s="1577" t="s">
        <v>8</v>
      </c>
      <c r="U30" s="1578" t="e">
        <f t="shared" si="13"/>
        <v>#N/A</v>
      </c>
      <c r="V30" s="1577" t="s">
        <v>8</v>
      </c>
      <c r="W30" s="1578" t="e">
        <f t="shared" si="14"/>
        <v>#N/A</v>
      </c>
      <c r="X30" s="1579"/>
      <c r="Y30" s="3835"/>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835"/>
      <c r="Q31" s="1572" t="str">
        <f t="shared" si="11"/>
        <v>建筑结构</v>
      </c>
      <c r="R31" s="1573" t="s">
        <v>8</v>
      </c>
      <c r="S31" s="1574">
        <f t="shared" si="12"/>
        <v>100</v>
      </c>
      <c r="T31" s="1573" t="s">
        <v>8</v>
      </c>
      <c r="U31" s="1574">
        <f t="shared" si="13"/>
        <v>100</v>
      </c>
      <c r="V31" s="1573" t="s">
        <v>8</v>
      </c>
      <c r="W31" s="1574">
        <f t="shared" si="14"/>
        <v>100</v>
      </c>
      <c r="X31" s="1567"/>
      <c r="Y31" s="3835"/>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835"/>
      <c r="Q32" s="1572" t="str">
        <f t="shared" si="11"/>
        <v>公共部分装修</v>
      </c>
      <c r="R32" s="1573" t="s">
        <v>8</v>
      </c>
      <c r="S32" s="1574">
        <f t="shared" si="12"/>
        <v>100</v>
      </c>
      <c r="T32" s="1573" t="s">
        <v>8</v>
      </c>
      <c r="U32" s="1574">
        <f t="shared" si="13"/>
        <v>100</v>
      </c>
      <c r="V32" s="1573" t="s">
        <v>8</v>
      </c>
      <c r="W32" s="1574">
        <f t="shared" si="14"/>
        <v>100</v>
      </c>
      <c r="X32" s="1567"/>
      <c r="Y32" s="3835"/>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835"/>
      <c r="Q33" s="1572" t="str">
        <f t="shared" si="11"/>
        <v>成新度</v>
      </c>
      <c r="R33" s="1573" t="s">
        <v>8</v>
      </c>
      <c r="S33" s="1574" t="e">
        <f t="shared" si="12"/>
        <v>#N/A</v>
      </c>
      <c r="T33" s="1573" t="s">
        <v>8</v>
      </c>
      <c r="U33" s="1574" t="e">
        <f t="shared" si="13"/>
        <v>#N/A</v>
      </c>
      <c r="V33" s="1573" t="s">
        <v>8</v>
      </c>
      <c r="W33" s="1574" t="e">
        <f t="shared" si="14"/>
        <v>#N/A</v>
      </c>
      <c r="X33" s="1567"/>
      <c r="Y33" s="3835"/>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835"/>
      <c r="Q34" s="1151" t="str">
        <f t="shared" si="11"/>
        <v>物业管理</v>
      </c>
      <c r="R34" s="1568" t="s">
        <v>8</v>
      </c>
      <c r="S34" s="1569">
        <f t="shared" si="12"/>
        <v>100</v>
      </c>
      <c r="T34" s="1568" t="s">
        <v>8</v>
      </c>
      <c r="U34" s="1569">
        <f t="shared" si="13"/>
        <v>100</v>
      </c>
      <c r="V34" s="1568" t="s">
        <v>8</v>
      </c>
      <c r="W34" s="1569">
        <f t="shared" si="14"/>
        <v>100</v>
      </c>
      <c r="X34" s="1570"/>
      <c r="Y34" s="3835"/>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835" t="s">
        <v>549</v>
      </c>
      <c r="Q35" s="1572" t="str">
        <f t="shared" si="11"/>
        <v>市政基础设施</v>
      </c>
      <c r="R35" s="1573" t="s">
        <v>8</v>
      </c>
      <c r="S35" s="1574">
        <f t="shared" si="12"/>
        <v>100</v>
      </c>
      <c r="T35" s="1573" t="s">
        <v>8</v>
      </c>
      <c r="U35" s="1574">
        <f t="shared" si="13"/>
        <v>100</v>
      </c>
      <c r="V35" s="1573" t="s">
        <v>8</v>
      </c>
      <c r="W35" s="1574">
        <f t="shared" si="14"/>
        <v>100</v>
      </c>
      <c r="X35" s="1567"/>
      <c r="Y35" s="3835"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835"/>
      <c r="Q36" s="1572" t="str">
        <f t="shared" si="11"/>
        <v>内部装修</v>
      </c>
      <c r="R36" s="1573" t="s">
        <v>8</v>
      </c>
      <c r="S36" s="1574">
        <f t="shared" si="12"/>
        <v>100</v>
      </c>
      <c r="T36" s="1573" t="s">
        <v>8</v>
      </c>
      <c r="U36" s="1574">
        <f t="shared" si="13"/>
        <v>100</v>
      </c>
      <c r="V36" s="1573" t="s">
        <v>8</v>
      </c>
      <c r="W36" s="1574">
        <f t="shared" si="14"/>
        <v>100</v>
      </c>
      <c r="X36" s="1567"/>
      <c r="Y36" s="3835"/>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835"/>
      <c r="Q37" s="1572" t="str">
        <f t="shared" si="11"/>
        <v>内部装修状况</v>
      </c>
      <c r="R37" s="1573" t="s">
        <v>8</v>
      </c>
      <c r="S37" s="1574">
        <f t="shared" si="12"/>
        <v>100</v>
      </c>
      <c r="T37" s="1573" t="s">
        <v>8</v>
      </c>
      <c r="U37" s="1574">
        <f t="shared" si="13"/>
        <v>100</v>
      </c>
      <c r="V37" s="1573" t="s">
        <v>8</v>
      </c>
      <c r="W37" s="1574">
        <f t="shared" si="14"/>
        <v>100</v>
      </c>
      <c r="X37" s="1567"/>
      <c r="Y37" s="383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835"/>
      <c r="Q38" s="1605">
        <f t="shared" si="11"/>
        <v>111</v>
      </c>
      <c r="R38" s="1577" t="s">
        <v>8</v>
      </c>
      <c r="S38" s="1578">
        <f t="shared" si="12"/>
        <v>100</v>
      </c>
      <c r="T38" s="1577" t="s">
        <v>8</v>
      </c>
      <c r="U38" s="1578">
        <f t="shared" si="13"/>
        <v>100</v>
      </c>
      <c r="V38" s="1577" t="s">
        <v>8</v>
      </c>
      <c r="W38" s="1578">
        <f t="shared" si="14"/>
        <v>100</v>
      </c>
      <c r="X38" s="1579"/>
      <c r="Y38" s="383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835"/>
      <c r="Q39" s="1572">
        <f t="shared" si="11"/>
        <v>111</v>
      </c>
      <c r="R39" s="1573" t="s">
        <v>8</v>
      </c>
      <c r="S39" s="1574">
        <f t="shared" si="12"/>
        <v>100</v>
      </c>
      <c r="T39" s="1573" t="s">
        <v>8</v>
      </c>
      <c r="U39" s="1574">
        <f t="shared" si="13"/>
        <v>100</v>
      </c>
      <c r="V39" s="1573" t="s">
        <v>8</v>
      </c>
      <c r="W39" s="1574">
        <f t="shared" si="14"/>
        <v>100</v>
      </c>
      <c r="X39" s="1567"/>
      <c r="Y39" s="3835"/>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4038"/>
      <c r="Q40" s="1572">
        <f t="shared" si="11"/>
        <v>111</v>
      </c>
      <c r="R40" s="1573" t="s">
        <v>8</v>
      </c>
      <c r="S40" s="1574">
        <f t="shared" si="12"/>
        <v>100</v>
      </c>
      <c r="T40" s="1573" t="s">
        <v>8</v>
      </c>
      <c r="U40" s="1574">
        <f t="shared" si="13"/>
        <v>100</v>
      </c>
      <c r="V40" s="1573" t="s">
        <v>8</v>
      </c>
      <c r="W40" s="1574">
        <f t="shared" si="14"/>
        <v>100</v>
      </c>
      <c r="X40" s="1567"/>
      <c r="Y40" s="4038"/>
      <c r="Z40" s="1575">
        <f t="shared" si="15"/>
        <v>111</v>
      </c>
      <c r="AA40" s="1576">
        <f t="shared" si="3"/>
        <v>1</v>
      </c>
      <c r="AB40" s="1576">
        <f t="shared" si="4"/>
        <v>1</v>
      </c>
      <c r="AC40" s="1576">
        <f t="shared" si="5"/>
        <v>1</v>
      </c>
    </row>
    <row r="41" spans="1:29" ht="14.4">
      <c r="A41" s="607" t="s">
        <v>735</v>
      </c>
      <c r="B41" s="887"/>
      <c r="C41" s="2652" t="s">
        <v>1</v>
      </c>
      <c r="D41" s="2653"/>
      <c r="E41" s="2654"/>
      <c r="F41" s="2655"/>
      <c r="G41" s="2656"/>
      <c r="H41" s="2657"/>
      <c r="I41" s="2654"/>
      <c r="J41" s="2657"/>
      <c r="K41" s="1611"/>
      <c r="L41" s="2145"/>
      <c r="M41" s="2146"/>
      <c r="N41" s="2135"/>
      <c r="O41" s="2146"/>
      <c r="P41" s="3830" t="str">
        <f>A41</f>
        <v>成交单价（元/平方米）</v>
      </c>
      <c r="Q41" s="3830"/>
      <c r="R41" s="4037">
        <f>E41</f>
        <v>0</v>
      </c>
      <c r="S41" s="4037"/>
      <c r="T41" s="4037">
        <f>G41</f>
        <v>0</v>
      </c>
      <c r="U41" s="4037"/>
      <c r="V41" s="4037">
        <f>I41</f>
        <v>0</v>
      </c>
      <c r="W41" s="4037"/>
      <c r="X41" s="1559"/>
      <c r="Y41" s="1581"/>
      <c r="Z41" s="1559"/>
      <c r="AA41" s="1559"/>
      <c r="AB41" s="1559"/>
      <c r="AC41" s="1559"/>
    </row>
    <row r="42" spans="1:29" ht="1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830" t="str">
        <f>A42</f>
        <v>比较价格（元/平方米）</v>
      </c>
      <c r="Q42" s="3830"/>
      <c r="R42" s="4037" t="e">
        <f>IF(F1="售价",ROUND(PRODUCT(R41,AA7:AA40),0),ROUND(PRODUCT(R41,AA7:AA40),1))</f>
        <v>#DIV/0!</v>
      </c>
      <c r="S42" s="4037"/>
      <c r="T42" s="4037" t="e">
        <f>IF(F1="售价",ROUND(PRODUCT(T41,AB7:AB40),0),ROUND(PRODUCT(T41,AB7:AB40),1))</f>
        <v>#DIV/0!</v>
      </c>
      <c r="U42" s="4037"/>
      <c r="V42" s="4037" t="e">
        <f>IF(F1="售价",ROUND(PRODUCT(V41,AC7:AC40),0),ROUND(PRODUCT(V41,AC7:AC40),1))</f>
        <v>#DIV/0!</v>
      </c>
      <c r="W42" s="4037"/>
      <c r="X42" s="1559"/>
      <c r="Y42" s="1559"/>
      <c r="Z42" s="1559"/>
      <c r="AA42" s="1559"/>
      <c r="AB42" s="1559"/>
      <c r="AC42" s="1559"/>
    </row>
    <row r="43" spans="1:29" ht="15" thickBot="1">
      <c r="A43" s="621" t="s">
        <v>2935</v>
      </c>
      <c r="B43" s="622"/>
      <c r="C43" s="2661" t="e">
        <f>R43</f>
        <v>#DIV/0!</v>
      </c>
      <c r="D43" s="2661"/>
      <c r="E43" s="2661"/>
      <c r="F43" s="2661"/>
      <c r="G43" s="2661"/>
      <c r="H43" s="2661"/>
      <c r="I43" s="2661"/>
      <c r="J43" s="2661"/>
      <c r="K43" s="1613"/>
      <c r="L43" s="2145"/>
      <c r="M43" s="2146"/>
      <c r="N43" s="2146"/>
      <c r="O43" s="2146"/>
      <c r="P43" s="3851" t="str">
        <f>A43</f>
        <v>估价对象XX用房的比较价格（楼面单价，元/平方米）</v>
      </c>
      <c r="Q43" s="3852"/>
      <c r="R43" s="4036" t="e">
        <f>IF(F1="售价",ROUND(AVERAGE(R42:V42),0),ROUND(AVERAGE(R42:V42),1))</f>
        <v>#DIV/0!</v>
      </c>
      <c r="S43" s="4036"/>
      <c r="T43" s="4036"/>
      <c r="U43" s="4036"/>
      <c r="V43" s="4036"/>
      <c r="W43" s="403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36" t="s">
        <v>797</v>
      </c>
      <c r="D4" s="3837"/>
      <c r="E4" s="3836" t="s">
        <v>798</v>
      </c>
      <c r="F4" s="3837"/>
      <c r="G4" s="3836" t="s">
        <v>799</v>
      </c>
      <c r="H4" s="3837"/>
      <c r="I4" s="3836" t="s">
        <v>800</v>
      </c>
      <c r="J4" s="3837"/>
      <c r="K4" s="514" t="s">
        <v>801</v>
      </c>
      <c r="L4" s="2134"/>
      <c r="M4" s="2135"/>
      <c r="N4" s="2135"/>
      <c r="O4" s="2135"/>
      <c r="P4" s="3838" t="s">
        <v>802</v>
      </c>
      <c r="Q4" s="3839"/>
      <c r="R4" s="3823" t="s">
        <v>798</v>
      </c>
      <c r="S4" s="3824"/>
      <c r="T4" s="3823" t="s">
        <v>799</v>
      </c>
      <c r="U4" s="3824"/>
      <c r="V4" s="3844" t="s">
        <v>800</v>
      </c>
      <c r="W4" s="3844"/>
      <c r="X4" s="1567"/>
      <c r="Y4" s="3823" t="s">
        <v>802</v>
      </c>
      <c r="Z4" s="3824"/>
      <c r="AA4" s="3818" t="s">
        <v>798</v>
      </c>
      <c r="AB4" s="3819" t="s">
        <v>799</v>
      </c>
      <c r="AC4" s="3818" t="s">
        <v>800</v>
      </c>
    </row>
    <row r="5" spans="1:29">
      <c r="A5" s="515"/>
      <c r="B5" s="516"/>
      <c r="C5" s="3847" t="s">
        <v>2929</v>
      </c>
      <c r="D5" s="3848"/>
      <c r="E5" s="3847" t="s">
        <v>2930</v>
      </c>
      <c r="F5" s="3848"/>
      <c r="G5" s="3847" t="s">
        <v>2931</v>
      </c>
      <c r="H5" s="3848"/>
      <c r="I5" s="3847" t="s">
        <v>2932</v>
      </c>
      <c r="J5" s="3848"/>
      <c r="K5" s="514"/>
      <c r="L5" s="2134"/>
      <c r="M5" s="2135"/>
      <c r="N5" s="2135"/>
      <c r="O5" s="2135"/>
      <c r="P5" s="3840"/>
      <c r="Q5" s="3841"/>
      <c r="R5" s="3825"/>
      <c r="S5" s="3826"/>
      <c r="T5" s="3825"/>
      <c r="U5" s="3826"/>
      <c r="V5" s="3844"/>
      <c r="W5" s="3844"/>
      <c r="X5" s="1567"/>
      <c r="Y5" s="3825"/>
      <c r="Z5" s="3826"/>
      <c r="AA5" s="3819"/>
      <c r="AB5" s="3819"/>
      <c r="AC5" s="3819"/>
    </row>
    <row r="6" spans="1:29" ht="15" thickBot="1">
      <c r="A6" s="517"/>
      <c r="B6" s="518"/>
      <c r="C6" s="3845" t="s">
        <v>2933</v>
      </c>
      <c r="D6" s="3846"/>
      <c r="E6" s="3849" t="s">
        <v>2933</v>
      </c>
      <c r="F6" s="3850"/>
      <c r="G6" s="3845" t="s">
        <v>2933</v>
      </c>
      <c r="H6" s="3846"/>
      <c r="I6" s="3845" t="s">
        <v>2933</v>
      </c>
      <c r="J6" s="3846"/>
      <c r="K6" s="514" t="s">
        <v>527</v>
      </c>
      <c r="L6" s="2134"/>
      <c r="M6" s="2135"/>
      <c r="N6" s="2135"/>
      <c r="O6" s="2135"/>
      <c r="P6" s="3842"/>
      <c r="Q6" s="3843"/>
      <c r="R6" s="3825"/>
      <c r="S6" s="3826"/>
      <c r="T6" s="3828"/>
      <c r="U6" s="3829"/>
      <c r="V6" s="3844"/>
      <c r="W6" s="3844"/>
      <c r="X6" s="1567"/>
      <c r="Y6" s="3828"/>
      <c r="Z6" s="3829"/>
      <c r="AA6" s="3820"/>
      <c r="AB6" s="3820"/>
      <c r="AC6" s="3820"/>
    </row>
    <row r="7" spans="1:29" s="1220" customFormat="1" ht="1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821" t="s">
        <v>529</v>
      </c>
      <c r="Q7" s="3831"/>
      <c r="R7" s="1568" t="s">
        <v>8</v>
      </c>
      <c r="S7" s="1569">
        <f t="shared" ref="S7:S14" si="0">F7</f>
        <v>0</v>
      </c>
      <c r="T7" s="1568" t="s">
        <v>8</v>
      </c>
      <c r="U7" s="1569">
        <f t="shared" ref="U7:U14" si="1">H7</f>
        <v>0</v>
      </c>
      <c r="V7" s="1568" t="s">
        <v>8</v>
      </c>
      <c r="W7" s="1569">
        <f t="shared" ref="W7:W14"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821" t="s">
        <v>532</v>
      </c>
      <c r="Q8" s="3822"/>
      <c r="R8" s="1568" t="s">
        <v>8</v>
      </c>
      <c r="S8" s="1569">
        <f t="shared" si="0"/>
        <v>0</v>
      </c>
      <c r="T8" s="1568" t="s">
        <v>8</v>
      </c>
      <c r="U8" s="1569">
        <f t="shared" si="1"/>
        <v>0</v>
      </c>
      <c r="V8" s="1568" t="s">
        <v>8</v>
      </c>
      <c r="W8" s="1569">
        <f t="shared" si="2"/>
        <v>0</v>
      </c>
      <c r="X8" s="1570"/>
      <c r="Y8" s="3821" t="s">
        <v>532</v>
      </c>
      <c r="Z8" s="3822"/>
      <c r="AA8" s="1571" t="e">
        <f t="shared" ref="AA8:AA36" si="3">D8/F8</f>
        <v>#DIV/0!</v>
      </c>
      <c r="AB8" s="1571" t="e">
        <f t="shared" ref="AB8:AB36" si="4">D8/H8</f>
        <v>#DIV/0!</v>
      </c>
      <c r="AC8" s="1571" t="e">
        <f t="shared" ref="AC8:AC36" si="5">D8/J8</f>
        <v>#DIV/0!</v>
      </c>
    </row>
    <row r="9" spans="1:29" s="1220" customFormat="1" ht="14.4">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830" t="s">
        <v>534</v>
      </c>
      <c r="Q9" s="1151" t="str">
        <f t="shared" ref="Q9:Q14" si="6">B9</f>
        <v>用途</v>
      </c>
      <c r="R9" s="1568" t="s">
        <v>8</v>
      </c>
      <c r="S9" s="1569">
        <f t="shared" si="0"/>
        <v>100</v>
      </c>
      <c r="T9" s="1568" t="s">
        <v>8</v>
      </c>
      <c r="U9" s="1569">
        <f t="shared" si="1"/>
        <v>100</v>
      </c>
      <c r="V9" s="1568" t="s">
        <v>8</v>
      </c>
      <c r="W9" s="1569">
        <f t="shared" si="2"/>
        <v>100</v>
      </c>
      <c r="X9" s="1570"/>
      <c r="Y9" s="3827"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830"/>
      <c r="Q11" s="1151">
        <f t="shared" si="6"/>
        <v>111</v>
      </c>
      <c r="R11" s="1568" t="s">
        <v>8</v>
      </c>
      <c r="S11" s="1569">
        <f t="shared" si="0"/>
        <v>100</v>
      </c>
      <c r="T11" s="1568" t="s">
        <v>8</v>
      </c>
      <c r="U11" s="1569">
        <f t="shared" si="1"/>
        <v>100</v>
      </c>
      <c r="V11" s="1568" t="s">
        <v>8</v>
      </c>
      <c r="W11" s="1569">
        <f t="shared" si="2"/>
        <v>100</v>
      </c>
      <c r="X11" s="1570"/>
      <c r="Y11" s="3827"/>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830"/>
      <c r="Q12" s="1151">
        <f t="shared" si="6"/>
        <v>111</v>
      </c>
      <c r="R12" s="1568" t="s">
        <v>8</v>
      </c>
      <c r="S12" s="1569">
        <f t="shared" si="0"/>
        <v>100</v>
      </c>
      <c r="T12" s="1568" t="s">
        <v>8</v>
      </c>
      <c r="U12" s="1569">
        <f t="shared" si="1"/>
        <v>100</v>
      </c>
      <c r="V12" s="1568" t="s">
        <v>8</v>
      </c>
      <c r="W12" s="1569">
        <f t="shared" si="2"/>
        <v>100</v>
      </c>
      <c r="X12" s="1570"/>
      <c r="Y12" s="3827"/>
      <c r="Z12" s="1150">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830"/>
      <c r="Q13" s="1151">
        <f t="shared" si="6"/>
        <v>111</v>
      </c>
      <c r="R13" s="1568" t="s">
        <v>8</v>
      </c>
      <c r="S13" s="1569">
        <f t="shared" si="0"/>
        <v>100</v>
      </c>
      <c r="T13" s="1568" t="s">
        <v>8</v>
      </c>
      <c r="U13" s="1569">
        <f t="shared" si="1"/>
        <v>100</v>
      </c>
      <c r="V13" s="1568" t="s">
        <v>8</v>
      </c>
      <c r="W13" s="1569">
        <f t="shared" si="2"/>
        <v>100</v>
      </c>
      <c r="X13" s="1570"/>
      <c r="Y13" s="3827"/>
      <c r="Z13" s="1150">
        <f t="shared" si="7"/>
        <v>111</v>
      </c>
      <c r="AA13" s="1571">
        <f t="shared" si="3"/>
        <v>1</v>
      </c>
      <c r="AB13" s="1571">
        <f t="shared" si="4"/>
        <v>1</v>
      </c>
      <c r="AC13" s="1571">
        <f t="shared" si="5"/>
        <v>1</v>
      </c>
    </row>
    <row r="14" spans="1:29" ht="96.6">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832" t="s">
        <v>539</v>
      </c>
      <c r="Q14" s="1572" t="str">
        <f t="shared" si="6"/>
        <v>交通便捷度</v>
      </c>
      <c r="R14" s="1573" t="s">
        <v>8</v>
      </c>
      <c r="S14" s="1574">
        <f t="shared" si="0"/>
        <v>100</v>
      </c>
      <c r="T14" s="1573" t="s">
        <v>8</v>
      </c>
      <c r="U14" s="1574">
        <f t="shared" si="1"/>
        <v>100</v>
      </c>
      <c r="V14" s="1573" t="s">
        <v>8</v>
      </c>
      <c r="W14" s="1574">
        <f t="shared" si="2"/>
        <v>100</v>
      </c>
      <c r="X14" s="1567"/>
      <c r="Y14" s="3832"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833"/>
      <c r="Q15" s="1572"/>
      <c r="R15" s="1573"/>
      <c r="S15" s="1574"/>
      <c r="T15" s="1573"/>
      <c r="U15" s="1574"/>
      <c r="V15" s="1573"/>
      <c r="W15" s="1574"/>
      <c r="X15" s="1567"/>
      <c r="Y15" s="3833"/>
      <c r="Z15" s="1575"/>
      <c r="AA15" s="1576">
        <v>1</v>
      </c>
      <c r="AB15" s="1576">
        <v>1</v>
      </c>
      <c r="AC15" s="1576">
        <v>1</v>
      </c>
    </row>
    <row r="16" spans="1:29" ht="41.4">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833"/>
      <c r="Q16" s="1572" t="str">
        <f>B16</f>
        <v>公共配套设施</v>
      </c>
      <c r="R16" s="1573" t="s">
        <v>8</v>
      </c>
      <c r="S16" s="1574">
        <f>F16</f>
        <v>100</v>
      </c>
      <c r="T16" s="1573" t="s">
        <v>8</v>
      </c>
      <c r="U16" s="1574">
        <f>H16</f>
        <v>100</v>
      </c>
      <c r="V16" s="1573" t="s">
        <v>8</v>
      </c>
      <c r="W16" s="1574">
        <f>J16</f>
        <v>100</v>
      </c>
      <c r="X16" s="1567"/>
      <c r="Y16" s="383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833"/>
      <c r="Q17" s="1572"/>
      <c r="R17" s="1573"/>
      <c r="S17" s="1574"/>
      <c r="T17" s="1573"/>
      <c r="U17" s="1574"/>
      <c r="V17" s="1573"/>
      <c r="W17" s="1574"/>
      <c r="X17" s="1567"/>
      <c r="Y17" s="3833"/>
      <c r="Z17" s="1575"/>
      <c r="AA17" s="1576">
        <v>1</v>
      </c>
      <c r="AB17" s="1576">
        <v>1</v>
      </c>
      <c r="AC17" s="1576">
        <v>1</v>
      </c>
    </row>
    <row r="18" spans="1:29" ht="41.4">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833"/>
      <c r="Q18" s="2604" t="str">
        <f>B18</f>
        <v>基础设施水平</v>
      </c>
      <c r="R18" s="1573" t="s">
        <v>8</v>
      </c>
      <c r="S18" s="1574">
        <f>F18</f>
        <v>100</v>
      </c>
      <c r="T18" s="1573" t="s">
        <v>8</v>
      </c>
      <c r="U18" s="1574">
        <f>H18</f>
        <v>100</v>
      </c>
      <c r="V18" s="1573" t="s">
        <v>8</v>
      </c>
      <c r="W18" s="1574">
        <f>J18</f>
        <v>100</v>
      </c>
      <c r="X18" s="2606"/>
      <c r="Y18" s="383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833"/>
      <c r="Q19" s="2604"/>
      <c r="R19" s="1573"/>
      <c r="S19" s="1574"/>
      <c r="T19" s="1573"/>
      <c r="U19" s="1574"/>
      <c r="V19" s="1573"/>
      <c r="W19" s="1574"/>
      <c r="X19" s="2606"/>
      <c r="Y19" s="3833"/>
      <c r="Z19" s="2605"/>
      <c r="AA19" s="1576">
        <v>1</v>
      </c>
      <c r="AB19" s="1576">
        <v>1</v>
      </c>
      <c r="AC19" s="1576">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833"/>
      <c r="Q20" s="1572" t="str">
        <f>B20</f>
        <v>自然及人文环境</v>
      </c>
      <c r="R20" s="1573" t="s">
        <v>8</v>
      </c>
      <c r="S20" s="1574">
        <f>F20</f>
        <v>100</v>
      </c>
      <c r="T20" s="1573" t="s">
        <v>8</v>
      </c>
      <c r="U20" s="1574">
        <f>H20</f>
        <v>100</v>
      </c>
      <c r="V20" s="1573" t="s">
        <v>8</v>
      </c>
      <c r="W20" s="1574">
        <f>J20</f>
        <v>100</v>
      </c>
      <c r="X20" s="1567"/>
      <c r="Y20" s="383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833"/>
      <c r="Q21" s="1572"/>
      <c r="R21" s="1573"/>
      <c r="S21" s="1574"/>
      <c r="T21" s="1573"/>
      <c r="U21" s="1574"/>
      <c r="V21" s="1573"/>
      <c r="W21" s="1574"/>
      <c r="X21" s="1567"/>
      <c r="Y21" s="3833"/>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833"/>
      <c r="Q22" s="1572" t="str">
        <f>B22</f>
        <v>楼层</v>
      </c>
      <c r="R22" s="1573" t="s">
        <v>8</v>
      </c>
      <c r="S22" s="1574">
        <f>F22</f>
        <v>100</v>
      </c>
      <c r="T22" s="1573" t="s">
        <v>8</v>
      </c>
      <c r="U22" s="1574">
        <f>H22</f>
        <v>100</v>
      </c>
      <c r="V22" s="1573" t="s">
        <v>8</v>
      </c>
      <c r="W22" s="1574">
        <f>J22</f>
        <v>100</v>
      </c>
      <c r="X22" s="1567"/>
      <c r="Y22" s="383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833"/>
      <c r="Q23" s="1572">
        <f>B23</f>
        <v>111</v>
      </c>
      <c r="R23" s="1573" t="s">
        <v>8</v>
      </c>
      <c r="S23" s="1574">
        <f>F23</f>
        <v>100</v>
      </c>
      <c r="T23" s="1573" t="s">
        <v>8</v>
      </c>
      <c r="U23" s="1574">
        <f>H23</f>
        <v>100</v>
      </c>
      <c r="V23" s="1573" t="s">
        <v>8</v>
      </c>
      <c r="W23" s="1574">
        <f>J23</f>
        <v>100</v>
      </c>
      <c r="X23" s="1567"/>
      <c r="Y23" s="383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833"/>
      <c r="Q24" s="1572">
        <f t="shared" ref="Q24:Q36" si="11">B24</f>
        <v>111</v>
      </c>
      <c r="R24" s="1573" t="s">
        <v>8</v>
      </c>
      <c r="S24" s="1574">
        <f>F24</f>
        <v>100</v>
      </c>
      <c r="T24" s="1573" t="s">
        <v>8</v>
      </c>
      <c r="U24" s="1574">
        <f>H24</f>
        <v>100</v>
      </c>
      <c r="V24" s="1573" t="s">
        <v>8</v>
      </c>
      <c r="W24" s="1574">
        <f>J24</f>
        <v>100</v>
      </c>
      <c r="X24" s="1567"/>
      <c r="Y24" s="3833"/>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833"/>
      <c r="Q25" s="1151">
        <f t="shared" si="11"/>
        <v>111</v>
      </c>
      <c r="R25" s="1568" t="s">
        <v>8</v>
      </c>
      <c r="S25" s="1569">
        <f>F25</f>
        <v>100</v>
      </c>
      <c r="T25" s="1568" t="s">
        <v>8</v>
      </c>
      <c r="U25" s="1569">
        <f>H25</f>
        <v>100</v>
      </c>
      <c r="V25" s="1568" t="s">
        <v>8</v>
      </c>
      <c r="W25" s="1569">
        <f>J25</f>
        <v>100</v>
      </c>
      <c r="X25" s="1570"/>
      <c r="Y25" s="3833"/>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834"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835"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835"/>
      <c r="Q27" s="1605" t="str">
        <f t="shared" si="11"/>
        <v>项目停车位配比</v>
      </c>
      <c r="R27" s="1577" t="s">
        <v>8</v>
      </c>
      <c r="S27" s="1578">
        <f t="shared" si="12"/>
        <v>100</v>
      </c>
      <c r="T27" s="1577" t="s">
        <v>8</v>
      </c>
      <c r="U27" s="1578">
        <f t="shared" si="13"/>
        <v>100</v>
      </c>
      <c r="V27" s="1577" t="s">
        <v>8</v>
      </c>
      <c r="W27" s="1578">
        <f t="shared" si="14"/>
        <v>100</v>
      </c>
      <c r="X27" s="1579"/>
      <c r="Y27" s="3835"/>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835"/>
      <c r="Q28" s="1572" t="str">
        <f t="shared" si="11"/>
        <v>公共部分装修</v>
      </c>
      <c r="R28" s="1573" t="s">
        <v>8</v>
      </c>
      <c r="S28" s="1574">
        <f t="shared" si="12"/>
        <v>100</v>
      </c>
      <c r="T28" s="1573" t="s">
        <v>8</v>
      </c>
      <c r="U28" s="1574">
        <f t="shared" si="13"/>
        <v>100</v>
      </c>
      <c r="V28" s="1573" t="s">
        <v>8</v>
      </c>
      <c r="W28" s="1574">
        <f t="shared" si="14"/>
        <v>100</v>
      </c>
      <c r="X28" s="1567"/>
      <c r="Y28" s="3835"/>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835"/>
      <c r="Q29" s="1572" t="str">
        <f t="shared" si="11"/>
        <v>成新率</v>
      </c>
      <c r="R29" s="1573" t="s">
        <v>8</v>
      </c>
      <c r="S29" s="1574" t="e">
        <f t="shared" si="12"/>
        <v>#N/A</v>
      </c>
      <c r="T29" s="1573" t="s">
        <v>8</v>
      </c>
      <c r="U29" s="1574" t="e">
        <f t="shared" si="13"/>
        <v>#N/A</v>
      </c>
      <c r="V29" s="1573" t="s">
        <v>8</v>
      </c>
      <c r="W29" s="1574" t="e">
        <f t="shared" si="14"/>
        <v>#N/A</v>
      </c>
      <c r="X29" s="1567"/>
      <c r="Y29" s="3835"/>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835"/>
      <c r="Q30" s="1572" t="str">
        <f t="shared" si="11"/>
        <v>物业等级</v>
      </c>
      <c r="R30" s="1573" t="s">
        <v>8</v>
      </c>
      <c r="S30" s="1574">
        <f t="shared" si="12"/>
        <v>100</v>
      </c>
      <c r="T30" s="1573" t="s">
        <v>8</v>
      </c>
      <c r="U30" s="1574">
        <f t="shared" si="13"/>
        <v>100</v>
      </c>
      <c r="V30" s="1573" t="s">
        <v>8</v>
      </c>
      <c r="W30" s="1574">
        <f t="shared" si="14"/>
        <v>100</v>
      </c>
      <c r="X30" s="1567"/>
      <c r="Y30" s="3835"/>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835"/>
      <c r="Q31" s="1151" t="str">
        <f t="shared" si="11"/>
        <v>停车位面积</v>
      </c>
      <c r="R31" s="1568" t="s">
        <v>8</v>
      </c>
      <c r="S31" s="1569" t="e">
        <f t="shared" si="12"/>
        <v>#N/A</v>
      </c>
      <c r="T31" s="1568" t="s">
        <v>8</v>
      </c>
      <c r="U31" s="1569" t="e">
        <f t="shared" si="13"/>
        <v>#N/A</v>
      </c>
      <c r="V31" s="1568" t="s">
        <v>8</v>
      </c>
      <c r="W31" s="1569" t="e">
        <f t="shared" si="14"/>
        <v>#N/A</v>
      </c>
      <c r="X31" s="1570"/>
      <c r="Y31" s="3835"/>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835" t="s">
        <v>549</v>
      </c>
      <c r="Q32" s="1572" t="str">
        <f t="shared" si="11"/>
        <v>车位类型</v>
      </c>
      <c r="R32" s="1573" t="s">
        <v>8</v>
      </c>
      <c r="S32" s="1574">
        <f t="shared" si="12"/>
        <v>100</v>
      </c>
      <c r="T32" s="1573" t="s">
        <v>8</v>
      </c>
      <c r="U32" s="1574">
        <f t="shared" si="13"/>
        <v>100</v>
      </c>
      <c r="V32" s="1573" t="s">
        <v>8</v>
      </c>
      <c r="W32" s="1574">
        <f t="shared" si="14"/>
        <v>100</v>
      </c>
      <c r="X32" s="1567"/>
      <c r="Y32" s="3835"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835"/>
      <c r="Q33" s="1572" t="str">
        <f t="shared" si="11"/>
        <v>是否直接入户</v>
      </c>
      <c r="R33" s="1573" t="s">
        <v>8</v>
      </c>
      <c r="S33" s="1574">
        <f t="shared" si="12"/>
        <v>100</v>
      </c>
      <c r="T33" s="1573" t="s">
        <v>8</v>
      </c>
      <c r="U33" s="1574">
        <f t="shared" si="13"/>
        <v>100</v>
      </c>
      <c r="V33" s="1573" t="s">
        <v>8</v>
      </c>
      <c r="W33" s="1574">
        <f t="shared" si="14"/>
        <v>100</v>
      </c>
      <c r="X33" s="1567"/>
      <c r="Y33" s="383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835"/>
      <c r="Q34" s="1572">
        <f t="shared" si="11"/>
        <v>111</v>
      </c>
      <c r="R34" s="1573" t="s">
        <v>8</v>
      </c>
      <c r="S34" s="1574">
        <f t="shared" si="12"/>
        <v>100</v>
      </c>
      <c r="T34" s="1573" t="s">
        <v>8</v>
      </c>
      <c r="U34" s="1574">
        <f t="shared" si="13"/>
        <v>100</v>
      </c>
      <c r="V34" s="1573" t="s">
        <v>8</v>
      </c>
      <c r="W34" s="1574">
        <f t="shared" si="14"/>
        <v>100</v>
      </c>
      <c r="X34" s="1567"/>
      <c r="Y34" s="383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835"/>
      <c r="Q35" s="1605">
        <f t="shared" si="11"/>
        <v>111</v>
      </c>
      <c r="R35" s="1577" t="s">
        <v>8</v>
      </c>
      <c r="S35" s="1578">
        <f t="shared" si="12"/>
        <v>100</v>
      </c>
      <c r="T35" s="1577" t="s">
        <v>8</v>
      </c>
      <c r="U35" s="1578">
        <f t="shared" si="13"/>
        <v>100</v>
      </c>
      <c r="V35" s="1577" t="s">
        <v>8</v>
      </c>
      <c r="W35" s="1578">
        <f t="shared" si="14"/>
        <v>100</v>
      </c>
      <c r="X35" s="1579"/>
      <c r="Y35" s="3835"/>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835"/>
      <c r="Q36" s="1572">
        <f t="shared" si="11"/>
        <v>111</v>
      </c>
      <c r="R36" s="1573" t="s">
        <v>8</v>
      </c>
      <c r="S36" s="1574">
        <f t="shared" si="12"/>
        <v>100</v>
      </c>
      <c r="T36" s="1573" t="s">
        <v>8</v>
      </c>
      <c r="U36" s="1574">
        <f t="shared" si="13"/>
        <v>100</v>
      </c>
      <c r="V36" s="1573" t="s">
        <v>8</v>
      </c>
      <c r="W36" s="1574">
        <f t="shared" si="14"/>
        <v>100</v>
      </c>
      <c r="X36" s="1567"/>
      <c r="Y36" s="3835"/>
      <c r="Z36" s="1575">
        <f t="shared" si="15"/>
        <v>111</v>
      </c>
      <c r="AA36" s="1576">
        <f t="shared" si="3"/>
        <v>1</v>
      </c>
      <c r="AB36" s="1576">
        <f t="shared" si="4"/>
        <v>1</v>
      </c>
      <c r="AC36" s="1576">
        <f t="shared" si="5"/>
        <v>1</v>
      </c>
    </row>
    <row r="37" spans="1:29" ht="14.4">
      <c r="A37" s="1847" t="s">
        <v>2079</v>
      </c>
      <c r="B37" s="1848" t="s">
        <v>2080</v>
      </c>
      <c r="C37" s="2652" t="s">
        <v>1</v>
      </c>
      <c r="D37" s="2653"/>
      <c r="E37" s="2654"/>
      <c r="F37" s="2655"/>
      <c r="G37" s="2656"/>
      <c r="H37" s="2657"/>
      <c r="I37" s="2654"/>
      <c r="J37" s="2657"/>
      <c r="K37" s="1611"/>
      <c r="L37" s="2145"/>
      <c r="M37" s="2146"/>
      <c r="N37" s="2135"/>
      <c r="O37" s="2146"/>
      <c r="P37" s="3830" t="str">
        <f>A37</f>
        <v>成交单价</v>
      </c>
      <c r="Q37" s="3830"/>
      <c r="R37" s="4037">
        <f>E37</f>
        <v>0</v>
      </c>
      <c r="S37" s="4037"/>
      <c r="T37" s="4037">
        <f>G37</f>
        <v>0</v>
      </c>
      <c r="U37" s="4037"/>
      <c r="V37" s="4037">
        <f>I37</f>
        <v>0</v>
      </c>
      <c r="W37" s="4037"/>
      <c r="X37" s="1559"/>
      <c r="Y37" s="1581"/>
      <c r="Z37" s="1559"/>
      <c r="AA37" s="1559"/>
      <c r="AB37" s="1559"/>
      <c r="AC37" s="1559"/>
    </row>
    <row r="38" spans="1:29" ht="1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830" t="str">
        <f>A38</f>
        <v>比较价格（元/平方米）</v>
      </c>
      <c r="Q38" s="3830"/>
      <c r="R38" s="4037" t="e">
        <f>IF(F1="售价",ROUND(PRODUCT(R37,AA7:AA36),0),ROUND(PRODUCT(R37,AA7:AA36),1))</f>
        <v>#DIV/0!</v>
      </c>
      <c r="S38" s="4037"/>
      <c r="T38" s="4037" t="e">
        <f>IF(F1="售价",ROUND(PRODUCT(T37,AB7:AB36),0),ROUND(PRODUCT(T37,AB7:AB36),1))</f>
        <v>#DIV/0!</v>
      </c>
      <c r="U38" s="4037"/>
      <c r="V38" s="4037" t="e">
        <f>IF(F1="售价",ROUND(PRODUCT(V37,AC7:AC36),0),ROUND(PRODUCT(V37,AC7:AC36),1))</f>
        <v>#DIV/0!</v>
      </c>
      <c r="W38" s="4037"/>
      <c r="X38" s="1559"/>
      <c r="Y38" s="1559"/>
      <c r="Z38" s="1559"/>
      <c r="AA38" s="1559"/>
      <c r="AB38" s="1559"/>
      <c r="AC38" s="1559"/>
    </row>
    <row r="39" spans="1:29" ht="15" thickBot="1">
      <c r="A39" s="621" t="s">
        <v>2935</v>
      </c>
      <c r="B39" s="622"/>
      <c r="C39" s="2661" t="e">
        <f>R39</f>
        <v>#DIV/0!</v>
      </c>
      <c r="D39" s="2661"/>
      <c r="E39" s="2661"/>
      <c r="F39" s="2661"/>
      <c r="G39" s="2661"/>
      <c r="H39" s="2661"/>
      <c r="I39" s="2661"/>
      <c r="J39" s="2661"/>
      <c r="K39" s="1613"/>
      <c r="L39" s="2145"/>
      <c r="M39" s="2146"/>
      <c r="N39" s="2146"/>
      <c r="O39" s="2146"/>
      <c r="P39" s="3851" t="str">
        <f>A39</f>
        <v>估价对象XX用房的比较价格（楼面单价，元/平方米）</v>
      </c>
      <c r="Q39" s="3852"/>
      <c r="R39" s="4036" t="e">
        <f>IF(F1="售价",ROUND(AVERAGE(R38:V38),0),ROUND(AVERAGE(R38:V38),1))</f>
        <v>#DIV/0!</v>
      </c>
      <c r="S39" s="4036"/>
      <c r="T39" s="4036"/>
      <c r="U39" s="4036"/>
      <c r="V39" s="4036"/>
      <c r="W39" s="403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6" t="s">
        <v>2040</v>
      </c>
      <c r="B1" s="3726"/>
      <c r="C1" s="3726"/>
      <c r="D1" s="3726"/>
      <c r="E1" s="3726"/>
      <c r="F1" s="3726"/>
      <c r="G1" s="3726"/>
      <c r="H1" s="3726"/>
      <c r="I1" s="3726"/>
      <c r="J1" s="3726"/>
      <c r="K1" s="3726"/>
      <c r="L1" s="3726"/>
      <c r="M1" s="3726"/>
      <c r="N1" s="3726"/>
      <c r="O1" s="3726"/>
      <c r="P1" s="3726"/>
      <c r="Q1" s="3726"/>
      <c r="R1" s="3726"/>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727" t="s">
        <v>2031</v>
      </c>
      <c r="B3" s="3727" t="s">
        <v>2734</v>
      </c>
      <c r="C3" s="3728" t="s">
        <v>2032</v>
      </c>
      <c r="D3" s="3727" t="s">
        <v>2738</v>
      </c>
      <c r="E3" s="3730" t="s">
        <v>2033</v>
      </c>
      <c r="F3" s="3730"/>
      <c r="G3" s="3730"/>
      <c r="H3" s="3730" t="s">
        <v>2034</v>
      </c>
      <c r="I3" s="3730"/>
      <c r="J3" s="3730"/>
      <c r="K3" s="3728" t="s">
        <v>2035</v>
      </c>
      <c r="L3" s="3728" t="s">
        <v>2036</v>
      </c>
      <c r="M3" s="3727" t="s">
        <v>2735</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2674" t="s">
        <v>2044</v>
      </c>
      <c r="F4" s="2674" t="s">
        <v>2747</v>
      </c>
      <c r="G4" s="2674" t="s">
        <v>2038</v>
      </c>
      <c r="H4" s="2674" t="s">
        <v>2039</v>
      </c>
      <c r="I4" s="2674" t="s">
        <v>2748</v>
      </c>
      <c r="J4" s="2674" t="s">
        <v>2038</v>
      </c>
      <c r="K4" s="3728"/>
      <c r="L4" s="3728"/>
      <c r="M4" s="3727"/>
      <c r="N4" s="3729"/>
      <c r="O4" s="3727"/>
      <c r="P4" s="3728"/>
      <c r="Q4" s="3728"/>
      <c r="R4" s="3728"/>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8139</v>
      </c>
      <c r="Q5" s="1811">
        <f ca="1">结果表!D42</f>
        <v>24516</v>
      </c>
      <c r="R5" s="1812">
        <f ca="1">结果表!C42</f>
        <v>148257</v>
      </c>
    </row>
    <row r="6" spans="1:18">
      <c r="A6" s="3731" t="str">
        <f>IF(项目基本情况!B9="市场价格","——","抵押价格")</f>
        <v>——</v>
      </c>
      <c r="B6" s="3732"/>
      <c r="C6" s="3732"/>
      <c r="D6" s="3732"/>
      <c r="E6" s="3732"/>
      <c r="F6" s="3732"/>
      <c r="G6" s="3732"/>
      <c r="H6" s="3732"/>
      <c r="I6" s="3732"/>
      <c r="J6" s="3732"/>
      <c r="K6" s="3732"/>
      <c r="L6" s="3732"/>
      <c r="M6" s="3732"/>
      <c r="N6" s="3732"/>
      <c r="O6" s="3732"/>
      <c r="P6" s="3732"/>
      <c r="Q6" s="3733"/>
      <c r="R6" s="1813" t="str">
        <f>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813"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36" t="s">
        <v>797</v>
      </c>
      <c r="D4" s="3837"/>
      <c r="E4" s="4013" t="s">
        <v>798</v>
      </c>
      <c r="F4" s="4014"/>
      <c r="G4" s="3836" t="s">
        <v>799</v>
      </c>
      <c r="H4" s="3837"/>
      <c r="I4" s="3836" t="s">
        <v>800</v>
      </c>
      <c r="J4" s="3837"/>
      <c r="K4" s="514" t="s">
        <v>801</v>
      </c>
      <c r="L4" s="2134"/>
      <c r="M4" s="2135"/>
      <c r="N4" s="2135"/>
      <c r="O4" s="2135"/>
      <c r="P4" s="3838" t="s">
        <v>802</v>
      </c>
      <c r="Q4" s="3839"/>
      <c r="R4" s="3823" t="s">
        <v>798</v>
      </c>
      <c r="S4" s="3824"/>
      <c r="T4" s="3823" t="s">
        <v>799</v>
      </c>
      <c r="U4" s="3824"/>
      <c r="V4" s="3844" t="s">
        <v>800</v>
      </c>
      <c r="W4" s="3844"/>
      <c r="X4" s="1567"/>
      <c r="Y4" s="3823" t="s">
        <v>802</v>
      </c>
      <c r="Z4" s="3824"/>
      <c r="AA4" s="3818" t="s">
        <v>798</v>
      </c>
      <c r="AB4" s="3819" t="s">
        <v>799</v>
      </c>
      <c r="AC4" s="3818" t="s">
        <v>800</v>
      </c>
    </row>
    <row r="5" spans="1:29">
      <c r="A5" s="515"/>
      <c r="B5" s="516"/>
      <c r="C5" s="3847" t="s">
        <v>2929</v>
      </c>
      <c r="D5" s="3848"/>
      <c r="E5" s="4035" t="s">
        <v>2930</v>
      </c>
      <c r="F5" s="4016"/>
      <c r="G5" s="3847" t="s">
        <v>2931</v>
      </c>
      <c r="H5" s="3848"/>
      <c r="I5" s="3847" t="s">
        <v>2932</v>
      </c>
      <c r="J5" s="3848"/>
      <c r="K5" s="514"/>
      <c r="L5" s="2134"/>
      <c r="M5" s="2135"/>
      <c r="N5" s="2135"/>
      <c r="O5" s="2135"/>
      <c r="P5" s="3840"/>
      <c r="Q5" s="3841"/>
      <c r="R5" s="3825"/>
      <c r="S5" s="3826"/>
      <c r="T5" s="3825"/>
      <c r="U5" s="3826"/>
      <c r="V5" s="3844"/>
      <c r="W5" s="3844"/>
      <c r="X5" s="1567"/>
      <c r="Y5" s="3825"/>
      <c r="Z5" s="3826"/>
      <c r="AA5" s="3819"/>
      <c r="AB5" s="3819"/>
      <c r="AC5" s="3819"/>
    </row>
    <row r="6" spans="1:29" ht="15" thickBot="1">
      <c r="A6" s="517"/>
      <c r="B6" s="518"/>
      <c r="C6" s="3845" t="s">
        <v>2933</v>
      </c>
      <c r="D6" s="3846"/>
      <c r="E6" s="4019" t="s">
        <v>2933</v>
      </c>
      <c r="F6" s="4020"/>
      <c r="G6" s="3845" t="s">
        <v>2933</v>
      </c>
      <c r="H6" s="3846"/>
      <c r="I6" s="3845" t="s">
        <v>2933</v>
      </c>
      <c r="J6" s="3846"/>
      <c r="K6" s="514" t="s">
        <v>527</v>
      </c>
      <c r="L6" s="2134"/>
      <c r="M6" s="2135"/>
      <c r="N6" s="2135"/>
      <c r="O6" s="2135"/>
      <c r="P6" s="3842"/>
      <c r="Q6" s="3843"/>
      <c r="R6" s="3825"/>
      <c r="S6" s="3826"/>
      <c r="T6" s="3828"/>
      <c r="U6" s="3829"/>
      <c r="V6" s="3844"/>
      <c r="W6" s="3844"/>
      <c r="X6" s="1567"/>
      <c r="Y6" s="3828"/>
      <c r="Z6" s="3829"/>
      <c r="AA6" s="3820"/>
      <c r="AB6" s="3820"/>
      <c r="AC6" s="3820"/>
    </row>
    <row r="7" spans="1:29" s="1220" customFormat="1" ht="1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821" t="s">
        <v>529</v>
      </c>
      <c r="Q7" s="3831"/>
      <c r="R7" s="1568" t="s">
        <v>8</v>
      </c>
      <c r="S7" s="1569">
        <f t="shared" ref="S7:S14" si="0">F7</f>
        <v>0</v>
      </c>
      <c r="T7" s="1568" t="s">
        <v>8</v>
      </c>
      <c r="U7" s="1569">
        <f t="shared" ref="U7:U14" si="1">H7</f>
        <v>0</v>
      </c>
      <c r="V7" s="1568" t="s">
        <v>8</v>
      </c>
      <c r="W7" s="1569">
        <f t="shared" ref="W7:W14" si="2">J7</f>
        <v>0</v>
      </c>
      <c r="X7" s="1570"/>
      <c r="Y7" s="3821" t="s">
        <v>529</v>
      </c>
      <c r="Z7" s="3822"/>
      <c r="AA7" s="1571" t="e">
        <f>D7/F7</f>
        <v>#DIV/0!</v>
      </c>
      <c r="AB7" s="1571" t="e">
        <f>D7/H7</f>
        <v>#DIV/0!</v>
      </c>
      <c r="AC7" s="1571" t="e">
        <f>D7/J7</f>
        <v>#DIV/0!</v>
      </c>
    </row>
    <row r="8" spans="1:29" s="1220" customFormat="1" ht="1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821" t="s">
        <v>532</v>
      </c>
      <c r="Q8" s="3822"/>
      <c r="R8" s="1568" t="s">
        <v>8</v>
      </c>
      <c r="S8" s="1569">
        <f t="shared" si="0"/>
        <v>0</v>
      </c>
      <c r="T8" s="1568" t="s">
        <v>8</v>
      </c>
      <c r="U8" s="1569">
        <f t="shared" si="1"/>
        <v>0</v>
      </c>
      <c r="V8" s="1568" t="s">
        <v>8</v>
      </c>
      <c r="W8" s="1569">
        <f t="shared" si="2"/>
        <v>0</v>
      </c>
      <c r="X8" s="1570"/>
      <c r="Y8" s="3821" t="s">
        <v>532</v>
      </c>
      <c r="Z8" s="3822"/>
      <c r="AA8" s="1571" t="e">
        <f t="shared" ref="AA8:AA34" si="3">D8/F8</f>
        <v>#DIV/0!</v>
      </c>
      <c r="AB8" s="1571" t="e">
        <f t="shared" ref="AB8:AB34" si="4">D8/H8</f>
        <v>#DIV/0!</v>
      </c>
      <c r="AC8" s="1571" t="e">
        <f t="shared" ref="AC8:AC34" si="5">D8/J8</f>
        <v>#DIV/0!</v>
      </c>
    </row>
    <row r="9" spans="1:29" s="1220" customFormat="1" ht="14.4">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830" t="s">
        <v>534</v>
      </c>
      <c r="Q9" s="1151" t="str">
        <f t="shared" ref="Q9:Q14" si="6">B9</f>
        <v>用途</v>
      </c>
      <c r="R9" s="1568" t="s">
        <v>8</v>
      </c>
      <c r="S9" s="1569">
        <f t="shared" si="0"/>
        <v>100</v>
      </c>
      <c r="T9" s="1568" t="s">
        <v>8</v>
      </c>
      <c r="U9" s="1569">
        <f t="shared" si="1"/>
        <v>100</v>
      </c>
      <c r="V9" s="1568" t="s">
        <v>8</v>
      </c>
      <c r="W9" s="1569">
        <f t="shared" si="2"/>
        <v>100</v>
      </c>
      <c r="X9" s="1570"/>
      <c r="Y9" s="3827"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830"/>
      <c r="Q10" s="1151" t="str">
        <f t="shared" si="6"/>
        <v>土地使用年限（年）</v>
      </c>
      <c r="R10" s="1568" t="s">
        <v>8</v>
      </c>
      <c r="S10" s="1569">
        <f t="shared" si="0"/>
        <v>100</v>
      </c>
      <c r="T10" s="1568" t="s">
        <v>8</v>
      </c>
      <c r="U10" s="1569">
        <f t="shared" si="1"/>
        <v>100</v>
      </c>
      <c r="V10" s="1568" t="s">
        <v>8</v>
      </c>
      <c r="W10" s="1569">
        <f t="shared" si="2"/>
        <v>100</v>
      </c>
      <c r="X10" s="1570"/>
      <c r="Y10" s="3827"/>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830"/>
      <c r="Q11" s="1151">
        <f t="shared" si="6"/>
        <v>111</v>
      </c>
      <c r="R11" s="1568" t="s">
        <v>8</v>
      </c>
      <c r="S11" s="1569">
        <f t="shared" si="0"/>
        <v>100</v>
      </c>
      <c r="T11" s="1568" t="s">
        <v>8</v>
      </c>
      <c r="U11" s="1569">
        <f t="shared" si="1"/>
        <v>100</v>
      </c>
      <c r="V11" s="1568" t="s">
        <v>8</v>
      </c>
      <c r="W11" s="1569">
        <f t="shared" si="2"/>
        <v>100</v>
      </c>
      <c r="X11" s="1570"/>
      <c r="Y11" s="3827"/>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830"/>
      <c r="Q12" s="1151">
        <f t="shared" si="6"/>
        <v>111</v>
      </c>
      <c r="R12" s="1568" t="s">
        <v>8</v>
      </c>
      <c r="S12" s="1569">
        <f t="shared" si="0"/>
        <v>100</v>
      </c>
      <c r="T12" s="1568" t="s">
        <v>8</v>
      </c>
      <c r="U12" s="1569">
        <f t="shared" si="1"/>
        <v>100</v>
      </c>
      <c r="V12" s="1568" t="s">
        <v>8</v>
      </c>
      <c r="W12" s="1569">
        <f t="shared" si="2"/>
        <v>100</v>
      </c>
      <c r="X12" s="1570"/>
      <c r="Y12" s="3827"/>
      <c r="Z12" s="1150">
        <f t="shared" si="7"/>
        <v>111</v>
      </c>
      <c r="AA12" s="1571">
        <f>D12/F12</f>
        <v>1</v>
      </c>
      <c r="AB12" s="1571">
        <f>D12/H12</f>
        <v>1</v>
      </c>
      <c r="AC12" s="1571">
        <f>D12/J12</f>
        <v>1</v>
      </c>
    </row>
    <row r="13" spans="1:29" ht="15.6"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830"/>
      <c r="Q13" s="1151">
        <f t="shared" si="6"/>
        <v>111</v>
      </c>
      <c r="R13" s="1568" t="s">
        <v>8</v>
      </c>
      <c r="S13" s="1569">
        <f t="shared" si="0"/>
        <v>100</v>
      </c>
      <c r="T13" s="1568" t="s">
        <v>8</v>
      </c>
      <c r="U13" s="1569">
        <f t="shared" si="1"/>
        <v>100</v>
      </c>
      <c r="V13" s="1568" t="s">
        <v>8</v>
      </c>
      <c r="W13" s="1569">
        <f t="shared" si="2"/>
        <v>100</v>
      </c>
      <c r="X13" s="1570"/>
      <c r="Y13" s="3827"/>
      <c r="Z13" s="1150">
        <f t="shared" si="7"/>
        <v>111</v>
      </c>
      <c r="AA13" s="1571">
        <f t="shared" si="3"/>
        <v>1</v>
      </c>
      <c r="AB13" s="1571">
        <f t="shared" si="4"/>
        <v>1</v>
      </c>
      <c r="AC13" s="1571">
        <f t="shared" si="5"/>
        <v>1</v>
      </c>
    </row>
    <row r="14" spans="1:29" ht="96.6">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832" t="s">
        <v>539</v>
      </c>
      <c r="Q14" s="1572" t="str">
        <f t="shared" si="6"/>
        <v>交通便捷度</v>
      </c>
      <c r="R14" s="1573" t="s">
        <v>8</v>
      </c>
      <c r="S14" s="1574">
        <f t="shared" si="0"/>
        <v>100</v>
      </c>
      <c r="T14" s="1573" t="s">
        <v>8</v>
      </c>
      <c r="U14" s="1574">
        <f t="shared" si="1"/>
        <v>100</v>
      </c>
      <c r="V14" s="1573" t="s">
        <v>8</v>
      </c>
      <c r="W14" s="1574">
        <f t="shared" si="2"/>
        <v>100</v>
      </c>
      <c r="X14" s="1567"/>
      <c r="Y14" s="3832"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833"/>
      <c r="Q15" s="1572"/>
      <c r="R15" s="1573"/>
      <c r="S15" s="1574"/>
      <c r="T15" s="1573"/>
      <c r="U15" s="1574"/>
      <c r="V15" s="1573"/>
      <c r="W15" s="1574"/>
      <c r="X15" s="1567"/>
      <c r="Y15" s="3833"/>
      <c r="Z15" s="1575"/>
      <c r="AA15" s="1576">
        <v>1</v>
      </c>
      <c r="AB15" s="1576">
        <v>1</v>
      </c>
      <c r="AC15" s="1576">
        <v>1</v>
      </c>
    </row>
    <row r="16" spans="1:29" ht="41.4">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833"/>
      <c r="Q16" s="1572" t="str">
        <f>B16</f>
        <v>公共配套设施</v>
      </c>
      <c r="R16" s="1573" t="s">
        <v>8</v>
      </c>
      <c r="S16" s="1574">
        <f>F16</f>
        <v>100</v>
      </c>
      <c r="T16" s="1573" t="s">
        <v>8</v>
      </c>
      <c r="U16" s="1574">
        <f>H16</f>
        <v>100</v>
      </c>
      <c r="V16" s="1573" t="s">
        <v>8</v>
      </c>
      <c r="W16" s="1574">
        <f>J16</f>
        <v>100</v>
      </c>
      <c r="X16" s="1567"/>
      <c r="Y16" s="383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833"/>
      <c r="Q17" s="1572"/>
      <c r="R17" s="1573"/>
      <c r="S17" s="1574"/>
      <c r="T17" s="1573"/>
      <c r="U17" s="1574"/>
      <c r="V17" s="1573"/>
      <c r="W17" s="1574"/>
      <c r="X17" s="1567"/>
      <c r="Y17" s="3833"/>
      <c r="Z17" s="1575"/>
      <c r="AA17" s="1576">
        <v>1</v>
      </c>
      <c r="AB17" s="1576">
        <v>1</v>
      </c>
      <c r="AC17" s="1576">
        <v>1</v>
      </c>
    </row>
    <row r="18" spans="1:29" ht="41.4">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833"/>
      <c r="Q18" s="2604" t="str">
        <f>B18</f>
        <v>基础设施水平</v>
      </c>
      <c r="R18" s="1573" t="s">
        <v>8</v>
      </c>
      <c r="S18" s="1574">
        <f>F18</f>
        <v>100</v>
      </c>
      <c r="T18" s="1573" t="s">
        <v>8</v>
      </c>
      <c r="U18" s="1574">
        <f>H18</f>
        <v>100</v>
      </c>
      <c r="V18" s="1573" t="s">
        <v>8</v>
      </c>
      <c r="W18" s="1574">
        <f>J18</f>
        <v>100</v>
      </c>
      <c r="X18" s="2606"/>
      <c r="Y18" s="383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833"/>
      <c r="Q19" s="2604"/>
      <c r="R19" s="1573"/>
      <c r="S19" s="1574"/>
      <c r="T19" s="1573"/>
      <c r="U19" s="1574"/>
      <c r="V19" s="1573"/>
      <c r="W19" s="1574"/>
      <c r="X19" s="2606"/>
      <c r="Y19" s="3833"/>
      <c r="Z19" s="2605"/>
      <c r="AA19" s="1576">
        <v>1</v>
      </c>
      <c r="AB19" s="1576">
        <v>1</v>
      </c>
      <c r="AC19" s="1576">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833"/>
      <c r="Q20" s="1572" t="str">
        <f>B20</f>
        <v>自然及人文环境</v>
      </c>
      <c r="R20" s="1573" t="s">
        <v>8</v>
      </c>
      <c r="S20" s="1574">
        <f>F20</f>
        <v>100</v>
      </c>
      <c r="T20" s="1573" t="s">
        <v>8</v>
      </c>
      <c r="U20" s="1574">
        <f>H20</f>
        <v>100</v>
      </c>
      <c r="V20" s="1573" t="s">
        <v>8</v>
      </c>
      <c r="W20" s="1574">
        <f>J20</f>
        <v>100</v>
      </c>
      <c r="X20" s="1567"/>
      <c r="Y20" s="383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833"/>
      <c r="Q21" s="1572"/>
      <c r="R21" s="1573"/>
      <c r="S21" s="1574"/>
      <c r="T21" s="1573"/>
      <c r="U21" s="1574"/>
      <c r="V21" s="1573"/>
      <c r="W21" s="1574"/>
      <c r="X21" s="1567"/>
      <c r="Y21" s="3833"/>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833"/>
      <c r="Q22" s="1572" t="str">
        <f>B22</f>
        <v>楼层</v>
      </c>
      <c r="R22" s="1573" t="s">
        <v>8</v>
      </c>
      <c r="S22" s="1574">
        <f>F22</f>
        <v>100</v>
      </c>
      <c r="T22" s="1573" t="s">
        <v>8</v>
      </c>
      <c r="U22" s="1574">
        <f>H22</f>
        <v>100</v>
      </c>
      <c r="V22" s="1573" t="s">
        <v>8</v>
      </c>
      <c r="W22" s="1574">
        <f>J22</f>
        <v>100</v>
      </c>
      <c r="X22" s="1567"/>
      <c r="Y22" s="383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833"/>
      <c r="Q23" s="1572">
        <f>B23</f>
        <v>111</v>
      </c>
      <c r="R23" s="1573" t="s">
        <v>8</v>
      </c>
      <c r="S23" s="1574">
        <f>F23</f>
        <v>100</v>
      </c>
      <c r="T23" s="1573" t="s">
        <v>8</v>
      </c>
      <c r="U23" s="1574">
        <f>H23</f>
        <v>100</v>
      </c>
      <c r="V23" s="1573" t="s">
        <v>8</v>
      </c>
      <c r="W23" s="1574">
        <f>J23</f>
        <v>100</v>
      </c>
      <c r="X23" s="1567"/>
      <c r="Y23" s="383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833"/>
      <c r="Q24" s="1572">
        <f t="shared" ref="Q24:Q34" si="11">B24</f>
        <v>111</v>
      </c>
      <c r="R24" s="1573" t="s">
        <v>8</v>
      </c>
      <c r="S24" s="1574">
        <f>F24</f>
        <v>100</v>
      </c>
      <c r="T24" s="1573" t="s">
        <v>8</v>
      </c>
      <c r="U24" s="1574">
        <f>H24</f>
        <v>100</v>
      </c>
      <c r="V24" s="1573" t="s">
        <v>8</v>
      </c>
      <c r="W24" s="1574">
        <f>J24</f>
        <v>100</v>
      </c>
      <c r="X24" s="1567"/>
      <c r="Y24" s="3833"/>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833"/>
      <c r="Q25" s="1151">
        <f t="shared" si="11"/>
        <v>111</v>
      </c>
      <c r="R25" s="1568" t="s">
        <v>8</v>
      </c>
      <c r="S25" s="1569">
        <f>F25</f>
        <v>100</v>
      </c>
      <c r="T25" s="1568" t="s">
        <v>8</v>
      </c>
      <c r="U25" s="1569">
        <f>H25</f>
        <v>100</v>
      </c>
      <c r="V25" s="1568" t="s">
        <v>8</v>
      </c>
      <c r="W25" s="1569">
        <f>J25</f>
        <v>100</v>
      </c>
      <c r="X25" s="1570"/>
      <c r="Y25" s="3833"/>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834"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835"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835"/>
      <c r="Q27" s="1605" t="str">
        <f t="shared" si="11"/>
        <v>成新率</v>
      </c>
      <c r="R27" s="1577" t="s">
        <v>8</v>
      </c>
      <c r="S27" s="1578" t="e">
        <f t="shared" si="12"/>
        <v>#N/A</v>
      </c>
      <c r="T27" s="1577" t="s">
        <v>8</v>
      </c>
      <c r="U27" s="1578" t="e">
        <f t="shared" si="13"/>
        <v>#N/A</v>
      </c>
      <c r="V27" s="1577" t="s">
        <v>8</v>
      </c>
      <c r="W27" s="1578" t="e">
        <f t="shared" si="14"/>
        <v>#N/A</v>
      </c>
      <c r="X27" s="1579"/>
      <c r="Y27" s="3835"/>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835"/>
      <c r="Q28" s="1572" t="str">
        <f t="shared" si="11"/>
        <v>物业等级</v>
      </c>
      <c r="R28" s="1573" t="s">
        <v>8</v>
      </c>
      <c r="S28" s="1574">
        <f t="shared" si="12"/>
        <v>100</v>
      </c>
      <c r="T28" s="1573" t="s">
        <v>8</v>
      </c>
      <c r="U28" s="1574">
        <f t="shared" si="13"/>
        <v>100</v>
      </c>
      <c r="V28" s="1573" t="s">
        <v>8</v>
      </c>
      <c r="W28" s="1574">
        <f t="shared" si="14"/>
        <v>100</v>
      </c>
      <c r="X28" s="1567"/>
      <c r="Y28" s="3835"/>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835"/>
      <c r="Q29" s="1572" t="str">
        <f t="shared" si="11"/>
        <v>有无电梯</v>
      </c>
      <c r="R29" s="1573" t="s">
        <v>8</v>
      </c>
      <c r="S29" s="1574">
        <f t="shared" si="12"/>
        <v>100</v>
      </c>
      <c r="T29" s="1573" t="s">
        <v>8</v>
      </c>
      <c r="U29" s="1574">
        <f t="shared" si="13"/>
        <v>100</v>
      </c>
      <c r="V29" s="1573" t="s">
        <v>8</v>
      </c>
      <c r="W29" s="1574">
        <f t="shared" si="14"/>
        <v>100</v>
      </c>
      <c r="X29" s="1567"/>
      <c r="Y29" s="3835"/>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835"/>
      <c r="Q30" s="1572" t="str">
        <f t="shared" si="11"/>
        <v>建筑面积</v>
      </c>
      <c r="R30" s="1573" t="s">
        <v>8</v>
      </c>
      <c r="S30" s="1574" t="e">
        <f t="shared" si="12"/>
        <v>#N/A</v>
      </c>
      <c r="T30" s="1573" t="s">
        <v>8</v>
      </c>
      <c r="U30" s="1574" t="e">
        <f t="shared" si="13"/>
        <v>#N/A</v>
      </c>
      <c r="V30" s="1573" t="s">
        <v>8</v>
      </c>
      <c r="W30" s="1574" t="e">
        <f t="shared" si="14"/>
        <v>#N/A</v>
      </c>
      <c r="X30" s="1567"/>
      <c r="Y30" s="3835"/>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835"/>
      <c r="Q31" s="1151" t="str">
        <f t="shared" si="11"/>
        <v>是否封闭</v>
      </c>
      <c r="R31" s="1568" t="s">
        <v>8</v>
      </c>
      <c r="S31" s="1569">
        <f t="shared" si="12"/>
        <v>100</v>
      </c>
      <c r="T31" s="1568" t="s">
        <v>8</v>
      </c>
      <c r="U31" s="1569">
        <f t="shared" si="13"/>
        <v>100</v>
      </c>
      <c r="V31" s="1568" t="s">
        <v>8</v>
      </c>
      <c r="W31" s="1569">
        <f t="shared" si="14"/>
        <v>100</v>
      </c>
      <c r="X31" s="1570"/>
      <c r="Y31" s="383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835" t="s">
        <v>549</v>
      </c>
      <c r="Q32" s="1572">
        <f t="shared" si="11"/>
        <v>111</v>
      </c>
      <c r="R32" s="1573" t="s">
        <v>8</v>
      </c>
      <c r="S32" s="1574">
        <f t="shared" si="12"/>
        <v>100</v>
      </c>
      <c r="T32" s="1573" t="s">
        <v>8</v>
      </c>
      <c r="U32" s="1574">
        <f t="shared" si="13"/>
        <v>100</v>
      </c>
      <c r="V32" s="1573" t="s">
        <v>8</v>
      </c>
      <c r="W32" s="1574">
        <f t="shared" si="14"/>
        <v>100</v>
      </c>
      <c r="X32" s="1567"/>
      <c r="Y32" s="3835"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835"/>
      <c r="Q33" s="1572">
        <f t="shared" si="11"/>
        <v>111</v>
      </c>
      <c r="R33" s="1573" t="s">
        <v>8</v>
      </c>
      <c r="S33" s="1574">
        <f t="shared" si="12"/>
        <v>100</v>
      </c>
      <c r="T33" s="1573" t="s">
        <v>8</v>
      </c>
      <c r="U33" s="1574">
        <f t="shared" si="13"/>
        <v>100</v>
      </c>
      <c r="V33" s="1573" t="s">
        <v>8</v>
      </c>
      <c r="W33" s="1574">
        <f t="shared" si="14"/>
        <v>100</v>
      </c>
      <c r="X33" s="1567"/>
      <c r="Y33" s="3835"/>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835"/>
      <c r="Q34" s="1572">
        <f t="shared" si="11"/>
        <v>111</v>
      </c>
      <c r="R34" s="1573" t="s">
        <v>8</v>
      </c>
      <c r="S34" s="1574">
        <f t="shared" si="12"/>
        <v>100</v>
      </c>
      <c r="T34" s="1573" t="s">
        <v>8</v>
      </c>
      <c r="U34" s="1574">
        <f t="shared" si="13"/>
        <v>100</v>
      </c>
      <c r="V34" s="1573" t="s">
        <v>8</v>
      </c>
      <c r="W34" s="1574">
        <f t="shared" si="14"/>
        <v>100</v>
      </c>
      <c r="X34" s="1567"/>
      <c r="Y34" s="3835"/>
      <c r="Z34" s="1575">
        <f t="shared" si="15"/>
        <v>111</v>
      </c>
      <c r="AA34" s="1576">
        <f t="shared" si="3"/>
        <v>1</v>
      </c>
      <c r="AB34" s="1576">
        <f t="shared" si="4"/>
        <v>1</v>
      </c>
      <c r="AC34" s="1576">
        <f t="shared" si="5"/>
        <v>1</v>
      </c>
    </row>
    <row r="35" spans="1:29" ht="14.4">
      <c r="A35" s="607" t="s">
        <v>735</v>
      </c>
      <c r="B35" s="887"/>
      <c r="C35" s="2652" t="s">
        <v>1</v>
      </c>
      <c r="D35" s="2653"/>
      <c r="E35" s="2654"/>
      <c r="F35" s="2655"/>
      <c r="G35" s="2656"/>
      <c r="H35" s="2657"/>
      <c r="I35" s="2654"/>
      <c r="J35" s="2657"/>
      <c r="K35" s="1611"/>
      <c r="L35" s="2145"/>
      <c r="M35" s="2146"/>
      <c r="N35" s="2135"/>
      <c r="O35" s="2146"/>
      <c r="P35" s="3830" t="str">
        <f>A35</f>
        <v>成交单价（元/平方米）</v>
      </c>
      <c r="Q35" s="3830"/>
      <c r="R35" s="4037">
        <f>E35</f>
        <v>0</v>
      </c>
      <c r="S35" s="4037"/>
      <c r="T35" s="4037">
        <f>G35</f>
        <v>0</v>
      </c>
      <c r="U35" s="4037"/>
      <c r="V35" s="4037">
        <f>I35</f>
        <v>0</v>
      </c>
      <c r="W35" s="4037"/>
      <c r="X35" s="1559"/>
      <c r="Y35" s="1581"/>
      <c r="Z35" s="1559"/>
      <c r="AA35" s="1559"/>
      <c r="AB35" s="1559"/>
      <c r="AC35" s="1559"/>
    </row>
    <row r="36" spans="1:29" ht="1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830" t="str">
        <f>A36</f>
        <v>比较价格（元/平方米）</v>
      </c>
      <c r="Q36" s="3830"/>
      <c r="R36" s="4037" t="e">
        <f>IF(F1="售价",ROUND(PRODUCT(R35,AA7:AA34),0),ROUND(PRODUCT(R35,AA7:AA34),1))</f>
        <v>#DIV/0!</v>
      </c>
      <c r="S36" s="4037"/>
      <c r="T36" s="4037" t="e">
        <f>IF(F1="售价",ROUND(PRODUCT(T35,AB7:AB34),0),ROUND(PRODUCT(T35,AB7:AB34),1))</f>
        <v>#DIV/0!</v>
      </c>
      <c r="U36" s="4037"/>
      <c r="V36" s="4037" t="e">
        <f>IF(F1="售价",ROUND(PRODUCT(V35,AC7:AC34),0),ROUND(PRODUCT(V35,AC7:AC34),1))</f>
        <v>#DIV/0!</v>
      </c>
      <c r="W36" s="4037"/>
      <c r="X36" s="1559"/>
      <c r="Y36" s="1559"/>
      <c r="Z36" s="1559"/>
      <c r="AA36" s="1559"/>
      <c r="AB36" s="1559"/>
      <c r="AC36" s="1559"/>
    </row>
    <row r="37" spans="1:29" ht="15" thickBot="1">
      <c r="A37" s="621" t="s">
        <v>2935</v>
      </c>
      <c r="B37" s="622"/>
      <c r="C37" s="2661" t="e">
        <f>R37</f>
        <v>#DIV/0!</v>
      </c>
      <c r="D37" s="2661"/>
      <c r="E37" s="2661"/>
      <c r="F37" s="2661"/>
      <c r="G37" s="2661"/>
      <c r="H37" s="2661"/>
      <c r="I37" s="2661"/>
      <c r="J37" s="2661"/>
      <c r="K37" s="1613"/>
      <c r="L37" s="2145"/>
      <c r="M37" s="2146"/>
      <c r="N37" s="2146"/>
      <c r="O37" s="2146"/>
      <c r="P37" s="3851" t="str">
        <f>A37</f>
        <v>估价对象XX用房的比较价格（楼面单价，元/平方米）</v>
      </c>
      <c r="Q37" s="3852"/>
      <c r="R37" s="4036" t="e">
        <f>IF(F1="售价",ROUND(AVERAGE(R36:V36),0),ROUND(AVERAGE(R36:V36),1))</f>
        <v>#DIV/0!</v>
      </c>
      <c r="S37" s="4036"/>
      <c r="T37" s="4036"/>
      <c r="U37" s="4036"/>
      <c r="V37" s="4036"/>
      <c r="W37" s="403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4046" t="s">
        <v>2306</v>
      </c>
      <c r="D1" s="4047"/>
      <c r="E1" s="4047"/>
      <c r="F1" s="4047"/>
      <c r="G1" s="4047"/>
      <c r="H1" s="4047"/>
      <c r="I1" s="4047"/>
      <c r="J1" s="4047"/>
      <c r="K1" s="4047"/>
      <c r="L1" s="4047"/>
      <c r="M1" s="4047"/>
      <c r="N1" s="4047"/>
      <c r="O1" s="4047"/>
      <c r="P1" s="4047"/>
      <c r="Q1" s="4047"/>
      <c r="R1" s="4047"/>
      <c r="S1" s="404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4043" t="s">
        <v>20</v>
      </c>
      <c r="D22" s="4044"/>
      <c r="E22" s="4044"/>
      <c r="F22" s="4044"/>
      <c r="G22" s="4044"/>
      <c r="H22" s="4044"/>
      <c r="I22" s="4044"/>
      <c r="J22" s="4044"/>
      <c r="K22" s="4044"/>
      <c r="L22" s="4044"/>
      <c r="M22" s="4044"/>
      <c r="N22" s="4044"/>
      <c r="O22" s="4044"/>
      <c r="P22" s="4044"/>
      <c r="Q22" s="404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8" sqref="C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AD7" sqref="AD7"/>
    </sheetView>
  </sheetViews>
  <sheetFormatPr defaultColWidth="9" defaultRowHeight="14.4"/>
  <cols>
    <col min="1" max="1" width="5" style="3399" customWidth="1"/>
    <col min="2" max="2" width="9" style="3399"/>
    <col min="3" max="3" width="10" style="3399" customWidth="1"/>
    <col min="4" max="10" width="9" style="3399"/>
    <col min="11" max="11" width="16.21875" style="3399" customWidth="1"/>
    <col min="12" max="13" width="9" style="3399"/>
    <col min="14" max="14" width="7.6640625" style="3399" customWidth="1"/>
    <col min="15" max="15" width="10.6640625" style="3399" customWidth="1"/>
    <col min="16" max="16" width="26.44140625" style="3399" customWidth="1"/>
    <col min="17" max="17" width="9" style="3399"/>
    <col min="18" max="18" width="12.33203125" style="3399" customWidth="1"/>
    <col min="19" max="20" width="9" style="3399"/>
    <col min="21" max="21" width="11.21875" style="3399" customWidth="1"/>
    <col min="22" max="22" width="11" style="3399" customWidth="1"/>
    <col min="23" max="23" width="11.88671875" style="3399" customWidth="1"/>
    <col min="24" max="27" width="9" style="3399"/>
    <col min="28" max="28" width="10.21875" style="3399" bestFit="1" customWidth="1"/>
    <col min="29" max="16384" width="9" style="3399"/>
  </cols>
  <sheetData>
    <row r="1" spans="1:32" s="3358" customFormat="1" ht="21.75" customHeight="1">
      <c r="B1" s="4058" t="s">
        <v>3359</v>
      </c>
      <c r="C1" s="4058" t="s">
        <v>3360</v>
      </c>
      <c r="D1" s="4058" t="s">
        <v>3361</v>
      </c>
      <c r="E1" s="4058" t="s">
        <v>3362</v>
      </c>
      <c r="F1" s="4058" t="s">
        <v>3363</v>
      </c>
      <c r="G1" s="4058" t="s">
        <v>3364</v>
      </c>
      <c r="H1" s="4061" t="s">
        <v>3365</v>
      </c>
      <c r="I1" s="4062"/>
      <c r="J1" s="4063" t="s">
        <v>3366</v>
      </c>
      <c r="K1" s="4063" t="s">
        <v>3367</v>
      </c>
      <c r="L1" s="4058" t="s">
        <v>3368</v>
      </c>
      <c r="M1" s="4065" t="s">
        <v>3369</v>
      </c>
      <c r="N1" s="4066"/>
      <c r="O1" s="4066"/>
      <c r="P1" s="4066"/>
      <c r="Q1" s="4066"/>
      <c r="R1" s="4066"/>
      <c r="S1" s="4066"/>
      <c r="T1" s="4067"/>
      <c r="U1" s="4056" t="s">
        <v>3370</v>
      </c>
      <c r="V1" s="4058" t="s">
        <v>3371</v>
      </c>
      <c r="W1" s="4058" t="s">
        <v>3372</v>
      </c>
      <c r="X1" s="4058" t="s">
        <v>3373</v>
      </c>
      <c r="Y1" s="4068" t="s">
        <v>3374</v>
      </c>
      <c r="Z1" s="4058" t="s">
        <v>3375</v>
      </c>
      <c r="AA1" s="4058" t="s">
        <v>3376</v>
      </c>
      <c r="AB1" s="4056" t="s">
        <v>3519</v>
      </c>
    </row>
    <row r="2" spans="1:32" s="3358" customFormat="1" ht="54">
      <c r="B2" s="4059"/>
      <c r="C2" s="4060"/>
      <c r="D2" s="4060"/>
      <c r="E2" s="4060"/>
      <c r="F2" s="4060"/>
      <c r="G2" s="4060"/>
      <c r="H2" s="3359" t="s">
        <v>3377</v>
      </c>
      <c r="I2" s="3359" t="s">
        <v>3378</v>
      </c>
      <c r="J2" s="4064"/>
      <c r="K2" s="4064"/>
      <c r="L2" s="4059"/>
      <c r="M2" s="3359" t="s">
        <v>3379</v>
      </c>
      <c r="N2" s="3359" t="s">
        <v>3380</v>
      </c>
      <c r="O2" s="3360" t="s">
        <v>3518</v>
      </c>
      <c r="P2" s="3359" t="s">
        <v>3381</v>
      </c>
      <c r="Q2" s="3359" t="s">
        <v>3382</v>
      </c>
      <c r="R2" s="3359" t="s">
        <v>3383</v>
      </c>
      <c r="S2" s="3359" t="s">
        <v>3384</v>
      </c>
      <c r="T2" s="3361" t="s">
        <v>3368</v>
      </c>
      <c r="U2" s="4057"/>
      <c r="V2" s="4060"/>
      <c r="W2" s="4060"/>
      <c r="X2" s="4060"/>
      <c r="Y2" s="4068"/>
      <c r="Z2" s="4060"/>
      <c r="AA2" s="4060"/>
      <c r="AB2" s="4057"/>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3562</v>
      </c>
      <c r="O11" s="3447">
        <v>54.943399999999997</v>
      </c>
      <c r="U11" s="3447">
        <v>148296.41099999999</v>
      </c>
      <c r="Z11" s="3448"/>
      <c r="AA11" s="3449"/>
      <c r="AB11" s="3447">
        <f>U11/O11</f>
        <v>2699.0759763684082</v>
      </c>
      <c r="AC11" s="3450" t="s">
        <v>3516</v>
      </c>
      <c r="AD11" s="3447">
        <f>(AD3+AD5+AD9)/3</f>
        <v>5858.0466666666662</v>
      </c>
    </row>
    <row r="12" spans="1:32" s="3447" customFormat="1" ht="38.25" customHeight="1">
      <c r="C12" s="3379" t="s">
        <v>3517</v>
      </c>
      <c r="O12" s="3447">
        <v>63.74803</v>
      </c>
      <c r="U12" s="3447">
        <v>271577.27</v>
      </c>
      <c r="AB12" s="3447">
        <f t="shared" ref="AB12:AB13" si="6">U12/O12</f>
        <v>4260.1672553645976</v>
      </c>
      <c r="AD12" s="3447">
        <f>AD11*666.67/10000</f>
        <v>390.53839712666661</v>
      </c>
    </row>
    <row r="13" spans="1:32" s="3447" customFormat="1" ht="51.75" customHeight="1">
      <c r="C13" s="3379" t="s">
        <v>3563</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3565</v>
      </c>
      <c r="E26" s="3475" t="s">
        <v>3564</v>
      </c>
      <c r="F26" s="3474" t="s">
        <v>3518</v>
      </c>
      <c r="G26" s="3476" t="s">
        <v>3569</v>
      </c>
    </row>
    <row r="27" spans="4:32" ht="84">
      <c r="D27" s="3475" t="s">
        <v>3566</v>
      </c>
      <c r="E27" s="3473" t="s">
        <v>3562</v>
      </c>
      <c r="F27" s="3475">
        <v>54.943399999999997</v>
      </c>
      <c r="G27" s="3475">
        <v>2699.0759763684082</v>
      </c>
    </row>
    <row r="28" spans="4:32" ht="84">
      <c r="D28" s="3475" t="s">
        <v>3567</v>
      </c>
      <c r="E28" s="3473" t="s">
        <v>3517</v>
      </c>
      <c r="F28" s="3475">
        <v>63.74803</v>
      </c>
      <c r="G28" s="3475">
        <v>4260.1672553645976</v>
      </c>
    </row>
    <row r="29" spans="4:32" ht="48">
      <c r="D29" s="3475" t="s">
        <v>3568</v>
      </c>
      <c r="E29" s="3473" t="s">
        <v>3563</v>
      </c>
      <c r="F29" s="3475">
        <v>15.28</v>
      </c>
      <c r="G29" s="3475">
        <v>10901.078534031414</v>
      </c>
    </row>
    <row r="33" spans="1:23" s="2964" customFormat="1" ht="54" customHeight="1">
      <c r="A33" s="4050" t="s">
        <v>3612</v>
      </c>
      <c r="B33" s="4050" t="s">
        <v>3613</v>
      </c>
      <c r="C33" s="4055" t="s">
        <v>3614</v>
      </c>
      <c r="D33" s="4050" t="s">
        <v>3615</v>
      </c>
      <c r="E33" s="4050" t="s">
        <v>3616</v>
      </c>
      <c r="F33" s="4049" t="s">
        <v>3444</v>
      </c>
      <c r="G33" s="4050" t="s">
        <v>3360</v>
      </c>
      <c r="H33" s="4050" t="s">
        <v>3361</v>
      </c>
      <c r="I33" s="4049" t="s">
        <v>3362</v>
      </c>
      <c r="J33" s="4050" t="s">
        <v>3617</v>
      </c>
      <c r="K33" s="4050" t="s">
        <v>3364</v>
      </c>
      <c r="L33" s="4054" t="s">
        <v>3618</v>
      </c>
      <c r="M33" s="4054"/>
      <c r="N33" s="4049" t="s">
        <v>3366</v>
      </c>
      <c r="O33" s="4049" t="s">
        <v>3619</v>
      </c>
      <c r="P33" s="4049" t="s">
        <v>3620</v>
      </c>
      <c r="Q33" s="4049" t="s">
        <v>3579</v>
      </c>
      <c r="R33" s="4051" t="s">
        <v>3621</v>
      </c>
      <c r="S33" s="4052"/>
      <c r="T33" s="4053"/>
      <c r="U33" s="4051" t="s">
        <v>3622</v>
      </c>
      <c r="V33" s="4052"/>
      <c r="W33" s="4053"/>
    </row>
    <row r="34" spans="1:23" s="2964" customFormat="1" ht="69.900000000000006" customHeight="1">
      <c r="A34" s="4050"/>
      <c r="B34" s="4050"/>
      <c r="C34" s="4055"/>
      <c r="D34" s="4050"/>
      <c r="E34" s="4050"/>
      <c r="F34" s="4049"/>
      <c r="G34" s="4050"/>
      <c r="H34" s="4050"/>
      <c r="I34" s="4049"/>
      <c r="J34" s="4050"/>
      <c r="K34" s="4050"/>
      <c r="L34" s="3549" t="s">
        <v>3623</v>
      </c>
      <c r="M34" s="3549" t="s">
        <v>3624</v>
      </c>
      <c r="N34" s="4049"/>
      <c r="O34" s="4050"/>
      <c r="P34" s="4050"/>
      <c r="Q34" s="4050"/>
      <c r="R34" s="3550" t="s">
        <v>3625</v>
      </c>
      <c r="S34" s="3550" t="s">
        <v>3626</v>
      </c>
      <c r="T34" s="3550" t="s">
        <v>3627</v>
      </c>
      <c r="U34" s="3550" t="s">
        <v>3628</v>
      </c>
      <c r="V34" s="3550" t="s">
        <v>3629</v>
      </c>
      <c r="W34" s="3550" t="s">
        <v>3630</v>
      </c>
    </row>
    <row r="35" spans="1:23" s="3628" customFormat="1" ht="409.6">
      <c r="A35" s="3616">
        <v>284</v>
      </c>
      <c r="B35" s="3617">
        <v>2017</v>
      </c>
      <c r="C35" s="3618">
        <v>8</v>
      </c>
      <c r="D35" s="3617">
        <v>2</v>
      </c>
      <c r="E35" s="3619" t="s">
        <v>3844</v>
      </c>
      <c r="F35" s="3619" t="s">
        <v>3632</v>
      </c>
      <c r="G35" s="3620" t="s">
        <v>3845</v>
      </c>
      <c r="H35" s="3620" t="s">
        <v>3634</v>
      </c>
      <c r="I35" s="3620" t="s">
        <v>3635</v>
      </c>
      <c r="J35" s="3620" t="s">
        <v>3846</v>
      </c>
      <c r="K35" s="3621" t="s">
        <v>3847</v>
      </c>
      <c r="L35" s="3621">
        <v>37.299999999999997</v>
      </c>
      <c r="M35" s="3621">
        <v>27.11</v>
      </c>
      <c r="N35" s="3621">
        <v>73.599999999999994</v>
      </c>
      <c r="O35" s="3621">
        <v>1248192</v>
      </c>
      <c r="P35" s="3619" t="s">
        <v>3848</v>
      </c>
      <c r="Q35" s="3621" t="s">
        <v>3849</v>
      </c>
      <c r="R35" s="3616"/>
      <c r="S35" s="3616"/>
      <c r="T35" s="3616"/>
      <c r="U35" s="3616"/>
      <c r="V35" s="3616"/>
      <c r="W35" s="3616"/>
    </row>
    <row r="36" spans="1:23" s="3548" customFormat="1" ht="259.2">
      <c r="A36" s="3547">
        <v>281</v>
      </c>
      <c r="B36" s="3551">
        <v>2017</v>
      </c>
      <c r="C36" s="3552">
        <v>7</v>
      </c>
      <c r="D36" s="3552">
        <v>3</v>
      </c>
      <c r="E36" s="3622" t="s">
        <v>3673</v>
      </c>
      <c r="F36" s="3622" t="s">
        <v>3632</v>
      </c>
      <c r="G36" s="3622" t="s">
        <v>3850</v>
      </c>
      <c r="H36" s="3622" t="s">
        <v>3851</v>
      </c>
      <c r="I36" s="3622" t="s">
        <v>3635</v>
      </c>
      <c r="J36" s="3622" t="s">
        <v>3714</v>
      </c>
      <c r="K36" s="3622" t="s">
        <v>3852</v>
      </c>
      <c r="L36" s="3629">
        <v>2.85</v>
      </c>
      <c r="M36" s="3622">
        <v>2.54</v>
      </c>
      <c r="N36" s="3622">
        <v>7.13</v>
      </c>
      <c r="O36" s="3622">
        <v>117979.22</v>
      </c>
      <c r="P36" s="3622" t="s">
        <v>3853</v>
      </c>
      <c r="Q36" s="3623" t="s">
        <v>3854</v>
      </c>
      <c r="R36" s="3547"/>
      <c r="S36" s="3547"/>
      <c r="T36" s="3547"/>
      <c r="U36" s="3547"/>
      <c r="V36" s="3547"/>
      <c r="W36" s="3547"/>
    </row>
    <row r="37" spans="1:23" s="3548" customFormat="1" ht="403.2">
      <c r="A37" s="3547">
        <v>301</v>
      </c>
      <c r="B37" s="3551">
        <v>2017</v>
      </c>
      <c r="C37" s="3552">
        <v>12</v>
      </c>
      <c r="D37" s="3624">
        <v>1</v>
      </c>
      <c r="E37" s="3625" t="s">
        <v>3844</v>
      </c>
      <c r="F37" s="3625" t="s">
        <v>3632</v>
      </c>
      <c r="G37" s="3625" t="s">
        <v>3855</v>
      </c>
      <c r="H37" s="3625" t="s">
        <v>3856</v>
      </c>
      <c r="I37" s="3625" t="s">
        <v>3635</v>
      </c>
      <c r="J37" s="3625" t="s">
        <v>3857</v>
      </c>
      <c r="K37" s="3625" t="s">
        <v>3637</v>
      </c>
      <c r="L37" s="3626">
        <v>69.55</v>
      </c>
      <c r="M37" s="3626">
        <v>27.66</v>
      </c>
      <c r="N37" s="3626">
        <v>31.2</v>
      </c>
      <c r="O37" s="3627">
        <v>1292358.3500000001</v>
      </c>
      <c r="P37" s="3625" t="s">
        <v>3858</v>
      </c>
      <c r="Q37" s="3625" t="s">
        <v>3859</v>
      </c>
      <c r="R37" s="3547"/>
      <c r="S37" s="3547"/>
      <c r="T37" s="3547"/>
      <c r="U37" s="3547"/>
      <c r="V37" s="3547"/>
      <c r="W37" s="3547"/>
    </row>
  </sheetData>
  <mergeCells count="37">
    <mergeCell ref="AB1:AB2"/>
    <mergeCell ref="V1:V2"/>
    <mergeCell ref="W1:W2"/>
    <mergeCell ref="X1:X2"/>
    <mergeCell ref="Y1:Y2"/>
    <mergeCell ref="Z1:Z2"/>
    <mergeCell ref="AA1:AA2"/>
    <mergeCell ref="U1:U2"/>
    <mergeCell ref="B1:B2"/>
    <mergeCell ref="C1:C2"/>
    <mergeCell ref="D1:D2"/>
    <mergeCell ref="E1:E2"/>
    <mergeCell ref="F1:F2"/>
    <mergeCell ref="G1:G2"/>
    <mergeCell ref="H1:I1"/>
    <mergeCell ref="J1:J2"/>
    <mergeCell ref="K1:K2"/>
    <mergeCell ref="L1:L2"/>
    <mergeCell ref="M1:T1"/>
    <mergeCell ref="A33:A34"/>
    <mergeCell ref="B33:B34"/>
    <mergeCell ref="C33:C34"/>
    <mergeCell ref="D33:D34"/>
    <mergeCell ref="E33:E34"/>
    <mergeCell ref="F33:F34"/>
    <mergeCell ref="G33:G34"/>
    <mergeCell ref="H33:H34"/>
    <mergeCell ref="I33:I34"/>
    <mergeCell ref="J33:J34"/>
    <mergeCell ref="Q33:Q34"/>
    <mergeCell ref="R33:T33"/>
    <mergeCell ref="U33:W33"/>
    <mergeCell ref="K33:K34"/>
    <mergeCell ref="L33:M33"/>
    <mergeCell ref="N33:N34"/>
    <mergeCell ref="O33:O34"/>
    <mergeCell ref="P33:P34"/>
  </mergeCells>
  <phoneticPr fontId="282" type="noConversion"/>
  <dataValidations count="1">
    <dataValidation type="list" allowBlank="1" showInputMessage="1" showErrorMessage="1" sqref="F35:F37">
      <formula1>"公开出让,协议出让,划拨"</formula1>
    </dataValidation>
  </dataValidations>
  <pageMargins left="0.70866141732283472" right="0.70866141732283472" top="0.74803149606299213" bottom="0.74803149606299213" header="0.31496062992125984" footer="0.31496062992125984"/>
  <pageSetup paperSize="9" scale="9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39"/>
  <sheetViews>
    <sheetView topLeftCell="AG1" workbookViewId="0">
      <selection activeCell="AQ47" sqref="AQ47"/>
    </sheetView>
  </sheetViews>
  <sheetFormatPr defaultColWidth="9" defaultRowHeight="14.4"/>
  <cols>
    <col min="1" max="1" width="6.33203125" style="3401" customWidth="1"/>
    <col min="2" max="2" width="6.77734375" style="3401" customWidth="1"/>
    <col min="3" max="3" width="5.109375" style="3401" customWidth="1"/>
    <col min="4" max="4" width="4.6640625" style="3401" customWidth="1"/>
    <col min="5" max="5" width="7.33203125" style="3401" customWidth="1"/>
    <col min="6" max="10" width="9" style="3401"/>
    <col min="11" max="11" width="21.21875" style="3401" customWidth="1"/>
    <col min="12" max="14" width="9" style="3401"/>
    <col min="15" max="15" width="11.77734375" style="3401" customWidth="1"/>
    <col min="16" max="16" width="56.88671875" style="3401" customWidth="1"/>
    <col min="17" max="17" width="9" style="3401"/>
    <col min="18" max="23" width="0" style="3401" hidden="1" customWidth="1"/>
    <col min="24" max="25" width="10.44140625" style="3401" bestFit="1" customWidth="1"/>
    <col min="26" max="26" width="11.6640625" style="3401" bestFit="1" customWidth="1"/>
    <col min="27" max="31" width="11.6640625" style="3401" customWidth="1"/>
    <col min="32" max="32" width="11.6640625" style="3641" customWidth="1"/>
    <col min="33" max="33" width="11.6640625" style="3401" bestFit="1" customWidth="1"/>
    <col min="34" max="35" width="11.6640625" style="3401" customWidth="1"/>
    <col min="36" max="36" width="12.77734375" style="3401" bestFit="1" customWidth="1"/>
    <col min="37" max="16384" width="9" style="3401"/>
  </cols>
  <sheetData>
    <row r="1" spans="1:38" ht="54" customHeight="1">
      <c r="A1" s="4049" t="s">
        <v>3612</v>
      </c>
      <c r="B1" s="4049" t="s">
        <v>3613</v>
      </c>
      <c r="C1" s="4069" t="s">
        <v>3614</v>
      </c>
      <c r="D1" s="4049" t="s">
        <v>3615</v>
      </c>
      <c r="E1" s="4049" t="s">
        <v>3616</v>
      </c>
      <c r="F1" s="4049" t="s">
        <v>3444</v>
      </c>
      <c r="G1" s="4049" t="s">
        <v>3360</v>
      </c>
      <c r="H1" s="4049" t="s">
        <v>3361</v>
      </c>
      <c r="I1" s="4049" t="s">
        <v>3362</v>
      </c>
      <c r="J1" s="4049" t="s">
        <v>3617</v>
      </c>
      <c r="K1" s="4049" t="s">
        <v>3364</v>
      </c>
      <c r="L1" s="4054" t="s">
        <v>3618</v>
      </c>
      <c r="M1" s="4054"/>
      <c r="N1" s="4049" t="s">
        <v>3366</v>
      </c>
      <c r="O1" s="4049" t="s">
        <v>3619</v>
      </c>
      <c r="P1" s="4049" t="s">
        <v>3620</v>
      </c>
      <c r="Q1" s="4049" t="s">
        <v>3579</v>
      </c>
      <c r="R1" s="4051" t="s">
        <v>3621</v>
      </c>
      <c r="S1" s="4052"/>
      <c r="T1" s="4053"/>
      <c r="U1" s="4051" t="s">
        <v>3622</v>
      </c>
      <c r="V1" s="4052"/>
      <c r="W1" s="4053"/>
      <c r="X1" s="4070" t="s">
        <v>3860</v>
      </c>
      <c r="Y1" s="4070" t="s">
        <v>3735</v>
      </c>
      <c r="Z1" s="4070" t="s">
        <v>3736</v>
      </c>
      <c r="AA1" s="4070" t="s">
        <v>3861</v>
      </c>
      <c r="AB1" s="4070" t="s">
        <v>3862</v>
      </c>
      <c r="AC1" s="4070" t="s">
        <v>3863</v>
      </c>
      <c r="AD1" s="4070" t="s">
        <v>3867</v>
      </c>
      <c r="AE1" s="4070" t="s">
        <v>3864</v>
      </c>
      <c r="AF1" s="4072" t="s">
        <v>3865</v>
      </c>
      <c r="AG1" s="4070" t="s">
        <v>3110</v>
      </c>
      <c r="AH1" s="4073" t="s">
        <v>3866</v>
      </c>
      <c r="AI1" s="4073" t="s">
        <v>3572</v>
      </c>
      <c r="AJ1" s="4070" t="s">
        <v>3573</v>
      </c>
      <c r="AK1" s="4071"/>
    </row>
    <row r="2" spans="1:38" ht="69.900000000000006" customHeight="1">
      <c r="A2" s="4049"/>
      <c r="B2" s="4049"/>
      <c r="C2" s="4069"/>
      <c r="D2" s="4049"/>
      <c r="E2" s="4049"/>
      <c r="F2" s="4049"/>
      <c r="G2" s="4049"/>
      <c r="H2" s="4049"/>
      <c r="I2" s="4049"/>
      <c r="J2" s="4049"/>
      <c r="K2" s="4049"/>
      <c r="L2" s="3585" t="s">
        <v>3623</v>
      </c>
      <c r="M2" s="3585" t="s">
        <v>3624</v>
      </c>
      <c r="N2" s="4049"/>
      <c r="O2" s="4049"/>
      <c r="P2" s="4049"/>
      <c r="Q2" s="4049"/>
      <c r="R2" s="3550" t="s">
        <v>3625</v>
      </c>
      <c r="S2" s="3550" t="s">
        <v>3626</v>
      </c>
      <c r="T2" s="3550" t="s">
        <v>3627</v>
      </c>
      <c r="U2" s="3550" t="s">
        <v>3628</v>
      </c>
      <c r="V2" s="3550" t="s">
        <v>3629</v>
      </c>
      <c r="W2" s="3550" t="s">
        <v>3630</v>
      </c>
      <c r="X2" s="4070"/>
      <c r="Y2" s="4070"/>
      <c r="Z2" s="4070"/>
      <c r="AA2" s="4070"/>
      <c r="AB2" s="4070"/>
      <c r="AC2" s="4070"/>
      <c r="AD2" s="4070"/>
      <c r="AE2" s="4070"/>
      <c r="AF2" s="4072"/>
      <c r="AG2" s="4070"/>
      <c r="AH2" s="4073"/>
      <c r="AI2" s="4073"/>
      <c r="AJ2" s="4070"/>
      <c r="AK2" s="4071"/>
    </row>
    <row r="3" spans="1:38" ht="17.25" hidden="1" customHeight="1">
      <c r="A3" s="3239">
        <v>360</v>
      </c>
      <c r="B3" s="3551">
        <v>2019</v>
      </c>
      <c r="C3" s="3552">
        <v>2</v>
      </c>
      <c r="D3" s="3553">
        <v>1</v>
      </c>
      <c r="E3" s="3554" t="s">
        <v>3631</v>
      </c>
      <c r="F3" s="3554" t="s">
        <v>3632</v>
      </c>
      <c r="G3" s="3554" t="s">
        <v>3633</v>
      </c>
      <c r="H3" s="3554" t="s">
        <v>3634</v>
      </c>
      <c r="I3" s="3554" t="s">
        <v>3635</v>
      </c>
      <c r="J3" s="3554" t="s">
        <v>3636</v>
      </c>
      <c r="K3" s="3554" t="s">
        <v>3637</v>
      </c>
      <c r="L3" s="3554">
        <v>7.85</v>
      </c>
      <c r="M3" s="3554">
        <v>7.8471570000000002</v>
      </c>
      <c r="N3" s="3554">
        <v>22.33</v>
      </c>
      <c r="O3" s="3554">
        <v>743001.68</v>
      </c>
      <c r="P3" s="3554" t="s">
        <v>3638</v>
      </c>
      <c r="Q3" s="3554" t="s">
        <v>3639</v>
      </c>
      <c r="R3" s="3554">
        <v>30</v>
      </c>
      <c r="S3" s="3554" t="s">
        <v>3640</v>
      </c>
      <c r="T3" s="3554">
        <v>86.76</v>
      </c>
      <c r="U3" s="3554">
        <v>94.29</v>
      </c>
      <c r="V3" s="3554">
        <v>304.68</v>
      </c>
      <c r="W3" s="3554" t="s">
        <v>3641</v>
      </c>
      <c r="X3" s="3638"/>
    </row>
    <row r="4" spans="1:38" ht="17.25" hidden="1" customHeight="1">
      <c r="A4" s="3239">
        <v>361</v>
      </c>
      <c r="B4" s="3551">
        <v>2019</v>
      </c>
      <c r="C4" s="3552">
        <v>2</v>
      </c>
      <c r="D4" s="3553">
        <v>2</v>
      </c>
      <c r="E4" s="3554" t="s">
        <v>3642</v>
      </c>
      <c r="F4" s="3554" t="s">
        <v>3632</v>
      </c>
      <c r="G4" s="3554" t="s">
        <v>3643</v>
      </c>
      <c r="H4" s="3554" t="s">
        <v>3644</v>
      </c>
      <c r="I4" s="3554" t="s">
        <v>3635</v>
      </c>
      <c r="J4" s="3554" t="s">
        <v>3645</v>
      </c>
      <c r="K4" s="3554" t="s">
        <v>3646</v>
      </c>
      <c r="L4" s="3554">
        <v>10.75</v>
      </c>
      <c r="M4" s="3554">
        <v>10.75</v>
      </c>
      <c r="N4" s="3554">
        <v>25.43</v>
      </c>
      <c r="O4" s="3554">
        <v>275103.15999999997</v>
      </c>
      <c r="P4" s="3554" t="s">
        <v>3734</v>
      </c>
      <c r="Q4" s="3554" t="s">
        <v>3647</v>
      </c>
      <c r="R4" s="3554">
        <v>115.69</v>
      </c>
      <c r="S4" s="3554">
        <v>24.1</v>
      </c>
      <c r="T4" s="3554">
        <v>30.51</v>
      </c>
      <c r="U4" s="3554">
        <v>130.13</v>
      </c>
      <c r="V4" s="3554">
        <v>61.55</v>
      </c>
      <c r="W4" s="3554" t="s">
        <v>3648</v>
      </c>
      <c r="X4" s="3638">
        <v>4141.87</v>
      </c>
      <c r="Y4" s="3401">
        <v>27401.06</v>
      </c>
      <c r="Z4" s="3401">
        <v>254190.96</v>
      </c>
      <c r="AA4" s="3401">
        <v>4012.75</v>
      </c>
      <c r="AB4" s="3401">
        <v>2376.8200000000002</v>
      </c>
      <c r="AC4" s="3401">
        <v>67820.83</v>
      </c>
      <c r="AD4" s="3401">
        <v>10148.629999999999</v>
      </c>
      <c r="AE4" s="3401">
        <f>303+71.78+8</f>
        <v>382.78</v>
      </c>
      <c r="AF4" s="3641">
        <v>2645.5</v>
      </c>
      <c r="AG4" s="3639">
        <f>SUM(X4:AF4)</f>
        <v>373121.20000000007</v>
      </c>
      <c r="AH4" s="3639">
        <f>Y4+Z4</f>
        <v>281592.02</v>
      </c>
      <c r="AI4" s="3639"/>
      <c r="AJ4" s="3401" t="e">
        <f>ROUND(AH4/AI4,0)</f>
        <v>#DIV/0!</v>
      </c>
    </row>
    <row r="5" spans="1:38" ht="17.25" hidden="1" customHeight="1">
      <c r="A5" s="3239">
        <v>369</v>
      </c>
      <c r="B5" s="3551">
        <v>2019</v>
      </c>
      <c r="C5" s="3552">
        <v>4</v>
      </c>
      <c r="D5" s="3553">
        <v>1</v>
      </c>
      <c r="E5" s="3554" t="s">
        <v>3649</v>
      </c>
      <c r="F5" s="3554" t="s">
        <v>3632</v>
      </c>
      <c r="G5" s="3554" t="s">
        <v>3650</v>
      </c>
      <c r="H5" s="3554" t="s">
        <v>3651</v>
      </c>
      <c r="I5" s="3554" t="s">
        <v>3635</v>
      </c>
      <c r="J5" s="3554" t="s">
        <v>3652</v>
      </c>
      <c r="K5" s="3554" t="s">
        <v>3653</v>
      </c>
      <c r="L5" s="3554">
        <v>30.32</v>
      </c>
      <c r="M5" s="3554">
        <v>30.32</v>
      </c>
      <c r="N5" s="3554">
        <v>88.58</v>
      </c>
      <c r="O5" s="3554">
        <v>1903444.32</v>
      </c>
      <c r="P5" s="3554" t="s">
        <v>3870</v>
      </c>
      <c r="Q5" s="3554" t="s">
        <v>3654</v>
      </c>
      <c r="R5" s="3554"/>
      <c r="S5" s="3554"/>
      <c r="T5" s="3554"/>
      <c r="U5" s="3554"/>
      <c r="V5" s="3554"/>
      <c r="W5" s="3554"/>
      <c r="X5" s="3638">
        <v>12230.04</v>
      </c>
      <c r="Y5" s="3401">
        <v>99703.11</v>
      </c>
      <c r="Z5" s="3401">
        <v>2368570.66</v>
      </c>
      <c r="AA5" s="3401">
        <v>33795.97</v>
      </c>
      <c r="AB5" s="3401">
        <v>3121.46</v>
      </c>
      <c r="AC5" s="3590" t="s">
        <v>3124</v>
      </c>
      <c r="AD5" s="3590">
        <v>327264.76</v>
      </c>
      <c r="AE5" s="3401">
        <v>896.23</v>
      </c>
      <c r="AF5" s="3401">
        <v>7364.39</v>
      </c>
      <c r="AG5" s="3639">
        <f t="shared" ref="AG5:AG38" si="0">SUM(X5:AF5)</f>
        <v>2852946.62</v>
      </c>
      <c r="AH5" s="3639">
        <f t="shared" ref="AH5:AH38" si="1">Y5+Z5</f>
        <v>2468273.77</v>
      </c>
      <c r="AI5" s="3639">
        <v>103.48</v>
      </c>
      <c r="AJ5" s="3401">
        <f t="shared" ref="AJ5:AJ38" si="2">ROUND(AH5/AI5,0)</f>
        <v>23853</v>
      </c>
      <c r="AK5" s="3590" t="s">
        <v>3872</v>
      </c>
    </row>
    <row r="6" spans="1:38" s="3664" customFormat="1" ht="16.5" customHeight="1">
      <c r="A6" s="3658">
        <v>373</v>
      </c>
      <c r="B6" s="3659">
        <v>2019</v>
      </c>
      <c r="C6" s="3660">
        <v>5</v>
      </c>
      <c r="D6" s="3661">
        <v>1</v>
      </c>
      <c r="E6" s="3662" t="s">
        <v>3655</v>
      </c>
      <c r="F6" s="3662" t="s">
        <v>3632</v>
      </c>
      <c r="G6" s="3662" t="s">
        <v>3871</v>
      </c>
      <c r="H6" s="3662" t="s">
        <v>3656</v>
      </c>
      <c r="I6" s="3662" t="s">
        <v>3635</v>
      </c>
      <c r="J6" s="3662" t="s">
        <v>3657</v>
      </c>
      <c r="K6" s="3662" t="s">
        <v>3658</v>
      </c>
      <c r="L6" s="3662">
        <v>12</v>
      </c>
      <c r="M6" s="3662">
        <v>9.58</v>
      </c>
      <c r="N6" s="3662">
        <v>14.37</v>
      </c>
      <c r="O6" s="3662">
        <v>880071.74869083497</v>
      </c>
      <c r="P6" s="3662" t="s">
        <v>3659</v>
      </c>
      <c r="Q6" s="3662" t="s">
        <v>3660</v>
      </c>
      <c r="R6" s="3662"/>
      <c r="S6" s="3662"/>
      <c r="T6" s="3662"/>
      <c r="U6" s="3662"/>
      <c r="V6" s="3662"/>
      <c r="W6" s="3662"/>
      <c r="X6" s="3663">
        <v>847.05</v>
      </c>
      <c r="Y6" s="3664">
        <v>82242.820000000007</v>
      </c>
      <c r="Z6" s="3664">
        <v>15516.58</v>
      </c>
      <c r="AA6" s="3664">
        <v>5621.79</v>
      </c>
      <c r="AB6" s="3664">
        <v>977.68</v>
      </c>
      <c r="AC6" s="3664">
        <v>5721.46</v>
      </c>
      <c r="AD6" s="3664">
        <v>2882.32</v>
      </c>
      <c r="AE6" s="3664">
        <v>308.88</v>
      </c>
      <c r="AF6" s="3665" t="s">
        <v>3124</v>
      </c>
      <c r="AG6" s="3666">
        <f t="shared" si="0"/>
        <v>114118.58000000002</v>
      </c>
      <c r="AH6" s="3666">
        <f t="shared" si="1"/>
        <v>97759.400000000009</v>
      </c>
      <c r="AI6" s="3666">
        <v>12</v>
      </c>
      <c r="AJ6" s="3664">
        <f t="shared" si="2"/>
        <v>8147</v>
      </c>
      <c r="AK6" s="3676" t="s">
        <v>3873</v>
      </c>
      <c r="AL6" s="3676"/>
    </row>
    <row r="7" spans="1:38" ht="29.25" hidden="1" customHeight="1">
      <c r="A7" s="3239">
        <v>374</v>
      </c>
      <c r="B7" s="3551">
        <v>2019</v>
      </c>
      <c r="C7" s="3552">
        <v>5</v>
      </c>
      <c r="D7" s="3553">
        <v>2</v>
      </c>
      <c r="E7" s="3554" t="s">
        <v>3631</v>
      </c>
      <c r="F7" s="3554" t="s">
        <v>3632</v>
      </c>
      <c r="G7" s="3554" t="s">
        <v>3661</v>
      </c>
      <c r="H7" s="3554" t="s">
        <v>3662</v>
      </c>
      <c r="I7" s="3554" t="s">
        <v>3635</v>
      </c>
      <c r="J7" s="3554" t="s">
        <v>3663</v>
      </c>
      <c r="K7" s="3554" t="s">
        <v>3664</v>
      </c>
      <c r="L7" s="3554">
        <v>17.690000000000001</v>
      </c>
      <c r="M7" s="3554">
        <v>17.690000000000001</v>
      </c>
      <c r="N7" s="3554">
        <v>23.68</v>
      </c>
      <c r="O7" s="3554">
        <v>265994.08</v>
      </c>
      <c r="P7" s="3554" t="s">
        <v>3665</v>
      </c>
      <c r="Q7" s="3554" t="s">
        <v>3666</v>
      </c>
      <c r="R7" s="3554"/>
      <c r="S7" s="3554"/>
      <c r="T7" s="3554"/>
      <c r="U7" s="3554"/>
      <c r="V7" s="3554"/>
      <c r="W7" s="3554"/>
      <c r="X7" s="3638"/>
      <c r="AG7" s="3639">
        <f t="shared" si="0"/>
        <v>0</v>
      </c>
      <c r="AH7" s="3639">
        <f t="shared" si="1"/>
        <v>0</v>
      </c>
      <c r="AI7" s="3639"/>
      <c r="AJ7" s="3401" t="e">
        <f t="shared" si="2"/>
        <v>#DIV/0!</v>
      </c>
    </row>
    <row r="8" spans="1:38" ht="29.25" hidden="1" customHeight="1">
      <c r="A8" s="3239">
        <v>384</v>
      </c>
      <c r="B8" s="3551">
        <v>2019</v>
      </c>
      <c r="C8" s="3552">
        <v>6</v>
      </c>
      <c r="D8" s="3553">
        <v>1</v>
      </c>
      <c r="E8" s="3554" t="s">
        <v>3642</v>
      </c>
      <c r="F8" s="3554" t="s">
        <v>3632</v>
      </c>
      <c r="G8" s="3554" t="s">
        <v>3667</v>
      </c>
      <c r="H8" s="3554" t="s">
        <v>3668</v>
      </c>
      <c r="I8" s="3554" t="s">
        <v>3635</v>
      </c>
      <c r="J8" s="3554" t="s">
        <v>3669</v>
      </c>
      <c r="K8" s="3554" t="s">
        <v>3670</v>
      </c>
      <c r="L8" s="3554">
        <v>6.07</v>
      </c>
      <c r="M8" s="3554">
        <v>6.07</v>
      </c>
      <c r="N8" s="3554">
        <v>13.27</v>
      </c>
      <c r="O8" s="3554">
        <v>108328.32000000001</v>
      </c>
      <c r="P8" s="3554" t="s">
        <v>3671</v>
      </c>
      <c r="Q8" s="3554" t="s">
        <v>3672</v>
      </c>
      <c r="R8" s="3554"/>
      <c r="S8" s="3554"/>
      <c r="T8" s="3554"/>
      <c r="U8" s="3554"/>
      <c r="V8" s="3554"/>
      <c r="W8" s="3554"/>
      <c r="X8" s="3638">
        <v>428.48</v>
      </c>
      <c r="Y8" s="3401">
        <v>7463.32</v>
      </c>
      <c r="Z8" s="3401">
        <v>122482.46</v>
      </c>
      <c r="AA8" s="3401">
        <v>1196.3</v>
      </c>
      <c r="AB8" s="3401">
        <v>2558.98</v>
      </c>
      <c r="AC8" s="3401">
        <v>47126.9</v>
      </c>
      <c r="AD8" s="3401">
        <v>10730.36</v>
      </c>
      <c r="AE8" s="3401">
        <v>110.6</v>
      </c>
      <c r="AF8" s="3641">
        <v>1727.75</v>
      </c>
      <c r="AG8" s="3639">
        <f t="shared" si="0"/>
        <v>193825.15</v>
      </c>
      <c r="AH8" s="3639">
        <f t="shared" si="1"/>
        <v>129945.78</v>
      </c>
      <c r="AI8" s="3639"/>
      <c r="AJ8" s="3401" t="e">
        <f t="shared" si="2"/>
        <v>#DIV/0!</v>
      </c>
    </row>
    <row r="9" spans="1:38" ht="17.25" customHeight="1">
      <c r="A9" s="3239">
        <v>396</v>
      </c>
      <c r="B9" s="3239">
        <v>2020</v>
      </c>
      <c r="C9" s="3574">
        <v>2</v>
      </c>
      <c r="D9" s="3555">
        <v>4</v>
      </c>
      <c r="E9" s="3556" t="s">
        <v>3673</v>
      </c>
      <c r="F9" s="3556" t="s">
        <v>3632</v>
      </c>
      <c r="G9" s="3556" t="s">
        <v>3884</v>
      </c>
      <c r="H9" s="3556" t="s">
        <v>3674</v>
      </c>
      <c r="I9" s="3556" t="s">
        <v>3635</v>
      </c>
      <c r="J9" s="3556" t="s">
        <v>3675</v>
      </c>
      <c r="K9" s="3557" t="s">
        <v>3676</v>
      </c>
      <c r="L9" s="3558">
        <v>17.7</v>
      </c>
      <c r="M9" s="3558">
        <v>17.7</v>
      </c>
      <c r="N9" s="3558">
        <v>25.1</v>
      </c>
      <c r="O9" s="3575">
        <v>862961.97100000002</v>
      </c>
      <c r="P9" s="3557" t="s">
        <v>3677</v>
      </c>
      <c r="Q9" s="3591" t="s">
        <v>3678</v>
      </c>
      <c r="X9" s="3401">
        <v>18517.41</v>
      </c>
      <c r="Y9" s="3401">
        <v>237396.01</v>
      </c>
      <c r="Z9" s="3590">
        <v>936630.69</v>
      </c>
      <c r="AA9" s="3590">
        <v>50767.45</v>
      </c>
      <c r="AB9" s="3590">
        <v>12947.19</v>
      </c>
      <c r="AC9" s="3590">
        <v>236238.43</v>
      </c>
      <c r="AD9" s="3590">
        <v>29061.86</v>
      </c>
      <c r="AE9" s="3590">
        <f>888.63+89.1+20.24</f>
        <v>997.97</v>
      </c>
      <c r="AF9" s="3641">
        <v>22147.46</v>
      </c>
      <c r="AG9" s="3639">
        <f t="shared" si="0"/>
        <v>1544704.4699999997</v>
      </c>
      <c r="AH9" s="3639">
        <f t="shared" si="1"/>
        <v>1174026.7</v>
      </c>
      <c r="AI9" s="3639">
        <v>156.80000000000001</v>
      </c>
      <c r="AJ9" s="3401">
        <f t="shared" si="2"/>
        <v>7487</v>
      </c>
      <c r="AK9" s="3590" t="s">
        <v>3874</v>
      </c>
    </row>
    <row r="10" spans="1:38" ht="17.25" customHeight="1">
      <c r="A10" s="3239">
        <v>399</v>
      </c>
      <c r="B10" s="3557">
        <v>2020</v>
      </c>
      <c r="C10" s="3559">
        <v>3</v>
      </c>
      <c r="D10" s="3557">
        <v>1</v>
      </c>
      <c r="E10" s="3560" t="s">
        <v>3673</v>
      </c>
      <c r="F10" s="3560" t="s">
        <v>3632</v>
      </c>
      <c r="G10" s="3561" t="s">
        <v>3885</v>
      </c>
      <c r="H10" s="3561" t="s">
        <v>3674</v>
      </c>
      <c r="I10" s="3561" t="s">
        <v>3635</v>
      </c>
      <c r="J10" s="3561" t="s">
        <v>3679</v>
      </c>
      <c r="K10" s="3561" t="s">
        <v>3680</v>
      </c>
      <c r="L10" s="3576">
        <v>11.8453</v>
      </c>
      <c r="M10" s="3576">
        <v>9.2689023000000006</v>
      </c>
      <c r="N10" s="3576">
        <v>30.674299999999999</v>
      </c>
      <c r="O10" s="3576">
        <v>272092.21999999997</v>
      </c>
      <c r="P10" s="3561" t="s">
        <v>3681</v>
      </c>
      <c r="Q10" s="3562" t="s">
        <v>3682</v>
      </c>
      <c r="X10" s="3401">
        <v>2956.69</v>
      </c>
      <c r="Y10" s="3401">
        <v>3068.16</v>
      </c>
      <c r="Z10" s="3401">
        <v>194680.6</v>
      </c>
      <c r="AA10" s="3401">
        <v>51.05</v>
      </c>
      <c r="AB10" s="3401">
        <v>929.93</v>
      </c>
      <c r="AC10" s="3401">
        <v>51307.08</v>
      </c>
      <c r="AD10" s="3401">
        <v>15942.67</v>
      </c>
      <c r="AE10" s="3401">
        <v>201.69</v>
      </c>
      <c r="AF10" s="3641">
        <v>2954.35</v>
      </c>
      <c r="AG10" s="3639">
        <f t="shared" si="0"/>
        <v>272092.21999999997</v>
      </c>
      <c r="AH10" s="3639">
        <f t="shared" si="1"/>
        <v>197748.76</v>
      </c>
      <c r="AI10" s="3639">
        <v>11.85</v>
      </c>
      <c r="AJ10" s="3401">
        <f t="shared" si="2"/>
        <v>16688</v>
      </c>
      <c r="AK10" s="3590" t="s">
        <v>3875</v>
      </c>
    </row>
    <row r="11" spans="1:38" s="3584" customFormat="1" ht="29.25" hidden="1" customHeight="1">
      <c r="A11" s="3577">
        <v>405</v>
      </c>
      <c r="B11" s="3563">
        <v>2020</v>
      </c>
      <c r="C11" s="3564">
        <v>5</v>
      </c>
      <c r="D11" s="3565">
        <v>1</v>
      </c>
      <c r="E11" s="3566" t="s">
        <v>3631</v>
      </c>
      <c r="F11" s="3566" t="s">
        <v>3632</v>
      </c>
      <c r="G11" s="3566" t="s">
        <v>3683</v>
      </c>
      <c r="H11" s="3566" t="s">
        <v>3684</v>
      </c>
      <c r="I11" s="3566" t="s">
        <v>3635</v>
      </c>
      <c r="J11" s="3566" t="s">
        <v>3685</v>
      </c>
      <c r="K11" s="3568" t="s">
        <v>3686</v>
      </c>
      <c r="L11" s="3567">
        <v>18.47</v>
      </c>
      <c r="M11" s="3567">
        <v>18.47</v>
      </c>
      <c r="N11" s="3567">
        <v>39.54</v>
      </c>
      <c r="O11" s="3568">
        <v>1490076</v>
      </c>
      <c r="P11" s="3572" t="s">
        <v>3687</v>
      </c>
      <c r="Q11" s="3569" t="s">
        <v>3688</v>
      </c>
      <c r="AF11" s="3642"/>
      <c r="AG11" s="3639">
        <f t="shared" si="0"/>
        <v>0</v>
      </c>
      <c r="AH11" s="3639">
        <f t="shared" si="1"/>
        <v>0</v>
      </c>
      <c r="AI11" s="3639"/>
      <c r="AJ11" s="3401" t="e">
        <f t="shared" si="2"/>
        <v>#DIV/0!</v>
      </c>
    </row>
    <row r="12" spans="1:38" s="3673" customFormat="1" ht="17.25" customHeight="1">
      <c r="A12" s="3667">
        <v>406</v>
      </c>
      <c r="B12" s="3668">
        <v>2020</v>
      </c>
      <c r="C12" s="3669">
        <v>5</v>
      </c>
      <c r="D12" s="3668">
        <v>2</v>
      </c>
      <c r="E12" s="3670" t="s">
        <v>3631</v>
      </c>
      <c r="F12" s="3670" t="s">
        <v>3632</v>
      </c>
      <c r="G12" s="3668" t="s">
        <v>3888</v>
      </c>
      <c r="H12" s="3668" t="s">
        <v>3634</v>
      </c>
      <c r="I12" s="3668" t="s">
        <v>3635</v>
      </c>
      <c r="J12" s="3668" t="s">
        <v>3689</v>
      </c>
      <c r="K12" s="3671" t="s">
        <v>3690</v>
      </c>
      <c r="L12" s="3672">
        <v>31.95</v>
      </c>
      <c r="M12" s="3672">
        <v>15.55</v>
      </c>
      <c r="N12" s="3672">
        <v>38.909999999999997</v>
      </c>
      <c r="O12" s="3672">
        <v>460924.73</v>
      </c>
      <c r="P12" s="3668" t="s">
        <v>3691</v>
      </c>
      <c r="Q12" s="3668" t="s">
        <v>3692</v>
      </c>
      <c r="X12" s="3673">
        <v>5959.98</v>
      </c>
      <c r="Y12" s="3673">
        <v>295719.05</v>
      </c>
      <c r="Z12" s="3673">
        <v>1048306.2</v>
      </c>
      <c r="AA12" s="3673">
        <v>68727.259999999995</v>
      </c>
      <c r="AB12" s="3673">
        <v>4055.36</v>
      </c>
      <c r="AC12" s="3673">
        <v>263176.42</v>
      </c>
      <c r="AD12" s="3673">
        <v>28455.360000000001</v>
      </c>
      <c r="AE12" s="3673">
        <v>19046.82</v>
      </c>
      <c r="AF12" s="3674" t="s">
        <v>3124</v>
      </c>
      <c r="AG12" s="3675">
        <f t="shared" si="0"/>
        <v>1733446.4500000002</v>
      </c>
      <c r="AH12" s="3675">
        <f t="shared" si="1"/>
        <v>1344025.25</v>
      </c>
      <c r="AI12" s="3675">
        <v>193.6</v>
      </c>
      <c r="AJ12" s="3673">
        <f t="shared" si="2"/>
        <v>6942</v>
      </c>
      <c r="AK12" s="3677" t="s">
        <v>3876</v>
      </c>
    </row>
    <row r="13" spans="1:38" s="3584" customFormat="1" ht="29.25" hidden="1" customHeight="1">
      <c r="A13" s="3577">
        <v>417</v>
      </c>
      <c r="B13" s="3563">
        <v>2021</v>
      </c>
      <c r="C13" s="3579">
        <v>2</v>
      </c>
      <c r="D13" s="3563">
        <v>1</v>
      </c>
      <c r="E13" s="3566" t="s">
        <v>3631</v>
      </c>
      <c r="F13" s="3566" t="s">
        <v>3632</v>
      </c>
      <c r="G13" s="3566" t="s">
        <v>3693</v>
      </c>
      <c r="H13" s="3566" t="s">
        <v>3684</v>
      </c>
      <c r="I13" s="3566" t="s">
        <v>3635</v>
      </c>
      <c r="J13" s="3566" t="s">
        <v>3694</v>
      </c>
      <c r="K13" s="3568" t="s">
        <v>3695</v>
      </c>
      <c r="L13" s="3567">
        <v>11.39</v>
      </c>
      <c r="M13" s="3567">
        <v>11.39</v>
      </c>
      <c r="N13" s="3567">
        <v>27.61</v>
      </c>
      <c r="O13" s="3568">
        <v>917292.13</v>
      </c>
      <c r="P13" s="3572" t="s">
        <v>3696</v>
      </c>
      <c r="Q13" s="3569" t="s">
        <v>3688</v>
      </c>
      <c r="AF13" s="3642"/>
      <c r="AG13" s="3639">
        <f t="shared" si="0"/>
        <v>0</v>
      </c>
      <c r="AH13" s="3639">
        <f t="shared" si="1"/>
        <v>0</v>
      </c>
      <c r="AI13" s="3639"/>
      <c r="AJ13" s="3401" t="e">
        <f t="shared" si="2"/>
        <v>#DIV/0!</v>
      </c>
    </row>
    <row r="14" spans="1:38" ht="17.25" hidden="1" customHeight="1">
      <c r="A14" s="3239">
        <v>418</v>
      </c>
      <c r="B14" s="3557">
        <v>2021</v>
      </c>
      <c r="C14" s="3574">
        <v>2</v>
      </c>
      <c r="D14" s="3555">
        <v>2</v>
      </c>
      <c r="E14" s="3556" t="s">
        <v>3642</v>
      </c>
      <c r="F14" s="3556" t="s">
        <v>3632</v>
      </c>
      <c r="G14" s="3556" t="s">
        <v>3697</v>
      </c>
      <c r="H14" s="3556" t="s">
        <v>3698</v>
      </c>
      <c r="I14" s="3556" t="s">
        <v>3635</v>
      </c>
      <c r="J14" s="3556" t="s">
        <v>3699</v>
      </c>
      <c r="K14" s="3554" t="s">
        <v>3700</v>
      </c>
      <c r="L14" s="3556">
        <v>26.7</v>
      </c>
      <c r="M14" s="3556">
        <v>15.61</v>
      </c>
      <c r="N14" s="3556">
        <v>16.526</v>
      </c>
      <c r="O14" s="3556">
        <v>281956.03999999998</v>
      </c>
      <c r="P14" s="3557" t="s">
        <v>3701</v>
      </c>
      <c r="Q14" s="3557" t="s">
        <v>3702</v>
      </c>
      <c r="X14" s="3401">
        <v>6621.34</v>
      </c>
      <c r="Y14" s="3401">
        <v>153448.47</v>
      </c>
      <c r="Z14" s="3401">
        <v>445653.63</v>
      </c>
      <c r="AA14" s="3401">
        <v>32550.36</v>
      </c>
      <c r="AB14" s="3401">
        <v>7781.13</v>
      </c>
      <c r="AC14" s="3401">
        <v>115054.12</v>
      </c>
      <c r="AD14" s="3401">
        <v>51684.39</v>
      </c>
      <c r="AE14" s="3401">
        <v>1654.58</v>
      </c>
      <c r="AF14" s="3641">
        <v>9913.39</v>
      </c>
      <c r="AG14" s="3639">
        <f t="shared" si="0"/>
        <v>824361.40999999992</v>
      </c>
      <c r="AH14" s="3639">
        <f t="shared" si="1"/>
        <v>599102.1</v>
      </c>
      <c r="AI14" s="3639">
        <v>147.41</v>
      </c>
      <c r="AJ14" s="3401">
        <f t="shared" si="2"/>
        <v>4064</v>
      </c>
      <c r="AK14" s="3590" t="s">
        <v>3877</v>
      </c>
    </row>
    <row r="15" spans="1:38" ht="29.25" hidden="1" customHeight="1">
      <c r="A15" s="3239">
        <v>421</v>
      </c>
      <c r="B15" s="3557">
        <v>2021</v>
      </c>
      <c r="C15" s="3574">
        <v>3</v>
      </c>
      <c r="D15" s="3555">
        <v>1</v>
      </c>
      <c r="E15" s="3556" t="s">
        <v>3673</v>
      </c>
      <c r="F15" s="3556" t="s">
        <v>3632</v>
      </c>
      <c r="G15" s="3556" t="s">
        <v>3703</v>
      </c>
      <c r="H15" s="3556" t="s">
        <v>3651</v>
      </c>
      <c r="I15" s="3556" t="s">
        <v>3635</v>
      </c>
      <c r="J15" s="3556" t="s">
        <v>3704</v>
      </c>
      <c r="K15" s="3556" t="s">
        <v>3705</v>
      </c>
      <c r="L15" s="3556">
        <v>10.58</v>
      </c>
      <c r="M15" s="3556">
        <v>10.58</v>
      </c>
      <c r="N15" s="3556">
        <v>32.21</v>
      </c>
      <c r="O15" s="3571">
        <v>684647.43</v>
      </c>
      <c r="P15" s="3554" t="s">
        <v>3706</v>
      </c>
      <c r="Q15" s="3557" t="s">
        <v>3702</v>
      </c>
      <c r="X15" s="3401">
        <v>11385.95</v>
      </c>
      <c r="Y15" s="3401">
        <v>99703.11</v>
      </c>
      <c r="Z15" s="3401">
        <v>2369274.59</v>
      </c>
      <c r="AA15" s="3401">
        <v>35506.99</v>
      </c>
      <c r="AB15" s="3401">
        <v>3479.56</v>
      </c>
      <c r="AC15" s="3401">
        <v>0</v>
      </c>
      <c r="AD15" s="3401">
        <v>302322.02</v>
      </c>
      <c r="AE15" s="3401">
        <v>896.23</v>
      </c>
      <c r="AF15" s="3641">
        <v>7959.23</v>
      </c>
      <c r="AG15" s="3639">
        <f t="shared" si="0"/>
        <v>2830527.68</v>
      </c>
      <c r="AH15" s="3639">
        <f t="shared" si="1"/>
        <v>2468977.6999999997</v>
      </c>
      <c r="AI15" s="3639"/>
      <c r="AJ15" s="3401" t="e">
        <f t="shared" si="2"/>
        <v>#DIV/0!</v>
      </c>
    </row>
    <row r="16" spans="1:38" ht="21" customHeight="1">
      <c r="A16" s="3239">
        <v>434</v>
      </c>
      <c r="B16" s="3557">
        <v>2021</v>
      </c>
      <c r="C16" s="3574">
        <v>4</v>
      </c>
      <c r="D16" s="3555">
        <v>3</v>
      </c>
      <c r="E16" s="3556" t="s">
        <v>3642</v>
      </c>
      <c r="F16" s="3556" t="s">
        <v>3632</v>
      </c>
      <c r="G16" s="3556" t="s">
        <v>3890</v>
      </c>
      <c r="H16" s="3556" t="s">
        <v>3698</v>
      </c>
      <c r="I16" s="3556" t="s">
        <v>3635</v>
      </c>
      <c r="J16" s="3556" t="s">
        <v>3707</v>
      </c>
      <c r="K16" s="3556" t="s">
        <v>3708</v>
      </c>
      <c r="L16" s="3580" t="s">
        <v>3709</v>
      </c>
      <c r="M16" s="3580" t="s">
        <v>3710</v>
      </c>
      <c r="N16" s="3556" t="s">
        <v>3711</v>
      </c>
      <c r="O16" s="3556" t="s">
        <v>3712</v>
      </c>
      <c r="P16" s="3557" t="s">
        <v>3868</v>
      </c>
      <c r="Q16" s="3557" t="s">
        <v>3702</v>
      </c>
      <c r="X16" s="3401">
        <v>21106.38</v>
      </c>
      <c r="Y16" s="3401">
        <f>13440.63+47469.22</f>
        <v>60909.85</v>
      </c>
      <c r="Z16" s="3401">
        <v>157441.72</v>
      </c>
      <c r="AA16" s="3401">
        <v>114.36</v>
      </c>
      <c r="AB16" s="3401">
        <v>1637.7</v>
      </c>
      <c r="AC16" s="3401">
        <v>55141.9</v>
      </c>
      <c r="AD16" s="3401">
        <v>15499.26</v>
      </c>
      <c r="AE16" s="3401">
        <f>3676.82+214.59+47.47</f>
        <v>3938.88</v>
      </c>
      <c r="AF16" s="3641">
        <v>3430.28</v>
      </c>
      <c r="AG16" s="3639">
        <f t="shared" si="0"/>
        <v>319220.33000000007</v>
      </c>
      <c r="AH16" s="3639">
        <f t="shared" si="1"/>
        <v>218351.57</v>
      </c>
      <c r="AI16" s="3639">
        <v>22.65</v>
      </c>
      <c r="AJ16" s="3401">
        <f t="shared" si="2"/>
        <v>9640</v>
      </c>
      <c r="AK16" s="3590" t="s">
        <v>3878</v>
      </c>
    </row>
    <row r="17" spans="1:37" s="3584" customFormat="1" ht="29.25" hidden="1" customHeight="1">
      <c r="A17" s="3577">
        <v>441</v>
      </c>
      <c r="B17" s="3563">
        <v>2021</v>
      </c>
      <c r="C17" s="3579">
        <v>5</v>
      </c>
      <c r="D17" s="3563">
        <v>1</v>
      </c>
      <c r="E17" s="3570" t="s">
        <v>3631</v>
      </c>
      <c r="F17" s="3570" t="s">
        <v>3632</v>
      </c>
      <c r="G17" s="3572" t="s">
        <v>3713</v>
      </c>
      <c r="H17" s="3563" t="s">
        <v>3684</v>
      </c>
      <c r="I17" s="3563" t="s">
        <v>3635</v>
      </c>
      <c r="J17" s="3563" t="s">
        <v>3714</v>
      </c>
      <c r="K17" s="3572" t="s">
        <v>3715</v>
      </c>
      <c r="L17" s="3578">
        <v>3.68</v>
      </c>
      <c r="M17" s="3578">
        <v>3.68</v>
      </c>
      <c r="N17" s="3578">
        <v>9.2100000000000009</v>
      </c>
      <c r="O17" s="3578">
        <v>323155.75</v>
      </c>
      <c r="P17" s="3563" t="s">
        <v>3716</v>
      </c>
      <c r="Q17" s="3563" t="s">
        <v>3717</v>
      </c>
      <c r="AF17" s="3642"/>
      <c r="AG17" s="3639">
        <f t="shared" si="0"/>
        <v>0</v>
      </c>
      <c r="AH17" s="3639">
        <f t="shared" si="1"/>
        <v>0</v>
      </c>
      <c r="AI17" s="3639"/>
      <c r="AJ17" s="3401" t="e">
        <f t="shared" si="2"/>
        <v>#DIV/0!</v>
      </c>
    </row>
    <row r="18" spans="1:37" s="3584" customFormat="1" ht="29.25" hidden="1" customHeight="1">
      <c r="A18" s="3577">
        <v>442</v>
      </c>
      <c r="B18" s="3563">
        <v>2021</v>
      </c>
      <c r="C18" s="3579">
        <v>5</v>
      </c>
      <c r="D18" s="3563">
        <v>2</v>
      </c>
      <c r="E18" s="3570" t="s">
        <v>3631</v>
      </c>
      <c r="F18" s="3570" t="s">
        <v>3632</v>
      </c>
      <c r="G18" s="3572" t="s">
        <v>3718</v>
      </c>
      <c r="H18" s="3563" t="s">
        <v>3684</v>
      </c>
      <c r="I18" s="3563" t="s">
        <v>3635</v>
      </c>
      <c r="J18" s="3563" t="s">
        <v>3714</v>
      </c>
      <c r="K18" s="3572" t="s">
        <v>3719</v>
      </c>
      <c r="L18" s="3578">
        <v>6.19</v>
      </c>
      <c r="M18" s="3578">
        <v>6.19</v>
      </c>
      <c r="N18" s="3578">
        <v>15.47</v>
      </c>
      <c r="O18" s="3578">
        <v>726960</v>
      </c>
      <c r="P18" s="3563" t="s">
        <v>3720</v>
      </c>
      <c r="Q18" s="3563" t="s">
        <v>3721</v>
      </c>
      <c r="AF18" s="3642"/>
      <c r="AG18" s="3639">
        <f t="shared" si="0"/>
        <v>0</v>
      </c>
      <c r="AH18" s="3639">
        <f t="shared" si="1"/>
        <v>0</v>
      </c>
      <c r="AI18" s="3639"/>
      <c r="AJ18" s="3401" t="e">
        <f t="shared" si="2"/>
        <v>#DIV/0!</v>
      </c>
    </row>
    <row r="19" spans="1:37" ht="17.25" customHeight="1">
      <c r="A19" s="3239">
        <v>444</v>
      </c>
      <c r="B19" s="3557">
        <v>2021</v>
      </c>
      <c r="C19" s="3574">
        <v>5</v>
      </c>
      <c r="D19" s="3557">
        <v>4</v>
      </c>
      <c r="E19" s="3573" t="s">
        <v>3722</v>
      </c>
      <c r="F19" s="3573" t="s">
        <v>3632</v>
      </c>
      <c r="G19" s="3562" t="s">
        <v>3892</v>
      </c>
      <c r="H19" s="3557" t="s">
        <v>3644</v>
      </c>
      <c r="I19" s="3557" t="s">
        <v>3635</v>
      </c>
      <c r="J19" s="3557" t="s">
        <v>3723</v>
      </c>
      <c r="K19" s="3562" t="s">
        <v>3724</v>
      </c>
      <c r="L19" s="3575">
        <v>10.75</v>
      </c>
      <c r="M19" s="3575">
        <v>10.75</v>
      </c>
      <c r="N19" s="3575">
        <v>25.43</v>
      </c>
      <c r="O19" s="3575" t="s">
        <v>3725</v>
      </c>
      <c r="P19" s="3557" t="s">
        <v>3726</v>
      </c>
      <c r="Q19" s="3557" t="s">
        <v>3727</v>
      </c>
      <c r="X19" s="3401">
        <v>4218.76</v>
      </c>
      <c r="Y19" s="3401">
        <v>27401.06</v>
      </c>
      <c r="Z19" s="3401">
        <v>252216.46</v>
      </c>
      <c r="AA19" s="3401">
        <v>1985.06</v>
      </c>
      <c r="AB19" s="3401">
        <v>1282.92</v>
      </c>
      <c r="AC19" s="3401">
        <v>67820.83</v>
      </c>
      <c r="AD19" s="3401">
        <v>5672.89</v>
      </c>
      <c r="AE19" s="3401">
        <f>298+71.78+8</f>
        <v>377.78</v>
      </c>
      <c r="AF19" s="3641">
        <v>2978.63</v>
      </c>
      <c r="AG19" s="3639">
        <f t="shared" si="0"/>
        <v>363954.39</v>
      </c>
      <c r="AH19" s="3639">
        <f t="shared" si="1"/>
        <v>279617.52</v>
      </c>
      <c r="AI19" s="3639">
        <v>50.75</v>
      </c>
      <c r="AJ19" s="3401">
        <f t="shared" si="2"/>
        <v>5510</v>
      </c>
      <c r="AK19" s="3590" t="s">
        <v>3879</v>
      </c>
    </row>
    <row r="20" spans="1:37" s="3583" customFormat="1" ht="17.25" hidden="1" customHeight="1">
      <c r="A20" s="3239">
        <v>449</v>
      </c>
      <c r="B20" s="3239">
        <v>2021</v>
      </c>
      <c r="C20" s="3239">
        <v>8</v>
      </c>
      <c r="D20" s="3239">
        <v>1</v>
      </c>
      <c r="E20" s="3557" t="s">
        <v>3631</v>
      </c>
      <c r="F20" s="3557" t="s">
        <v>3632</v>
      </c>
      <c r="G20" s="3557" t="s">
        <v>3728</v>
      </c>
      <c r="H20" s="3573" t="s">
        <v>3729</v>
      </c>
      <c r="I20" s="3573" t="s">
        <v>3635</v>
      </c>
      <c r="J20" s="3561" t="s">
        <v>3730</v>
      </c>
      <c r="K20" s="3557" t="s">
        <v>3731</v>
      </c>
      <c r="L20" s="3557">
        <v>1.06</v>
      </c>
      <c r="M20" s="3557">
        <v>1.06</v>
      </c>
      <c r="N20" s="3562">
        <v>4.7699999999999996</v>
      </c>
      <c r="O20" s="3575">
        <v>101206.89</v>
      </c>
      <c r="P20" s="3575" t="s">
        <v>3732</v>
      </c>
      <c r="Q20" s="3581" t="s">
        <v>3733</v>
      </c>
      <c r="R20" s="3582"/>
      <c r="S20" s="3561"/>
      <c r="T20" s="3562"/>
      <c r="AF20" s="3643"/>
      <c r="AG20" s="3639">
        <f t="shared" si="0"/>
        <v>0</v>
      </c>
      <c r="AH20" s="3639">
        <f t="shared" si="1"/>
        <v>0</v>
      </c>
      <c r="AI20" s="3639"/>
      <c r="AJ20" s="3401" t="e">
        <f t="shared" si="2"/>
        <v>#DIV/0!</v>
      </c>
    </row>
    <row r="21" spans="1:37" s="3630" customFormat="1" ht="17.25" hidden="1" customHeight="1">
      <c r="A21" s="3577">
        <v>395</v>
      </c>
      <c r="B21" s="3577">
        <v>2020</v>
      </c>
      <c r="C21" s="3579">
        <v>2</v>
      </c>
      <c r="D21" s="3565">
        <v>3</v>
      </c>
      <c r="E21" s="3566" t="s">
        <v>3737</v>
      </c>
      <c r="F21" s="3566" t="s">
        <v>3632</v>
      </c>
      <c r="G21" s="3566" t="s">
        <v>3738</v>
      </c>
      <c r="H21" s="3566" t="s">
        <v>3739</v>
      </c>
      <c r="I21" s="3566" t="s">
        <v>3635</v>
      </c>
      <c r="J21" s="3566" t="s">
        <v>3740</v>
      </c>
      <c r="K21" s="3572" t="s">
        <v>3741</v>
      </c>
      <c r="L21" s="3578">
        <v>3.74</v>
      </c>
      <c r="M21" s="3578">
        <v>3.74</v>
      </c>
      <c r="N21" s="3578">
        <v>14.2</v>
      </c>
      <c r="O21" s="3578" t="s">
        <v>3742</v>
      </c>
      <c r="P21" s="3563" t="s">
        <v>3743</v>
      </c>
      <c r="Q21" s="3563" t="s">
        <v>3744</v>
      </c>
      <c r="Z21" s="3630">
        <v>1074047.1200000001</v>
      </c>
      <c r="AF21" s="3644"/>
      <c r="AG21" s="3639">
        <f t="shared" si="0"/>
        <v>1074047.1200000001</v>
      </c>
      <c r="AH21" s="3639">
        <f t="shared" si="1"/>
        <v>1074047.1200000001</v>
      </c>
      <c r="AI21" s="3639"/>
      <c r="AJ21" s="3401" t="e">
        <f t="shared" si="2"/>
        <v>#DIV/0!</v>
      </c>
    </row>
    <row r="22" spans="1:37" s="3630" customFormat="1" ht="17.25" hidden="1" customHeight="1">
      <c r="A22" s="3577">
        <v>409</v>
      </c>
      <c r="B22" s="3563">
        <v>2020</v>
      </c>
      <c r="C22" s="3564">
        <v>5</v>
      </c>
      <c r="D22" s="3593">
        <v>5</v>
      </c>
      <c r="E22" s="3568" t="s">
        <v>3737</v>
      </c>
      <c r="F22" s="3568" t="s">
        <v>3632</v>
      </c>
      <c r="G22" s="3568" t="s">
        <v>3745</v>
      </c>
      <c r="H22" s="3568" t="s">
        <v>3746</v>
      </c>
      <c r="I22" s="3568" t="s">
        <v>3635</v>
      </c>
      <c r="J22" s="3568" t="s">
        <v>3747</v>
      </c>
      <c r="K22" s="3568" t="s">
        <v>3748</v>
      </c>
      <c r="L22" s="3568">
        <v>1.6</v>
      </c>
      <c r="M22" s="3568">
        <v>1.6</v>
      </c>
      <c r="N22" s="3568">
        <v>2.56</v>
      </c>
      <c r="O22" s="3568">
        <v>38400</v>
      </c>
      <c r="P22" s="3569" t="s">
        <v>3749</v>
      </c>
      <c r="Q22" s="3569" t="s">
        <v>3750</v>
      </c>
      <c r="AF22" s="3644"/>
      <c r="AG22" s="3639">
        <f t="shared" si="0"/>
        <v>0</v>
      </c>
      <c r="AH22" s="3639">
        <f t="shared" si="1"/>
        <v>0</v>
      </c>
      <c r="AI22" s="3639"/>
      <c r="AJ22" s="3401" t="e">
        <f t="shared" si="2"/>
        <v>#DIV/0!</v>
      </c>
    </row>
    <row r="23" spans="1:37" s="3654" customFormat="1" ht="17.25" hidden="1" customHeight="1">
      <c r="A23" s="3648">
        <v>422</v>
      </c>
      <c r="B23" s="3649">
        <v>2021</v>
      </c>
      <c r="C23" s="3650">
        <v>3</v>
      </c>
      <c r="D23" s="3651">
        <v>2</v>
      </c>
      <c r="E23" s="3652" t="s">
        <v>3737</v>
      </c>
      <c r="F23" s="3652" t="s">
        <v>3632</v>
      </c>
      <c r="G23" s="3652" t="s">
        <v>3751</v>
      </c>
      <c r="H23" s="3652" t="s">
        <v>3752</v>
      </c>
      <c r="I23" s="3652" t="s">
        <v>3635</v>
      </c>
      <c r="J23" s="3652" t="s">
        <v>3753</v>
      </c>
      <c r="K23" s="3652" t="s">
        <v>3754</v>
      </c>
      <c r="L23" s="3652">
        <v>8.82</v>
      </c>
      <c r="M23" s="3652">
        <v>8.82</v>
      </c>
      <c r="N23" s="3652">
        <v>27.53</v>
      </c>
      <c r="O23" s="3652">
        <v>168848.31</v>
      </c>
      <c r="P23" s="3653" t="s">
        <v>3755</v>
      </c>
      <c r="Q23" s="3649" t="s">
        <v>3756</v>
      </c>
      <c r="X23" s="3655">
        <v>903.59</v>
      </c>
      <c r="Y23" s="3655">
        <v>18576.79</v>
      </c>
      <c r="Z23" s="3655">
        <v>117144.37</v>
      </c>
      <c r="AA23" s="3655">
        <v>2990.51</v>
      </c>
      <c r="AB23" s="3655">
        <v>1188.5999999999999</v>
      </c>
      <c r="AC23" s="3655">
        <v>18959.71</v>
      </c>
      <c r="AD23" s="3655">
        <v>5491.37</v>
      </c>
      <c r="AE23" s="3655">
        <v>98.87</v>
      </c>
      <c r="AF23" s="3656">
        <v>3494.5</v>
      </c>
      <c r="AG23" s="3657">
        <f t="shared" si="0"/>
        <v>168848.31</v>
      </c>
      <c r="AH23" s="3657">
        <f t="shared" si="1"/>
        <v>135721.16</v>
      </c>
      <c r="AI23" s="3657"/>
      <c r="AJ23" s="3401" t="e">
        <f t="shared" si="2"/>
        <v>#DIV/0!</v>
      </c>
    </row>
    <row r="24" spans="1:37" s="3654" customFormat="1" ht="17.25" hidden="1" customHeight="1">
      <c r="A24" s="3648">
        <v>423</v>
      </c>
      <c r="B24" s="3649">
        <v>2021</v>
      </c>
      <c r="C24" s="3650">
        <v>3</v>
      </c>
      <c r="D24" s="3651">
        <v>3</v>
      </c>
      <c r="E24" s="3652" t="s">
        <v>3737</v>
      </c>
      <c r="F24" s="3652" t="s">
        <v>3632</v>
      </c>
      <c r="G24" s="3652" t="s">
        <v>3757</v>
      </c>
      <c r="H24" s="3652" t="s">
        <v>3758</v>
      </c>
      <c r="I24" s="3652" t="s">
        <v>3635</v>
      </c>
      <c r="J24" s="3652" t="s">
        <v>3759</v>
      </c>
      <c r="K24" s="3652" t="s">
        <v>3760</v>
      </c>
      <c r="L24" s="3652">
        <v>8.18</v>
      </c>
      <c r="M24" s="3652">
        <v>8.18</v>
      </c>
      <c r="N24" s="3652">
        <v>19.760000000000002</v>
      </c>
      <c r="O24" s="3652">
        <v>276942</v>
      </c>
      <c r="P24" s="3653" t="s">
        <v>3761</v>
      </c>
      <c r="Q24" s="3649" t="s">
        <v>3756</v>
      </c>
      <c r="X24" s="3655">
        <v>2089.87</v>
      </c>
      <c r="Y24" s="3655">
        <v>221677.65</v>
      </c>
      <c r="Z24" s="3655">
        <v>362733.54</v>
      </c>
      <c r="AA24" s="3655">
        <v>57102.66</v>
      </c>
      <c r="AB24" s="3655">
        <v>3876.36</v>
      </c>
      <c r="AC24" s="3655">
        <v>95458.559999999998</v>
      </c>
      <c r="AD24" s="3655">
        <v>36614.089999999997</v>
      </c>
      <c r="AE24" s="3655">
        <f>571.29+59+147.32</f>
        <v>777.6099999999999</v>
      </c>
      <c r="AF24" s="3656">
        <v>20113.04</v>
      </c>
      <c r="AG24" s="3657">
        <f t="shared" si="0"/>
        <v>800443.37999999989</v>
      </c>
      <c r="AH24" s="3657">
        <f t="shared" si="1"/>
        <v>584411.18999999994</v>
      </c>
      <c r="AI24" s="3657"/>
      <c r="AJ24" s="3401" t="e">
        <f t="shared" si="2"/>
        <v>#DIV/0!</v>
      </c>
    </row>
    <row r="25" spans="1:37" s="3631" customFormat="1" ht="17.25" hidden="1" customHeight="1">
      <c r="A25" s="3239">
        <v>435</v>
      </c>
      <c r="B25" s="3557">
        <v>2021</v>
      </c>
      <c r="C25" s="3574">
        <v>4</v>
      </c>
      <c r="D25" s="3555">
        <v>4</v>
      </c>
      <c r="E25" s="3555" t="s">
        <v>3737</v>
      </c>
      <c r="F25" s="3555" t="s">
        <v>3632</v>
      </c>
      <c r="G25" s="3554" t="s">
        <v>3762</v>
      </c>
      <c r="H25" s="3554" t="s">
        <v>3752</v>
      </c>
      <c r="I25" s="3554" t="s">
        <v>3635</v>
      </c>
      <c r="J25" s="3554" t="s">
        <v>3763</v>
      </c>
      <c r="K25" s="3553" t="s">
        <v>3764</v>
      </c>
      <c r="L25" s="3554">
        <v>2.68</v>
      </c>
      <c r="M25" s="3554">
        <v>2.68</v>
      </c>
      <c r="N25" s="3554">
        <v>9.94</v>
      </c>
      <c r="O25" s="3554">
        <v>99400</v>
      </c>
      <c r="P25" s="3561" t="s">
        <v>3765</v>
      </c>
      <c r="Q25" s="3561" t="s">
        <v>3766</v>
      </c>
      <c r="X25" s="3401">
        <v>7286.57</v>
      </c>
      <c r="Y25" s="3401">
        <v>281093.78999999998</v>
      </c>
      <c r="Z25" s="3584">
        <v>708287.66</v>
      </c>
      <c r="AA25" s="3584">
        <v>80149.399999999994</v>
      </c>
      <c r="AB25" s="3584">
        <v>7956.59</v>
      </c>
      <c r="AC25" s="3584">
        <v>192316.95</v>
      </c>
      <c r="AD25" s="3584">
        <v>86781.92</v>
      </c>
      <c r="AE25" s="3584">
        <f>802.89+364.09+144</f>
        <v>1310.98</v>
      </c>
      <c r="AF25" s="3642">
        <v>38288.79</v>
      </c>
      <c r="AG25" s="3639">
        <f t="shared" si="0"/>
        <v>1403472.65</v>
      </c>
      <c r="AH25" s="3639">
        <f t="shared" si="1"/>
        <v>989381.45</v>
      </c>
      <c r="AI25" s="3639"/>
      <c r="AJ25" s="3401" t="e">
        <f t="shared" si="2"/>
        <v>#DIV/0!</v>
      </c>
    </row>
    <row r="26" spans="1:37" s="3631" customFormat="1" ht="17.25" hidden="1" customHeight="1">
      <c r="A26" s="3239">
        <v>436</v>
      </c>
      <c r="B26" s="3557">
        <v>2021</v>
      </c>
      <c r="C26" s="3574">
        <v>4</v>
      </c>
      <c r="D26" s="3555">
        <v>5</v>
      </c>
      <c r="E26" s="3555" t="s">
        <v>3737</v>
      </c>
      <c r="F26" s="3555" t="s">
        <v>3632</v>
      </c>
      <c r="G26" s="3554" t="s">
        <v>3767</v>
      </c>
      <c r="H26" s="3553" t="s">
        <v>3768</v>
      </c>
      <c r="I26" s="3554" t="s">
        <v>3769</v>
      </c>
      <c r="J26" s="3553" t="s">
        <v>3714</v>
      </c>
      <c r="K26" s="3553" t="s">
        <v>3770</v>
      </c>
      <c r="L26" s="3554">
        <v>2.97</v>
      </c>
      <c r="M26" s="3554">
        <v>2.7077627</v>
      </c>
      <c r="N26" s="3554">
        <v>5.3072150000000002</v>
      </c>
      <c r="O26" s="3554">
        <v>63083.48</v>
      </c>
      <c r="P26" s="3561" t="s">
        <v>3771</v>
      </c>
      <c r="Q26" s="3557" t="s">
        <v>3772</v>
      </c>
      <c r="X26" s="3401"/>
      <c r="Y26" s="3401"/>
      <c r="Z26" s="3401"/>
      <c r="AA26" s="3401"/>
      <c r="AB26" s="3401"/>
      <c r="AC26" s="3401"/>
      <c r="AD26" s="3401"/>
      <c r="AE26" s="3401"/>
      <c r="AF26" s="3641"/>
      <c r="AG26" s="3639">
        <f t="shared" si="0"/>
        <v>0</v>
      </c>
      <c r="AH26" s="3639">
        <f t="shared" si="1"/>
        <v>0</v>
      </c>
      <c r="AI26" s="3639"/>
      <c r="AJ26" s="3401" t="e">
        <f t="shared" si="2"/>
        <v>#DIV/0!</v>
      </c>
    </row>
    <row r="27" spans="1:37" s="3633" customFormat="1" ht="17.25" hidden="1" customHeight="1">
      <c r="A27" s="3577">
        <v>401</v>
      </c>
      <c r="B27" s="3632">
        <v>2020</v>
      </c>
      <c r="C27" s="3564">
        <v>4</v>
      </c>
      <c r="D27" s="3565">
        <v>1</v>
      </c>
      <c r="E27" s="3566" t="s">
        <v>3773</v>
      </c>
      <c r="F27" s="3566" t="s">
        <v>3632</v>
      </c>
      <c r="G27" s="3566" t="s">
        <v>3774</v>
      </c>
      <c r="H27" s="3566" t="s">
        <v>3775</v>
      </c>
      <c r="I27" s="3566" t="s">
        <v>3635</v>
      </c>
      <c r="J27" s="3566" t="s">
        <v>3776</v>
      </c>
      <c r="K27" s="3594" t="s">
        <v>3777</v>
      </c>
      <c r="L27" s="3596" t="s">
        <v>3778</v>
      </c>
      <c r="M27" s="3596" t="s">
        <v>3778</v>
      </c>
      <c r="N27" s="3567" t="s">
        <v>3779</v>
      </c>
      <c r="O27" s="3567" t="s">
        <v>3780</v>
      </c>
      <c r="P27" s="3592" t="s">
        <v>3781</v>
      </c>
      <c r="Q27" s="3563" t="s">
        <v>3702</v>
      </c>
      <c r="X27" s="3640">
        <v>2972.2</v>
      </c>
      <c r="Y27" s="3640">
        <v>25540.16</v>
      </c>
      <c r="Z27" s="3640">
        <v>538282.59</v>
      </c>
      <c r="AA27" s="3640">
        <v>6552.65</v>
      </c>
      <c r="AB27" s="3640">
        <v>4400.45</v>
      </c>
      <c r="AC27" s="3640">
        <v>70538.850000000006</v>
      </c>
      <c r="AD27" s="3640">
        <v>35581.480000000003</v>
      </c>
      <c r="AE27" s="3640">
        <v>881.23</v>
      </c>
      <c r="AF27" s="3645"/>
      <c r="AG27" s="3639">
        <f t="shared" si="0"/>
        <v>684749.60999999987</v>
      </c>
      <c r="AH27" s="3639">
        <f t="shared" si="1"/>
        <v>563822.75</v>
      </c>
      <c r="AI27" s="3639"/>
      <c r="AJ27" s="3401" t="e">
        <f t="shared" si="2"/>
        <v>#DIV/0!</v>
      </c>
    </row>
    <row r="28" spans="1:37" s="3633" customFormat="1" ht="17.25" hidden="1" customHeight="1">
      <c r="A28" s="3577">
        <v>402</v>
      </c>
      <c r="B28" s="3563">
        <v>2020</v>
      </c>
      <c r="C28" s="3564">
        <v>4</v>
      </c>
      <c r="D28" s="3563">
        <v>2</v>
      </c>
      <c r="E28" s="3570" t="s">
        <v>3773</v>
      </c>
      <c r="F28" s="3570" t="s">
        <v>3632</v>
      </c>
      <c r="G28" s="3563" t="s">
        <v>3782</v>
      </c>
      <c r="H28" s="3563" t="s">
        <v>3783</v>
      </c>
      <c r="I28" s="3563" t="s">
        <v>3635</v>
      </c>
      <c r="J28" s="3563" t="s">
        <v>3784</v>
      </c>
      <c r="K28" s="3597" t="s">
        <v>3785</v>
      </c>
      <c r="L28" s="3634">
        <v>25.67</v>
      </c>
      <c r="M28" s="3634">
        <v>25.67</v>
      </c>
      <c r="N28" s="3634">
        <v>53.89</v>
      </c>
      <c r="O28" s="3598">
        <v>855684.32</v>
      </c>
      <c r="P28" s="3597" t="s">
        <v>3786</v>
      </c>
      <c r="Q28" s="3563" t="s">
        <v>3702</v>
      </c>
      <c r="X28" s="3640">
        <v>7597.4</v>
      </c>
      <c r="Y28" s="3640">
        <v>76808.850000000006</v>
      </c>
      <c r="Z28" s="3640">
        <v>1264708.8700000001</v>
      </c>
      <c r="AA28" s="3640">
        <v>40819.269999999997</v>
      </c>
      <c r="AB28" s="3640">
        <v>9980.7199999999993</v>
      </c>
      <c r="AC28" s="3640">
        <v>201622.75</v>
      </c>
      <c r="AD28" s="3640">
        <v>27998.3</v>
      </c>
      <c r="AE28" s="3640">
        <f>1084.9+685.3</f>
        <v>1770.2</v>
      </c>
      <c r="AF28" s="3645">
        <v>8465.4</v>
      </c>
      <c r="AG28" s="3639">
        <f t="shared" si="0"/>
        <v>1639771.76</v>
      </c>
      <c r="AH28" s="3639">
        <f t="shared" si="1"/>
        <v>1341517.7200000002</v>
      </c>
      <c r="AI28" s="3639"/>
      <c r="AJ28" s="3401" t="e">
        <f t="shared" si="2"/>
        <v>#DIV/0!</v>
      </c>
    </row>
    <row r="29" spans="1:37" s="3635" customFormat="1" ht="17.25" hidden="1" customHeight="1">
      <c r="A29" s="3239">
        <v>403</v>
      </c>
      <c r="B29" s="3557">
        <v>2020</v>
      </c>
      <c r="C29" s="3559">
        <v>4</v>
      </c>
      <c r="D29" s="3557">
        <v>3</v>
      </c>
      <c r="E29" s="3556" t="s">
        <v>3773</v>
      </c>
      <c r="F29" s="3573" t="s">
        <v>3632</v>
      </c>
      <c r="G29" s="3556" t="s">
        <v>3787</v>
      </c>
      <c r="H29" s="3556" t="s">
        <v>3775</v>
      </c>
      <c r="I29" s="3557" t="s">
        <v>3635</v>
      </c>
      <c r="J29" s="3556" t="s">
        <v>3788</v>
      </c>
      <c r="K29" s="3599" t="s">
        <v>3789</v>
      </c>
      <c r="L29" s="3600">
        <v>28.31</v>
      </c>
      <c r="M29" s="3556">
        <v>28.31</v>
      </c>
      <c r="N29" s="3556">
        <v>41.59</v>
      </c>
      <c r="O29" s="3601">
        <v>302337.65999999997</v>
      </c>
      <c r="P29" s="3602" t="s">
        <v>3790</v>
      </c>
      <c r="Q29" s="3561" t="s">
        <v>3791</v>
      </c>
      <c r="X29" s="2"/>
      <c r="Y29" s="2"/>
      <c r="Z29" s="2"/>
      <c r="AA29" s="2"/>
      <c r="AB29" s="2"/>
      <c r="AC29" s="2"/>
      <c r="AD29" s="2"/>
      <c r="AE29" s="2"/>
      <c r="AF29" s="3646"/>
      <c r="AG29" s="3639">
        <f t="shared" si="0"/>
        <v>0</v>
      </c>
      <c r="AH29" s="3639">
        <f t="shared" si="1"/>
        <v>0</v>
      </c>
      <c r="AI29" s="3639"/>
      <c r="AJ29" s="3401" t="e">
        <f t="shared" si="2"/>
        <v>#DIV/0!</v>
      </c>
    </row>
    <row r="30" spans="1:37" s="3633" customFormat="1" ht="17.25" hidden="1" customHeight="1">
      <c r="A30" s="3577">
        <v>410</v>
      </c>
      <c r="B30" s="3563">
        <v>2020</v>
      </c>
      <c r="C30" s="3564">
        <v>5</v>
      </c>
      <c r="D30" s="3563">
        <v>6</v>
      </c>
      <c r="E30" s="3566" t="s">
        <v>3792</v>
      </c>
      <c r="F30" s="3566" t="s">
        <v>3632</v>
      </c>
      <c r="G30" s="3566" t="s">
        <v>3793</v>
      </c>
      <c r="H30" s="3566" t="s">
        <v>3794</v>
      </c>
      <c r="I30" s="3566" t="s">
        <v>3635</v>
      </c>
      <c r="J30" s="3566" t="s">
        <v>3795</v>
      </c>
      <c r="K30" s="3594" t="s">
        <v>3796</v>
      </c>
      <c r="L30" s="3587">
        <v>18.23</v>
      </c>
      <c r="M30" s="3587">
        <v>18.23</v>
      </c>
      <c r="N30" s="3566">
        <v>31.18</v>
      </c>
      <c r="O30" s="3603">
        <v>388814.14</v>
      </c>
      <c r="P30" s="3604" t="s">
        <v>3797</v>
      </c>
      <c r="Q30" s="3569" t="s">
        <v>3798</v>
      </c>
      <c r="X30" s="3640"/>
      <c r="Y30" s="3640"/>
      <c r="Z30" s="3640"/>
      <c r="AA30" s="3640"/>
      <c r="AB30" s="3640"/>
      <c r="AC30" s="3640"/>
      <c r="AD30" s="3640"/>
      <c r="AE30" s="3640"/>
      <c r="AF30" s="3645"/>
      <c r="AG30" s="3639">
        <f t="shared" si="0"/>
        <v>0</v>
      </c>
      <c r="AH30" s="3639">
        <f t="shared" si="1"/>
        <v>0</v>
      </c>
      <c r="AI30" s="3639"/>
      <c r="AJ30" s="3401" t="e">
        <f t="shared" si="2"/>
        <v>#DIV/0!</v>
      </c>
    </row>
    <row r="31" spans="1:37" s="3635" customFormat="1" ht="17.25" hidden="1" customHeight="1">
      <c r="A31" s="3239">
        <v>411</v>
      </c>
      <c r="B31" s="3557">
        <v>2020</v>
      </c>
      <c r="C31" s="3559">
        <v>5</v>
      </c>
      <c r="D31" s="3557">
        <v>7</v>
      </c>
      <c r="E31" s="3556" t="s">
        <v>3799</v>
      </c>
      <c r="F31" s="3556" t="s">
        <v>3632</v>
      </c>
      <c r="G31" s="3556" t="s">
        <v>3800</v>
      </c>
      <c r="H31" s="3556" t="s">
        <v>3801</v>
      </c>
      <c r="I31" s="3556" t="s">
        <v>3635</v>
      </c>
      <c r="J31" s="3556" t="s">
        <v>3802</v>
      </c>
      <c r="K31" s="3599" t="s">
        <v>3803</v>
      </c>
      <c r="L31" s="3636">
        <v>54.78</v>
      </c>
      <c r="M31" s="3554">
        <v>54.78</v>
      </c>
      <c r="N31" s="3554">
        <v>37.621033672670301</v>
      </c>
      <c r="O31" s="3605">
        <v>174378</v>
      </c>
      <c r="P31" s="3606" t="s">
        <v>3804</v>
      </c>
      <c r="Q31" s="3554" t="s">
        <v>3805</v>
      </c>
      <c r="X31" s="2">
        <v>8249.23</v>
      </c>
      <c r="Y31" s="2">
        <v>46139.13</v>
      </c>
      <c r="Z31" s="2">
        <v>122797.36</v>
      </c>
      <c r="AA31" s="2">
        <v>30585.45</v>
      </c>
      <c r="AB31" s="2">
        <v>444.24</v>
      </c>
      <c r="AC31" s="2">
        <v>84664.01</v>
      </c>
      <c r="AD31" s="2">
        <v>4163.33</v>
      </c>
      <c r="AE31" s="2">
        <f>208.85+41.16</f>
        <v>250.01</v>
      </c>
      <c r="AF31" s="3646"/>
      <c r="AG31" s="3639">
        <f t="shared" si="0"/>
        <v>297292.76</v>
      </c>
      <c r="AH31" s="3639">
        <f t="shared" si="1"/>
        <v>168936.49</v>
      </c>
      <c r="AI31" s="3639"/>
      <c r="AJ31" s="3401" t="e">
        <f t="shared" si="2"/>
        <v>#DIV/0!</v>
      </c>
    </row>
    <row r="32" spans="1:37" s="3635" customFormat="1" ht="17.25" hidden="1" customHeight="1">
      <c r="A32" s="3239">
        <v>412</v>
      </c>
      <c r="B32" s="3557">
        <v>2020</v>
      </c>
      <c r="C32" s="3559">
        <v>5</v>
      </c>
      <c r="D32" s="3557">
        <v>8</v>
      </c>
      <c r="E32" s="3556" t="s">
        <v>3792</v>
      </c>
      <c r="F32" s="3556" t="s">
        <v>3632</v>
      </c>
      <c r="G32" s="3556" t="s">
        <v>3806</v>
      </c>
      <c r="H32" s="3556" t="s">
        <v>3807</v>
      </c>
      <c r="I32" s="3556" t="s">
        <v>3635</v>
      </c>
      <c r="J32" s="3556" t="s">
        <v>3808</v>
      </c>
      <c r="K32" s="3599" t="s">
        <v>3809</v>
      </c>
      <c r="L32" s="3586">
        <v>9.07</v>
      </c>
      <c r="M32" s="3586">
        <v>9.07</v>
      </c>
      <c r="N32" s="3554">
        <v>6.2289663273296796</v>
      </c>
      <c r="O32" s="3605">
        <v>28872</v>
      </c>
      <c r="P32" s="3607" t="s">
        <v>3810</v>
      </c>
      <c r="Q32" s="3561" t="s">
        <v>3811</v>
      </c>
      <c r="X32" s="2">
        <v>716.19</v>
      </c>
      <c r="Y32" s="3640">
        <v>5061.88</v>
      </c>
      <c r="Z32" s="3640">
        <v>31557.84</v>
      </c>
      <c r="AA32" s="3640">
        <v>5</v>
      </c>
      <c r="AB32" s="3640">
        <v>204.46</v>
      </c>
      <c r="AC32" s="3640">
        <v>0</v>
      </c>
      <c r="AD32" s="3640">
        <v>750.91</v>
      </c>
      <c r="AE32" s="3640">
        <f>48.05</f>
        <v>48.05</v>
      </c>
      <c r="AF32" s="3645"/>
      <c r="AG32" s="3639">
        <f t="shared" si="0"/>
        <v>38344.330000000009</v>
      </c>
      <c r="AH32" s="3639">
        <f t="shared" si="1"/>
        <v>36619.72</v>
      </c>
      <c r="AI32" s="3639"/>
      <c r="AJ32" s="3401" t="e">
        <f t="shared" si="2"/>
        <v>#DIV/0!</v>
      </c>
    </row>
    <row r="33" spans="1:36" s="3633" customFormat="1" ht="17.25" hidden="1" customHeight="1">
      <c r="A33" s="3577">
        <v>413</v>
      </c>
      <c r="B33" s="3563">
        <v>2020</v>
      </c>
      <c r="C33" s="3564">
        <v>5</v>
      </c>
      <c r="D33" s="3565">
        <v>9</v>
      </c>
      <c r="E33" s="3566" t="s">
        <v>3792</v>
      </c>
      <c r="F33" s="3566" t="s">
        <v>3632</v>
      </c>
      <c r="G33" s="3566" t="s">
        <v>3812</v>
      </c>
      <c r="H33" s="3566" t="s">
        <v>3807</v>
      </c>
      <c r="I33" s="3566" t="s">
        <v>3769</v>
      </c>
      <c r="J33" s="3566" t="s">
        <v>3813</v>
      </c>
      <c r="K33" s="3594" t="s">
        <v>3814</v>
      </c>
      <c r="L33" s="3588">
        <v>49.33</v>
      </c>
      <c r="M33" s="3588">
        <v>10.67</v>
      </c>
      <c r="N33" s="3567">
        <v>26.67</v>
      </c>
      <c r="O33" s="3568">
        <v>380047.5</v>
      </c>
      <c r="P33" s="3595" t="s">
        <v>3815</v>
      </c>
      <c r="Q33" s="3569" t="s">
        <v>3816</v>
      </c>
      <c r="X33" s="3640"/>
      <c r="Y33" s="3640"/>
      <c r="Z33" s="3640"/>
      <c r="AA33" s="3640"/>
      <c r="AB33" s="3640"/>
      <c r="AC33" s="3640"/>
      <c r="AD33" s="3640"/>
      <c r="AE33" s="3640"/>
      <c r="AF33" s="3645"/>
      <c r="AG33" s="3639">
        <f t="shared" si="0"/>
        <v>0</v>
      </c>
      <c r="AH33" s="3639">
        <f t="shared" si="1"/>
        <v>0</v>
      </c>
      <c r="AI33" s="3639"/>
      <c r="AJ33" s="3401" t="e">
        <f t="shared" si="2"/>
        <v>#DIV/0!</v>
      </c>
    </row>
    <row r="34" spans="1:36" s="3635" customFormat="1" ht="17.25" hidden="1" customHeight="1">
      <c r="A34" s="3239">
        <v>419</v>
      </c>
      <c r="B34" s="3557">
        <v>2021</v>
      </c>
      <c r="C34" s="3574">
        <v>2</v>
      </c>
      <c r="D34" s="3555">
        <v>3</v>
      </c>
      <c r="E34" s="3556" t="s">
        <v>3773</v>
      </c>
      <c r="F34" s="3556" t="s">
        <v>3632</v>
      </c>
      <c r="G34" s="3556" t="s">
        <v>3817</v>
      </c>
      <c r="H34" s="3556" t="s">
        <v>3783</v>
      </c>
      <c r="I34" s="3556" t="s">
        <v>3635</v>
      </c>
      <c r="J34" s="3556" t="s">
        <v>3818</v>
      </c>
      <c r="K34" s="3606" t="s">
        <v>3819</v>
      </c>
      <c r="L34" s="3556">
        <v>9.51</v>
      </c>
      <c r="M34" s="3556">
        <v>9.51</v>
      </c>
      <c r="N34" s="3556">
        <v>24.02</v>
      </c>
      <c r="O34" s="3556">
        <v>467732.12</v>
      </c>
      <c r="P34" s="3608" t="s">
        <v>3820</v>
      </c>
      <c r="Q34" s="3557" t="s">
        <v>3702</v>
      </c>
      <c r="X34" s="2">
        <v>3256.84</v>
      </c>
      <c r="Y34" s="2">
        <v>61454.45</v>
      </c>
      <c r="Z34" s="2">
        <v>558371.41</v>
      </c>
      <c r="AA34" s="2">
        <v>13545.18</v>
      </c>
      <c r="AB34" s="2">
        <v>10032.76</v>
      </c>
      <c r="AC34" s="2">
        <v>93040.11</v>
      </c>
      <c r="AD34" s="2">
        <v>51732.85</v>
      </c>
      <c r="AE34" s="2">
        <v>1919.22</v>
      </c>
      <c r="AF34" s="3646">
        <v>4019.21</v>
      </c>
      <c r="AG34" s="3639">
        <f t="shared" si="0"/>
        <v>797372.03</v>
      </c>
      <c r="AH34" s="3639">
        <f t="shared" si="1"/>
        <v>619825.86</v>
      </c>
      <c r="AI34" s="3639"/>
      <c r="AJ34" s="3401" t="e">
        <f t="shared" si="2"/>
        <v>#DIV/0!</v>
      </c>
    </row>
    <row r="35" spans="1:36" s="3633" customFormat="1" ht="17.25" hidden="1" customHeight="1">
      <c r="A35" s="3577">
        <v>424</v>
      </c>
      <c r="B35" s="3563">
        <v>2021</v>
      </c>
      <c r="C35" s="3579">
        <v>3</v>
      </c>
      <c r="D35" s="3565">
        <v>4</v>
      </c>
      <c r="E35" s="3566" t="s">
        <v>3792</v>
      </c>
      <c r="F35" s="3566" t="s">
        <v>3632</v>
      </c>
      <c r="G35" s="3566" t="s">
        <v>3821</v>
      </c>
      <c r="H35" s="3566" t="s">
        <v>3794</v>
      </c>
      <c r="I35" s="3566" t="s">
        <v>3635</v>
      </c>
      <c r="J35" s="3566" t="s">
        <v>3822</v>
      </c>
      <c r="K35" s="3594" t="s">
        <v>3823</v>
      </c>
      <c r="L35" s="3587">
        <v>6.33</v>
      </c>
      <c r="M35" s="3587">
        <v>6.33</v>
      </c>
      <c r="N35" s="3566">
        <v>10.35</v>
      </c>
      <c r="O35" s="3566">
        <v>121639.98</v>
      </c>
      <c r="P35" s="3595" t="s">
        <v>3824</v>
      </c>
      <c r="Q35" s="3569" t="s">
        <v>3766</v>
      </c>
      <c r="X35" s="3640"/>
      <c r="Y35" s="3640"/>
      <c r="Z35" s="3640"/>
      <c r="AA35" s="3640"/>
      <c r="AB35" s="3640"/>
      <c r="AC35" s="3640"/>
      <c r="AD35" s="3640"/>
      <c r="AE35" s="3640"/>
      <c r="AF35" s="3645"/>
      <c r="AG35" s="3639">
        <f t="shared" si="0"/>
        <v>0</v>
      </c>
      <c r="AH35" s="3639">
        <f t="shared" si="1"/>
        <v>0</v>
      </c>
      <c r="AI35" s="3639"/>
      <c r="AJ35" s="3401" t="e">
        <f t="shared" si="2"/>
        <v>#DIV/0!</v>
      </c>
    </row>
    <row r="36" spans="1:36" s="3633" customFormat="1" ht="17.25" hidden="1" customHeight="1">
      <c r="A36" s="3577">
        <v>425</v>
      </c>
      <c r="B36" s="3563">
        <v>2021</v>
      </c>
      <c r="C36" s="3579">
        <v>3</v>
      </c>
      <c r="D36" s="3565">
        <v>5</v>
      </c>
      <c r="E36" s="3566" t="s">
        <v>3825</v>
      </c>
      <c r="F36" s="3566" t="s">
        <v>3826</v>
      </c>
      <c r="G36" s="3566" t="s">
        <v>3827</v>
      </c>
      <c r="H36" s="3566" t="s">
        <v>3775</v>
      </c>
      <c r="I36" s="3566" t="s">
        <v>3635</v>
      </c>
      <c r="J36" s="3566" t="s">
        <v>3828</v>
      </c>
      <c r="K36" s="3609" t="s">
        <v>3829</v>
      </c>
      <c r="L36" s="3610">
        <v>7.1</v>
      </c>
      <c r="M36" s="3610">
        <v>7.1</v>
      </c>
      <c r="N36" s="3567">
        <v>13.57</v>
      </c>
      <c r="O36" s="3567">
        <v>293954.64</v>
      </c>
      <c r="P36" s="3611" t="s">
        <v>3830</v>
      </c>
      <c r="Q36" s="3563" t="s">
        <v>3702</v>
      </c>
      <c r="X36" s="3640">
        <v>2534.87</v>
      </c>
      <c r="Y36" s="3640">
        <v>25275.91</v>
      </c>
      <c r="Z36" s="3640">
        <v>571183.89</v>
      </c>
      <c r="AA36" s="3640">
        <v>555.41999999999996</v>
      </c>
      <c r="AB36" s="3640">
        <v>2535.6999999999998</v>
      </c>
      <c r="AC36" s="3640">
        <v>111123.96</v>
      </c>
      <c r="AD36" s="3640">
        <v>24821.72</v>
      </c>
      <c r="AE36" s="3640">
        <v>483</v>
      </c>
      <c r="AF36" s="3645">
        <v>10030.98</v>
      </c>
      <c r="AG36" s="3639">
        <f t="shared" si="0"/>
        <v>748545.45</v>
      </c>
      <c r="AH36" s="3639">
        <f t="shared" si="1"/>
        <v>596459.80000000005</v>
      </c>
      <c r="AI36" s="3639"/>
      <c r="AJ36" s="3401" t="e">
        <f t="shared" si="2"/>
        <v>#DIV/0!</v>
      </c>
    </row>
    <row r="37" spans="1:36" s="3635" customFormat="1" ht="17.25" hidden="1" customHeight="1">
      <c r="A37" s="3239">
        <v>426</v>
      </c>
      <c r="B37" s="3557">
        <v>2021</v>
      </c>
      <c r="C37" s="3574">
        <v>3</v>
      </c>
      <c r="D37" s="3555">
        <v>6</v>
      </c>
      <c r="E37" s="3556" t="s">
        <v>3825</v>
      </c>
      <c r="F37" s="3556" t="s">
        <v>3632</v>
      </c>
      <c r="G37" s="3556" t="s">
        <v>3831</v>
      </c>
      <c r="H37" s="3612" t="s">
        <v>3832</v>
      </c>
      <c r="I37" s="3556" t="s">
        <v>3635</v>
      </c>
      <c r="J37" s="3556" t="s">
        <v>3833</v>
      </c>
      <c r="K37" s="3606" t="s">
        <v>3834</v>
      </c>
      <c r="L37" s="3589">
        <v>7.14</v>
      </c>
      <c r="M37" s="3589">
        <v>7.14</v>
      </c>
      <c r="N37" s="3613">
        <v>17.86</v>
      </c>
      <c r="O37" s="3613">
        <v>571675.74</v>
      </c>
      <c r="P37" s="3614" t="s">
        <v>3869</v>
      </c>
      <c r="Q37" s="3557" t="s">
        <v>3702</v>
      </c>
      <c r="X37" s="2">
        <v>6446.26</v>
      </c>
      <c r="Y37" s="3640">
        <v>138827.93</v>
      </c>
      <c r="Z37" s="3640">
        <v>1325296.1000000001</v>
      </c>
      <c r="AA37" s="3640">
        <v>32024.2</v>
      </c>
      <c r="AB37" s="3640">
        <f>27761.33+516985.65</f>
        <v>544746.98</v>
      </c>
      <c r="AC37" s="3640">
        <v>271692.32</v>
      </c>
      <c r="AD37" s="3640">
        <v>91689.17</v>
      </c>
      <c r="AE37" s="3640">
        <v>1523.81</v>
      </c>
      <c r="AF37" s="3645">
        <v>12974.12</v>
      </c>
      <c r="AG37" s="3639">
        <f t="shared" si="0"/>
        <v>2425220.89</v>
      </c>
      <c r="AH37" s="3639">
        <f t="shared" si="1"/>
        <v>1464124.03</v>
      </c>
      <c r="AI37" s="3639"/>
      <c r="AJ37" s="3401" t="e">
        <f t="shared" si="2"/>
        <v>#DIV/0!</v>
      </c>
    </row>
    <row r="38" spans="1:36" s="3633" customFormat="1" ht="17.25" hidden="1" customHeight="1">
      <c r="A38" s="3577">
        <v>445</v>
      </c>
      <c r="B38" s="3563">
        <v>2021</v>
      </c>
      <c r="C38" s="3579">
        <v>5</v>
      </c>
      <c r="D38" s="3563">
        <v>5</v>
      </c>
      <c r="E38" s="3570" t="s">
        <v>3799</v>
      </c>
      <c r="F38" s="3570" t="s">
        <v>3632</v>
      </c>
      <c r="G38" s="3572" t="s">
        <v>3835</v>
      </c>
      <c r="H38" s="3563" t="s">
        <v>3836</v>
      </c>
      <c r="I38" s="3563" t="s">
        <v>3635</v>
      </c>
      <c r="J38" s="3563" t="s">
        <v>3694</v>
      </c>
      <c r="K38" s="3572" t="s">
        <v>3837</v>
      </c>
      <c r="L38" s="3634">
        <v>4.07</v>
      </c>
      <c r="M38" s="3634">
        <v>4.07</v>
      </c>
      <c r="N38" s="3634">
        <v>7.54</v>
      </c>
      <c r="O38" s="3634">
        <v>72602.899999999994</v>
      </c>
      <c r="P38" s="3592" t="s">
        <v>3838</v>
      </c>
      <c r="Q38" s="3563" t="s">
        <v>3702</v>
      </c>
      <c r="X38" s="3640">
        <v>402.94</v>
      </c>
      <c r="Y38" s="3640">
        <v>12139.74</v>
      </c>
      <c r="Z38" s="3640">
        <v>39759.29</v>
      </c>
      <c r="AA38" s="3640">
        <v>4916.43</v>
      </c>
      <c r="AB38" s="3640">
        <v>2556.15</v>
      </c>
      <c r="AC38" s="3640">
        <v>9229.1200000000008</v>
      </c>
      <c r="AD38" s="3640">
        <v>2297.6999999999998</v>
      </c>
      <c r="AE38" s="3640">
        <v>45.44</v>
      </c>
      <c r="AF38" s="3645">
        <v>1487.3</v>
      </c>
      <c r="AG38" s="3639">
        <f t="shared" si="0"/>
        <v>72834.11</v>
      </c>
      <c r="AH38" s="3639">
        <f t="shared" si="1"/>
        <v>51899.03</v>
      </c>
      <c r="AI38" s="3639"/>
      <c r="AJ38" s="3401" t="e">
        <f t="shared" si="2"/>
        <v>#DIV/0!</v>
      </c>
    </row>
    <row r="39" spans="1:36" s="3637" customFormat="1" ht="165.9" hidden="1" customHeight="1">
      <c r="A39" s="3239">
        <v>447</v>
      </c>
      <c r="B39" s="3557">
        <v>2021</v>
      </c>
      <c r="C39" s="3557">
        <v>6</v>
      </c>
      <c r="D39" s="3557">
        <v>1</v>
      </c>
      <c r="E39" s="3555" t="s">
        <v>3773</v>
      </c>
      <c r="F39" s="3555" t="s">
        <v>3632</v>
      </c>
      <c r="G39" s="3555" t="s">
        <v>3839</v>
      </c>
      <c r="H39" s="3555" t="s">
        <v>3783</v>
      </c>
      <c r="I39" s="3556" t="s">
        <v>3769</v>
      </c>
      <c r="J39" s="3555" t="s">
        <v>3840</v>
      </c>
      <c r="K39" s="3553" t="s">
        <v>3841</v>
      </c>
      <c r="L39" s="3556">
        <v>1.52</v>
      </c>
      <c r="M39" s="3556">
        <v>1.52</v>
      </c>
      <c r="N39" s="3556">
        <v>3.04</v>
      </c>
      <c r="O39" s="3556">
        <v>28927.01</v>
      </c>
      <c r="P39" s="3615" t="s">
        <v>3842</v>
      </c>
      <c r="Q39" s="3557" t="s">
        <v>3843</v>
      </c>
      <c r="AF39" s="3647"/>
    </row>
  </sheetData>
  <mergeCells count="32">
    <mergeCell ref="AK1:AK2"/>
    <mergeCell ref="AC1:AC2"/>
    <mergeCell ref="AD1:AD2"/>
    <mergeCell ref="AE1:AE2"/>
    <mergeCell ref="AG1:AG2"/>
    <mergeCell ref="AJ1:AJ2"/>
    <mergeCell ref="AF1:AF2"/>
    <mergeCell ref="AH1:AH2"/>
    <mergeCell ref="AI1:AI2"/>
    <mergeCell ref="X1:X2"/>
    <mergeCell ref="Y1:Y2"/>
    <mergeCell ref="Z1:Z2"/>
    <mergeCell ref="AA1:AA2"/>
    <mergeCell ref="AB1:AB2"/>
    <mergeCell ref="U1:W1"/>
    <mergeCell ref="G1:G2"/>
    <mergeCell ref="H1:H2"/>
    <mergeCell ref="I1:I2"/>
    <mergeCell ref="J1:J2"/>
    <mergeCell ref="K1:K2"/>
    <mergeCell ref="L1:M1"/>
    <mergeCell ref="N1:N2"/>
    <mergeCell ref="O1:O2"/>
    <mergeCell ref="P1:P2"/>
    <mergeCell ref="Q1:Q2"/>
    <mergeCell ref="R1:T1"/>
    <mergeCell ref="F1:F2"/>
    <mergeCell ref="A1:A2"/>
    <mergeCell ref="B1:B2"/>
    <mergeCell ref="C1:C2"/>
    <mergeCell ref="D1:D2"/>
    <mergeCell ref="E1:E2"/>
  </mergeCells>
  <phoneticPr fontId="238" type="noConversion"/>
  <dataValidations count="1">
    <dataValidation type="list" allowBlank="1" showInputMessage="1" showErrorMessage="1" sqref="F5:F7 F9:F35 F37:F39">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8"/>
  <sheetViews>
    <sheetView workbookViewId="0">
      <selection sqref="A1:G8"/>
    </sheetView>
  </sheetViews>
  <sheetFormatPr defaultRowHeight="14.4"/>
  <cols>
    <col min="1" max="1" width="6.44140625" customWidth="1"/>
    <col min="2" max="2" width="8.44140625" customWidth="1"/>
    <col min="3" max="3" width="7.88671875" customWidth="1"/>
    <col min="5" max="5" width="24.21875" customWidth="1"/>
    <col min="7" max="7" width="12.44140625" customWidth="1"/>
  </cols>
  <sheetData>
    <row r="1" spans="1:7" ht="47.4" thickBot="1">
      <c r="A1" s="3678" t="s">
        <v>3900</v>
      </c>
      <c r="B1" s="3678" t="s">
        <v>3897</v>
      </c>
      <c r="C1" s="3678" t="s">
        <v>3898</v>
      </c>
      <c r="D1" s="3678" t="s">
        <v>3901</v>
      </c>
      <c r="E1" s="3678" t="s">
        <v>3902</v>
      </c>
      <c r="F1" s="3678" t="s">
        <v>3903</v>
      </c>
      <c r="G1" s="3678" t="s">
        <v>3899</v>
      </c>
    </row>
    <row r="2" spans="1:7" ht="45.6" thickBot="1">
      <c r="A2" s="3678">
        <v>1</v>
      </c>
      <c r="B2" s="3678">
        <v>2019</v>
      </c>
      <c r="C2" s="3678">
        <v>5</v>
      </c>
      <c r="D2" s="3678" t="s">
        <v>3655</v>
      </c>
      <c r="E2" s="3678" t="s">
        <v>3883</v>
      </c>
      <c r="F2" s="3678" t="s">
        <v>3894</v>
      </c>
      <c r="G2" s="3678">
        <v>8147</v>
      </c>
    </row>
    <row r="3" spans="1:7" ht="30.6" thickBot="1">
      <c r="A3" s="3678">
        <v>2</v>
      </c>
      <c r="B3" s="3678">
        <v>2020</v>
      </c>
      <c r="C3" s="3678">
        <v>2</v>
      </c>
      <c r="D3" s="3678" t="s">
        <v>3880</v>
      </c>
      <c r="E3" s="3678" t="s">
        <v>3886</v>
      </c>
      <c r="F3" s="3678" t="s">
        <v>3895</v>
      </c>
      <c r="G3" s="3678">
        <v>7487</v>
      </c>
    </row>
    <row r="4" spans="1:7" ht="60.6" thickBot="1">
      <c r="A4" s="3678">
        <v>3</v>
      </c>
      <c r="B4" s="3678">
        <v>2020</v>
      </c>
      <c r="C4" s="3678">
        <v>3</v>
      </c>
      <c r="D4" s="3678" t="s">
        <v>3880</v>
      </c>
      <c r="E4" s="3678" t="s">
        <v>3887</v>
      </c>
      <c r="F4" s="3678" t="s">
        <v>3170</v>
      </c>
      <c r="G4" s="3678">
        <v>16688</v>
      </c>
    </row>
    <row r="5" spans="1:7" ht="45.6" thickBot="1">
      <c r="A5" s="3678">
        <v>4</v>
      </c>
      <c r="B5" s="3678">
        <v>2020</v>
      </c>
      <c r="C5" s="3678">
        <v>5</v>
      </c>
      <c r="D5" s="3678" t="s">
        <v>3881</v>
      </c>
      <c r="E5" s="3678" t="s">
        <v>3889</v>
      </c>
      <c r="F5" s="3678" t="s">
        <v>3895</v>
      </c>
      <c r="G5" s="3678">
        <v>6942</v>
      </c>
    </row>
    <row r="6" spans="1:7" ht="30.6" thickBot="1">
      <c r="A6" s="3678">
        <v>5</v>
      </c>
      <c r="B6" s="3678">
        <v>2021</v>
      </c>
      <c r="C6" s="3678">
        <v>4</v>
      </c>
      <c r="D6" s="3678" t="s">
        <v>3882</v>
      </c>
      <c r="E6" s="3678" t="s">
        <v>3891</v>
      </c>
      <c r="F6" s="3678" t="s">
        <v>3170</v>
      </c>
      <c r="G6" s="3678">
        <v>9640</v>
      </c>
    </row>
    <row r="7" spans="1:7" ht="45.6" thickBot="1">
      <c r="A7" s="3678">
        <v>6</v>
      </c>
      <c r="B7" s="3678">
        <v>2021</v>
      </c>
      <c r="C7" s="3678">
        <v>5</v>
      </c>
      <c r="D7" s="3678" t="s">
        <v>3882</v>
      </c>
      <c r="E7" s="3678" t="s">
        <v>3893</v>
      </c>
      <c r="F7" s="3678" t="s">
        <v>3170</v>
      </c>
      <c r="G7" s="3678">
        <v>5510</v>
      </c>
    </row>
    <row r="8" spans="1:7" ht="30.75" customHeight="1" thickBot="1">
      <c r="A8" s="4074" t="s">
        <v>3896</v>
      </c>
      <c r="B8" s="4075"/>
      <c r="C8" s="4075"/>
      <c r="D8" s="4075"/>
      <c r="E8" s="4075"/>
      <c r="F8" s="4076"/>
      <c r="G8" s="3678">
        <f>AVERAGE(G2:G7)</f>
        <v>9069</v>
      </c>
    </row>
  </sheetData>
  <mergeCells count="1">
    <mergeCell ref="A8:F8"/>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1875" defaultRowHeight="24.9" customHeight="1"/>
  <cols>
    <col min="1" max="1" width="7.21875" style="3187" customWidth="1"/>
    <col min="2" max="2" width="13.44140625" style="3187" customWidth="1"/>
    <col min="3" max="3" width="12.77734375" style="3445" customWidth="1"/>
    <col min="4" max="4" width="12.44140625" style="3445" customWidth="1"/>
    <col min="5" max="5" width="11.21875" style="3445"/>
    <col min="6" max="6" width="15.109375" style="3445" customWidth="1"/>
    <col min="7" max="7" width="11.21875" style="3187"/>
    <col min="8" max="16384" width="11.21875" style="3189"/>
  </cols>
  <sheetData>
    <row r="1" spans="1:6" ht="24.9" customHeight="1">
      <c r="A1" s="3186" t="s">
        <v>3026</v>
      </c>
      <c r="B1" s="3186" t="s">
        <v>3027</v>
      </c>
      <c r="C1" s="3443" t="s">
        <v>3028</v>
      </c>
      <c r="D1" s="3443" t="s">
        <v>3029</v>
      </c>
      <c r="E1" s="3446" t="s">
        <v>3030</v>
      </c>
      <c r="F1" s="3443" t="s">
        <v>3031</v>
      </c>
    </row>
    <row r="2" spans="1:6" ht="24.9" customHeight="1">
      <c r="A2" s="3188">
        <v>1</v>
      </c>
      <c r="B2" s="3225" t="s">
        <v>3111</v>
      </c>
      <c r="C2" s="3444" t="s">
        <v>3032</v>
      </c>
      <c r="D2" s="3444">
        <f>(12+20)/2*(5+20)/2</f>
        <v>200</v>
      </c>
      <c r="E2" s="3444">
        <v>2</v>
      </c>
      <c r="F2" s="3444">
        <f>D2*E2</f>
        <v>400</v>
      </c>
    </row>
    <row r="3" spans="1:6" ht="24.9" customHeight="1">
      <c r="A3" s="4077">
        <v>2</v>
      </c>
      <c r="B3" s="4077" t="s">
        <v>3033</v>
      </c>
      <c r="C3" s="3444" t="s">
        <v>3032</v>
      </c>
      <c r="D3" s="3444">
        <f>(12+20)/2*(5+20)/2</f>
        <v>200</v>
      </c>
      <c r="E3" s="3444">
        <v>229</v>
      </c>
      <c r="F3" s="3444">
        <f t="shared" ref="F3:F43" si="0">D3*E3</f>
        <v>45800</v>
      </c>
    </row>
    <row r="4" spans="1:6" ht="24.9" customHeight="1">
      <c r="A4" s="4077"/>
      <c r="B4" s="4077"/>
      <c r="C4" s="3444" t="s">
        <v>3034</v>
      </c>
      <c r="D4" s="3444">
        <f>(32+48+100)/3*(25+35+45)/3</f>
        <v>2100</v>
      </c>
      <c r="E4" s="3444">
        <v>132</v>
      </c>
      <c r="F4" s="3444">
        <f t="shared" si="0"/>
        <v>277200</v>
      </c>
    </row>
    <row r="5" spans="1:6" ht="24.9" customHeight="1">
      <c r="A5" s="4077">
        <v>3</v>
      </c>
      <c r="B5" s="4077" t="s">
        <v>3035</v>
      </c>
      <c r="C5" s="3444" t="s">
        <v>3032</v>
      </c>
      <c r="D5" s="3444">
        <f>(28+52)/2*(5+20)/2</f>
        <v>500</v>
      </c>
      <c r="E5" s="3444">
        <v>11</v>
      </c>
      <c r="F5" s="3444">
        <f t="shared" si="0"/>
        <v>5500</v>
      </c>
    </row>
    <row r="6" spans="1:6" ht="24.9" customHeight="1">
      <c r="A6" s="4077"/>
      <c r="B6" s="4077"/>
      <c r="C6" s="3444" t="s">
        <v>3034</v>
      </c>
      <c r="D6" s="3444">
        <f>(76+104+150)/3*(25+35+45)/3</f>
        <v>3850</v>
      </c>
      <c r="E6" s="3444">
        <v>6</v>
      </c>
      <c r="F6" s="3444">
        <f t="shared" si="0"/>
        <v>23100</v>
      </c>
    </row>
    <row r="7" spans="1:6" ht="24.9" customHeight="1">
      <c r="A7" s="4077"/>
      <c r="B7" s="4077"/>
      <c r="C7" s="3444" t="s">
        <v>3036</v>
      </c>
      <c r="D7" s="3444">
        <f>150*50</f>
        <v>7500</v>
      </c>
      <c r="E7" s="3444">
        <v>1</v>
      </c>
      <c r="F7" s="3444">
        <f t="shared" si="0"/>
        <v>7500</v>
      </c>
    </row>
    <row r="8" spans="1:6" ht="24.9" customHeight="1">
      <c r="A8" s="3188">
        <v>4</v>
      </c>
      <c r="B8" s="3188" t="s">
        <v>3037</v>
      </c>
      <c r="C8" s="3444" t="s">
        <v>3032</v>
      </c>
      <c r="D8" s="3444">
        <f>(28+52)/2*(5+20)/2</f>
        <v>500</v>
      </c>
      <c r="E8" s="3444">
        <v>3</v>
      </c>
      <c r="F8" s="3444">
        <f t="shared" si="0"/>
        <v>1500</v>
      </c>
    </row>
    <row r="9" spans="1:6" ht="24.9" customHeight="1">
      <c r="A9" s="4077">
        <v>5</v>
      </c>
      <c r="B9" s="4077" t="s">
        <v>3038</v>
      </c>
      <c r="C9" s="3444" t="s">
        <v>3032</v>
      </c>
      <c r="D9" s="3444">
        <f>(12+20)/2*(5+20)/2</f>
        <v>200</v>
      </c>
      <c r="E9" s="3444">
        <v>22</v>
      </c>
      <c r="F9" s="3444">
        <f t="shared" si="0"/>
        <v>4400</v>
      </c>
    </row>
    <row r="10" spans="1:6" ht="24.9" customHeight="1">
      <c r="A10" s="4077"/>
      <c r="B10" s="4077"/>
      <c r="C10" s="3444" t="s">
        <v>3034</v>
      </c>
      <c r="D10" s="3444">
        <f>(32+48+100)/3*(25+35+45)/3</f>
        <v>2100</v>
      </c>
      <c r="E10" s="3444">
        <v>170</v>
      </c>
      <c r="F10" s="3444">
        <f t="shared" si="0"/>
        <v>357000</v>
      </c>
    </row>
    <row r="11" spans="1:6" ht="24.9" customHeight="1">
      <c r="A11" s="4077"/>
      <c r="B11" s="4077"/>
      <c r="C11" s="3444" t="s">
        <v>3036</v>
      </c>
      <c r="D11" s="3444">
        <f>100*50</f>
        <v>5000</v>
      </c>
      <c r="E11" s="3444">
        <v>4</v>
      </c>
      <c r="F11" s="3444">
        <f t="shared" si="0"/>
        <v>20000</v>
      </c>
    </row>
    <row r="12" spans="1:6" ht="24.9" customHeight="1">
      <c r="A12" s="4077">
        <v>6</v>
      </c>
      <c r="B12" s="4077" t="s">
        <v>3039</v>
      </c>
      <c r="C12" s="3444" t="s">
        <v>3032</v>
      </c>
      <c r="D12" s="3444">
        <f>ROUND((6+12)/2*(5+20)/2,0)</f>
        <v>113</v>
      </c>
      <c r="E12" s="3444">
        <v>1</v>
      </c>
      <c r="F12" s="3444">
        <f t="shared" si="0"/>
        <v>113</v>
      </c>
    </row>
    <row r="13" spans="1:6" ht="24.9" customHeight="1">
      <c r="A13" s="4077"/>
      <c r="B13" s="4077"/>
      <c r="C13" s="3444" t="s">
        <v>3034</v>
      </c>
      <c r="D13" s="3444">
        <f>(20+32+56)/3*(25+35+45)/3</f>
        <v>1260</v>
      </c>
      <c r="E13" s="3444">
        <v>78</v>
      </c>
      <c r="F13" s="3444">
        <f t="shared" si="0"/>
        <v>98280</v>
      </c>
    </row>
    <row r="14" spans="1:6" ht="24.9" customHeight="1">
      <c r="A14" s="4077"/>
      <c r="B14" s="4077"/>
      <c r="C14" s="3444" t="s">
        <v>3036</v>
      </c>
      <c r="D14" s="3444">
        <f>56*50</f>
        <v>2800</v>
      </c>
      <c r="E14" s="3444">
        <v>38</v>
      </c>
      <c r="F14" s="3444">
        <f t="shared" si="0"/>
        <v>106400</v>
      </c>
    </row>
    <row r="15" spans="1:6" ht="24.9" customHeight="1">
      <c r="A15" s="3188">
        <v>7</v>
      </c>
      <c r="B15" s="3188" t="s">
        <v>3040</v>
      </c>
      <c r="C15" s="3444" t="s">
        <v>3032</v>
      </c>
      <c r="D15" s="3444">
        <f>(12+20)/2*(5+20)/2</f>
        <v>200</v>
      </c>
      <c r="E15" s="3444">
        <v>94</v>
      </c>
      <c r="F15" s="3444">
        <f t="shared" si="0"/>
        <v>18800</v>
      </c>
    </row>
    <row r="16" spans="1:6" ht="24.9" customHeight="1">
      <c r="A16" s="4077">
        <v>8</v>
      </c>
      <c r="B16" s="4077" t="s">
        <v>3041</v>
      </c>
      <c r="C16" s="3444" t="s">
        <v>3032</v>
      </c>
      <c r="D16" s="3444">
        <f>(12+20)/2*(5+20)/2</f>
        <v>200</v>
      </c>
      <c r="E16" s="3444">
        <v>6</v>
      </c>
      <c r="F16" s="3444">
        <f t="shared" si="0"/>
        <v>1200</v>
      </c>
    </row>
    <row r="17" spans="1:6" ht="24.9" customHeight="1">
      <c r="A17" s="4077"/>
      <c r="B17" s="4077"/>
      <c r="C17" s="3444" t="s">
        <v>3034</v>
      </c>
      <c r="D17" s="3444">
        <f>(32+48+100)/3*(25+35+45)/3</f>
        <v>2100</v>
      </c>
      <c r="E17" s="3444">
        <v>1</v>
      </c>
      <c r="F17" s="3444">
        <f t="shared" si="0"/>
        <v>2100</v>
      </c>
    </row>
    <row r="18" spans="1:6" ht="24.9" customHeight="1">
      <c r="A18" s="4077"/>
      <c r="B18" s="4077"/>
      <c r="C18" s="3444" t="s">
        <v>3036</v>
      </c>
      <c r="D18" s="3444">
        <f>100*50</f>
        <v>5000</v>
      </c>
      <c r="E18" s="3444">
        <v>1</v>
      </c>
      <c r="F18" s="3444">
        <f t="shared" si="0"/>
        <v>5000</v>
      </c>
    </row>
    <row r="19" spans="1:6" ht="24.9" customHeight="1">
      <c r="A19" s="3188">
        <v>9</v>
      </c>
      <c r="B19" s="3188" t="s">
        <v>3042</v>
      </c>
      <c r="C19" s="3444" t="s">
        <v>3032</v>
      </c>
      <c r="D19" s="3444">
        <f>(28+52)/2*(5+20)/2</f>
        <v>500</v>
      </c>
      <c r="E19" s="3444">
        <v>15</v>
      </c>
      <c r="F19" s="3444">
        <f t="shared" si="0"/>
        <v>7500</v>
      </c>
    </row>
    <row r="20" spans="1:6" ht="24.9" customHeight="1">
      <c r="A20" s="4077">
        <v>10</v>
      </c>
      <c r="B20" s="4077" t="s">
        <v>3043</v>
      </c>
      <c r="C20" s="3444" t="s">
        <v>3032</v>
      </c>
      <c r="D20" s="3444">
        <f>(28+52)/2*(5+20)/2</f>
        <v>500</v>
      </c>
      <c r="E20" s="3444">
        <v>11</v>
      </c>
      <c r="F20" s="3444">
        <f t="shared" si="0"/>
        <v>5500</v>
      </c>
    </row>
    <row r="21" spans="1:6" ht="24.9" customHeight="1">
      <c r="A21" s="4077"/>
      <c r="B21" s="4077"/>
      <c r="C21" s="3444" t="s">
        <v>3034</v>
      </c>
      <c r="D21" s="3444">
        <f>(76+104+150)/3*(25+35+45)/3</f>
        <v>3850</v>
      </c>
      <c r="E21" s="3444">
        <v>2</v>
      </c>
      <c r="F21" s="3444">
        <f t="shared" si="0"/>
        <v>7700</v>
      </c>
    </row>
    <row r="22" spans="1:6" ht="24.9" customHeight="1">
      <c r="A22" s="4077">
        <v>11</v>
      </c>
      <c r="B22" s="4077" t="s">
        <v>3044</v>
      </c>
      <c r="C22" s="3444" t="s">
        <v>3032</v>
      </c>
      <c r="D22" s="3444">
        <f>(12+20)/2*(5+20)/2</f>
        <v>200</v>
      </c>
      <c r="E22" s="3444">
        <v>66</v>
      </c>
      <c r="F22" s="3444">
        <f t="shared" si="0"/>
        <v>13200</v>
      </c>
    </row>
    <row r="23" spans="1:6" ht="24.9" customHeight="1">
      <c r="A23" s="4077"/>
      <c r="B23" s="4077"/>
      <c r="C23" s="3444" t="s">
        <v>3034</v>
      </c>
      <c r="D23" s="3444">
        <f>(32+48+100)/3*(25+35+45)/3</f>
        <v>2100</v>
      </c>
      <c r="E23" s="3444">
        <v>13</v>
      </c>
      <c r="F23" s="3444">
        <f t="shared" si="0"/>
        <v>27300</v>
      </c>
    </row>
    <row r="24" spans="1:6" ht="24.9" customHeight="1">
      <c r="A24" s="4077">
        <v>12</v>
      </c>
      <c r="B24" s="4077" t="s">
        <v>3045</v>
      </c>
      <c r="C24" s="3444" t="s">
        <v>3032</v>
      </c>
      <c r="D24" s="3444">
        <f>(28+52)/2*(5+20)/2</f>
        <v>500</v>
      </c>
      <c r="E24" s="3444">
        <v>3</v>
      </c>
      <c r="F24" s="3444">
        <f t="shared" si="0"/>
        <v>1500</v>
      </c>
    </row>
    <row r="25" spans="1:6" ht="24.9" customHeight="1">
      <c r="A25" s="4077"/>
      <c r="B25" s="4077"/>
      <c r="C25" s="3444" t="s">
        <v>3034</v>
      </c>
      <c r="D25" s="3444">
        <f>(76+104+150)/3*(25+35+45)/3</f>
        <v>3850</v>
      </c>
      <c r="E25" s="3444">
        <v>1</v>
      </c>
      <c r="F25" s="3444">
        <f t="shared" si="0"/>
        <v>3850</v>
      </c>
    </row>
    <row r="26" spans="1:6" ht="24.9" customHeight="1">
      <c r="A26" s="4077">
        <v>13</v>
      </c>
      <c r="B26" s="4077" t="s">
        <v>3046</v>
      </c>
      <c r="C26" s="3444" t="s">
        <v>3032</v>
      </c>
      <c r="D26" s="3444">
        <f>(12+20)/2*(5+20)/2</f>
        <v>200</v>
      </c>
      <c r="E26" s="3444">
        <v>2</v>
      </c>
      <c r="F26" s="3444">
        <f t="shared" si="0"/>
        <v>400</v>
      </c>
    </row>
    <row r="27" spans="1:6" ht="24.9" customHeight="1">
      <c r="A27" s="4077"/>
      <c r="B27" s="4077"/>
      <c r="C27" s="3444" t="s">
        <v>3034</v>
      </c>
      <c r="D27" s="3444">
        <f>(32+48+100)/3*(25+35+45)/3</f>
        <v>2100</v>
      </c>
      <c r="E27" s="3444">
        <v>49</v>
      </c>
      <c r="F27" s="3444">
        <f t="shared" si="0"/>
        <v>102900</v>
      </c>
    </row>
    <row r="28" spans="1:6" ht="24.9" customHeight="1">
      <c r="A28" s="4077"/>
      <c r="B28" s="4077"/>
      <c r="C28" s="3444" t="s">
        <v>3036</v>
      </c>
      <c r="D28" s="3444">
        <f>100*50</f>
        <v>5000</v>
      </c>
      <c r="E28" s="3444">
        <v>35</v>
      </c>
      <c r="F28" s="3444">
        <f t="shared" si="0"/>
        <v>175000</v>
      </c>
    </row>
    <row r="29" spans="1:6" ht="24.9" customHeight="1">
      <c r="A29" s="3188">
        <v>14</v>
      </c>
      <c r="B29" s="3188" t="s">
        <v>3047</v>
      </c>
      <c r="C29" s="3444" t="s">
        <v>3034</v>
      </c>
      <c r="D29" s="3444">
        <f>(84+144+240)/2*(5+20)/2</f>
        <v>2925</v>
      </c>
      <c r="E29" s="3444">
        <v>8</v>
      </c>
      <c r="F29" s="3444">
        <f t="shared" si="0"/>
        <v>23400</v>
      </c>
    </row>
    <row r="30" spans="1:6" ht="24.9" customHeight="1">
      <c r="A30" s="3188">
        <v>15</v>
      </c>
      <c r="B30" s="3188" t="s">
        <v>3048</v>
      </c>
      <c r="C30" s="3444" t="s">
        <v>3049</v>
      </c>
      <c r="D30" s="3444">
        <v>0</v>
      </c>
      <c r="E30" s="3444">
        <v>4</v>
      </c>
      <c r="F30" s="3444">
        <f t="shared" si="0"/>
        <v>0</v>
      </c>
    </row>
    <row r="31" spans="1:6" ht="24.9" customHeight="1">
      <c r="A31" s="4077">
        <v>16</v>
      </c>
      <c r="B31" s="4077" t="s">
        <v>3050</v>
      </c>
      <c r="C31" s="3444" t="s">
        <v>3051</v>
      </c>
      <c r="D31" s="3444">
        <v>150</v>
      </c>
      <c r="E31" s="3444">
        <v>11</v>
      </c>
      <c r="F31" s="3444">
        <f t="shared" si="0"/>
        <v>1650</v>
      </c>
    </row>
    <row r="32" spans="1:6" ht="24.9" customHeight="1">
      <c r="A32" s="4077"/>
      <c r="B32" s="4077"/>
      <c r="C32" s="3444" t="s">
        <v>3052</v>
      </c>
      <c r="D32" s="3444">
        <v>150</v>
      </c>
      <c r="E32" s="3444">
        <v>100</v>
      </c>
      <c r="F32" s="3444">
        <f t="shared" si="0"/>
        <v>15000</v>
      </c>
    </row>
    <row r="33" spans="1:6" ht="24.9" customHeight="1">
      <c r="A33" s="4077">
        <v>17</v>
      </c>
      <c r="B33" s="4077" t="s">
        <v>3053</v>
      </c>
      <c r="C33" s="3444" t="s">
        <v>3032</v>
      </c>
      <c r="D33" s="3444">
        <f>ROUND((6+12)/2*(5+20)/2,0)</f>
        <v>113</v>
      </c>
      <c r="E33" s="3444">
        <v>3</v>
      </c>
      <c r="F33" s="3444">
        <f t="shared" si="0"/>
        <v>339</v>
      </c>
    </row>
    <row r="34" spans="1:6" ht="24.9" customHeight="1">
      <c r="A34" s="4077"/>
      <c r="B34" s="4077"/>
      <c r="C34" s="3444" t="s">
        <v>3034</v>
      </c>
      <c r="D34" s="3444">
        <f>(20+32+56)/3*(25+35+45)/3</f>
        <v>1260</v>
      </c>
      <c r="E34" s="3444">
        <v>185</v>
      </c>
      <c r="F34" s="3444">
        <f t="shared" si="0"/>
        <v>233100</v>
      </c>
    </row>
    <row r="35" spans="1:6" ht="24.9" customHeight="1">
      <c r="A35" s="4077"/>
      <c r="B35" s="4077"/>
      <c r="C35" s="3444" t="s">
        <v>3036</v>
      </c>
      <c r="D35" s="3444">
        <f>56*50</f>
        <v>2800</v>
      </c>
      <c r="E35" s="3444">
        <v>62</v>
      </c>
      <c r="F35" s="3444">
        <f t="shared" si="0"/>
        <v>173600</v>
      </c>
    </row>
    <row r="36" spans="1:6" ht="24.9" customHeight="1">
      <c r="A36" s="4077">
        <v>18</v>
      </c>
      <c r="B36" s="4077" t="s">
        <v>3054</v>
      </c>
      <c r="C36" s="3444" t="s">
        <v>3032</v>
      </c>
      <c r="D36" s="3444">
        <f>(28+52)/2*(5+20)/2</f>
        <v>500</v>
      </c>
      <c r="E36" s="3444">
        <v>52</v>
      </c>
      <c r="F36" s="3444">
        <f t="shared" si="0"/>
        <v>26000</v>
      </c>
    </row>
    <row r="37" spans="1:6" ht="24.9" customHeight="1">
      <c r="A37" s="4077"/>
      <c r="B37" s="4077"/>
      <c r="C37" s="3444" t="s">
        <v>3034</v>
      </c>
      <c r="D37" s="3444">
        <f>(76+104+150)/3*(25+35+45)/3</f>
        <v>3850</v>
      </c>
      <c r="E37" s="3444">
        <v>10</v>
      </c>
      <c r="F37" s="3444">
        <f t="shared" si="0"/>
        <v>38500</v>
      </c>
    </row>
    <row r="38" spans="1:6" ht="24.9" customHeight="1">
      <c r="A38" s="4077">
        <v>19</v>
      </c>
      <c r="B38" s="4077" t="s">
        <v>3055</v>
      </c>
      <c r="C38" s="3444" t="s">
        <v>3032</v>
      </c>
      <c r="D38" s="3444">
        <f>(12+20)/2*(5+20)/2</f>
        <v>200</v>
      </c>
      <c r="E38" s="3444">
        <v>90</v>
      </c>
      <c r="F38" s="3444">
        <f t="shared" si="0"/>
        <v>18000</v>
      </c>
    </row>
    <row r="39" spans="1:6" ht="24.9" customHeight="1">
      <c r="A39" s="4077"/>
      <c r="B39" s="4077"/>
      <c r="C39" s="3444" t="s">
        <v>3034</v>
      </c>
      <c r="D39" s="3444">
        <f>(32+48+100)/3*(25+35+45)/3</f>
        <v>2100</v>
      </c>
      <c r="E39" s="3444">
        <v>79</v>
      </c>
      <c r="F39" s="3444">
        <f t="shared" si="0"/>
        <v>165900</v>
      </c>
    </row>
    <row r="40" spans="1:6" ht="24.9" customHeight="1">
      <c r="A40" s="4077"/>
      <c r="B40" s="4077"/>
      <c r="C40" s="3444" t="s">
        <v>3036</v>
      </c>
      <c r="D40" s="3444">
        <f>100*50</f>
        <v>5000</v>
      </c>
      <c r="E40" s="3444">
        <v>18</v>
      </c>
      <c r="F40" s="3444">
        <f t="shared" si="0"/>
        <v>90000</v>
      </c>
    </row>
    <row r="41" spans="1:6" ht="24.9" customHeight="1">
      <c r="A41" s="4077">
        <v>20</v>
      </c>
      <c r="B41" s="4077" t="s">
        <v>3056</v>
      </c>
      <c r="C41" s="3444" t="s">
        <v>3032</v>
      </c>
      <c r="D41" s="3444">
        <f>(20+44)/2*(5+20)/2</f>
        <v>400</v>
      </c>
      <c r="E41" s="3444">
        <v>8</v>
      </c>
      <c r="F41" s="3444">
        <f t="shared" si="0"/>
        <v>3200</v>
      </c>
    </row>
    <row r="42" spans="1:6" ht="24.9" customHeight="1">
      <c r="A42" s="4077"/>
      <c r="B42" s="4077"/>
      <c r="C42" s="3444" t="s">
        <v>3034</v>
      </c>
      <c r="D42" s="3444">
        <f>D29</f>
        <v>2925</v>
      </c>
      <c r="E42" s="3444">
        <v>3</v>
      </c>
      <c r="F42" s="3444">
        <f t="shared" si="0"/>
        <v>8775</v>
      </c>
    </row>
    <row r="43" spans="1:6" ht="24.9" customHeight="1">
      <c r="A43" s="3188">
        <v>21</v>
      </c>
      <c r="B43" s="3188" t="s">
        <v>3057</v>
      </c>
      <c r="C43" s="3444" t="s">
        <v>3034</v>
      </c>
      <c r="D43" s="3444">
        <f>D29</f>
        <v>2925</v>
      </c>
      <c r="E43" s="3444">
        <v>2</v>
      </c>
      <c r="F43" s="3444">
        <f t="shared" si="0"/>
        <v>5850</v>
      </c>
    </row>
    <row r="44" spans="1:6" ht="24.9" customHeight="1">
      <c r="A44" s="3462" t="s">
        <v>3110</v>
      </c>
      <c r="B44" s="3463"/>
      <c r="C44" s="3463"/>
      <c r="D44" s="3463"/>
      <c r="E44" s="3464">
        <f>SUM(E2:E43)</f>
        <v>1631</v>
      </c>
      <c r="F44" s="3444">
        <f>ROUND(SUM(F2:F43)/10000,2)</f>
        <v>212.25</v>
      </c>
    </row>
  </sheetData>
  <autoFilter ref="A1:G43"/>
  <mergeCells count="28">
    <mergeCell ref="A38:A40"/>
    <mergeCell ref="B38:B40"/>
    <mergeCell ref="A41:A42"/>
    <mergeCell ref="B41:B42"/>
    <mergeCell ref="A31:A32"/>
    <mergeCell ref="B31:B32"/>
    <mergeCell ref="A33:A35"/>
    <mergeCell ref="B33:B35"/>
    <mergeCell ref="A36:A37"/>
    <mergeCell ref="B36:B37"/>
    <mergeCell ref="A22:A23"/>
    <mergeCell ref="B22:B23"/>
    <mergeCell ref="A24:A25"/>
    <mergeCell ref="B24:B25"/>
    <mergeCell ref="A26:A28"/>
    <mergeCell ref="B26:B28"/>
    <mergeCell ref="A12:A14"/>
    <mergeCell ref="B12:B14"/>
    <mergeCell ref="A16:A18"/>
    <mergeCell ref="B16:B18"/>
    <mergeCell ref="A20:A21"/>
    <mergeCell ref="B20:B21"/>
    <mergeCell ref="A3:A4"/>
    <mergeCell ref="B3:B4"/>
    <mergeCell ref="A5:A7"/>
    <mergeCell ref="B5:B7"/>
    <mergeCell ref="A9:A11"/>
    <mergeCell ref="B9:B11"/>
  </mergeCells>
  <phoneticPr fontId="238"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2"/>
  <sheetViews>
    <sheetView topLeftCell="A31" zoomScale="115" zoomScaleNormal="115" workbookViewId="0">
      <selection activeCell="A38" sqref="A38"/>
    </sheetView>
  </sheetViews>
  <sheetFormatPr defaultRowHeight="14.4"/>
  <cols>
    <col min="1" max="1" width="12.44140625" style="1794" customWidth="1"/>
    <col min="2" max="2" width="13" style="1794" customWidth="1"/>
    <col min="3" max="3" width="10.6640625" style="1794" customWidth="1"/>
    <col min="4" max="4" width="14.88671875" style="1794" customWidth="1"/>
    <col min="5" max="5" width="12.33203125" style="1794" customWidth="1"/>
    <col min="6" max="6" width="10.88671875" style="1794" bestFit="1" customWidth="1"/>
    <col min="7" max="7" width="13.21875" style="1794" customWidth="1"/>
  </cols>
  <sheetData>
    <row r="1" spans="1:19" s="3190" customFormat="1" ht="22.5" customHeight="1">
      <c r="A1" s="3357" t="s">
        <v>3240</v>
      </c>
      <c r="B1" s="3357" t="s">
        <v>3239</v>
      </c>
      <c r="C1" s="3357" t="s">
        <v>3242</v>
      </c>
      <c r="D1" s="3357" t="s">
        <v>3541</v>
      </c>
      <c r="E1" s="3357" t="s">
        <v>3355</v>
      </c>
      <c r="F1" s="3357" t="s">
        <v>3353</v>
      </c>
      <c r="G1" s="3357" t="s">
        <v>3358</v>
      </c>
      <c r="H1"/>
      <c r="I1"/>
      <c r="J1"/>
      <c r="K1"/>
      <c r="L1"/>
      <c r="M1"/>
      <c r="N1"/>
      <c r="O1"/>
      <c r="P1"/>
      <c r="Q1"/>
      <c r="S1" s="3192"/>
    </row>
    <row r="2" spans="1:19">
      <c r="A2" s="3355">
        <v>1</v>
      </c>
      <c r="B2" s="3355" t="s">
        <v>3539</v>
      </c>
      <c r="C2" s="3355" t="s">
        <v>3540</v>
      </c>
      <c r="D2" s="3356">
        <f>'附属物-树木'!E44</f>
        <v>1631</v>
      </c>
      <c r="E2" s="3440"/>
      <c r="F2" s="3356"/>
      <c r="G2" s="3356"/>
    </row>
    <row r="3" spans="1:19" s="3433" customFormat="1">
      <c r="A3" s="3441">
        <v>2</v>
      </c>
      <c r="B3" s="3442" t="s">
        <v>3533</v>
      </c>
      <c r="C3" s="3442" t="s">
        <v>3534</v>
      </c>
      <c r="D3" s="3441">
        <v>133</v>
      </c>
      <c r="E3" s="3441">
        <v>5</v>
      </c>
      <c r="F3" s="3441">
        <v>0.6</v>
      </c>
      <c r="G3" s="3356">
        <f>ROUND(D3*E3*F3*$B$13/10000,2)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ROUND(D4*E4*F4*$B$13/10000,2)</f>
        <v>49.6</v>
      </c>
    </row>
    <row r="5" spans="1:19" s="3433" customFormat="1">
      <c r="A5" s="3441">
        <v>4</v>
      </c>
      <c r="B5" s="3442" t="s">
        <v>3535</v>
      </c>
      <c r="C5" s="3442" t="s">
        <v>3536</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3537</v>
      </c>
      <c r="C7" s="3442" t="s">
        <v>3538</v>
      </c>
      <c r="D7" s="3441">
        <f>附属物列表!G22</f>
        <v>588.4</v>
      </c>
      <c r="E7" s="3441">
        <v>0.37</v>
      </c>
      <c r="F7" s="3441">
        <v>0.6</v>
      </c>
      <c r="G7" s="3356">
        <f t="shared" si="0"/>
        <v>3.85</v>
      </c>
    </row>
    <row r="8" spans="1:19">
      <c r="A8" s="3355">
        <v>7</v>
      </c>
      <c r="B8" s="3355" t="s">
        <v>3501</v>
      </c>
      <c r="C8" s="3355" t="s">
        <v>3502</v>
      </c>
      <c r="D8" s="3356">
        <f>附属物列表!G30</f>
        <v>44419</v>
      </c>
      <c r="E8" s="3440">
        <v>0.05</v>
      </c>
      <c r="F8" s="3356">
        <v>0.6</v>
      </c>
      <c r="G8" s="3356">
        <f t="shared" si="0"/>
        <v>39.31</v>
      </c>
    </row>
    <row r="9" spans="1:19">
      <c r="A9" s="3355"/>
      <c r="B9" s="3355" t="s">
        <v>3969</v>
      </c>
      <c r="C9" s="3355"/>
      <c r="D9" s="3356"/>
      <c r="E9" s="3440"/>
      <c r="F9" s="3356"/>
      <c r="G9" s="3356">
        <f>F27</f>
        <v>42.6</v>
      </c>
    </row>
    <row r="10" spans="1:19">
      <c r="A10" s="3355" t="s">
        <v>3357</v>
      </c>
      <c r="B10" s="3356"/>
      <c r="C10" s="3356"/>
      <c r="D10" s="3356"/>
      <c r="E10" s="3356"/>
      <c r="F10" s="3356"/>
      <c r="G10" s="3356">
        <f>SUM(G3:G9)</f>
        <v>164.51</v>
      </c>
    </row>
    <row r="11" spans="1:19">
      <c r="G11" s="1794">
        <v>212.25</v>
      </c>
    </row>
    <row r="12" spans="1:19">
      <c r="G12" s="1794">
        <f>G10+G11</f>
        <v>376.76</v>
      </c>
    </row>
    <row r="13" spans="1:19">
      <c r="A13" s="3354" t="s">
        <v>3354</v>
      </c>
      <c r="B13" s="1794">
        <v>295</v>
      </c>
    </row>
    <row r="14" spans="1:19">
      <c r="J14" s="1794"/>
      <c r="K14" s="1794"/>
      <c r="L14" s="1794"/>
    </row>
    <row r="15" spans="1:19">
      <c r="J15" s="3354"/>
      <c r="K15" s="3354"/>
      <c r="L15" s="3354"/>
    </row>
    <row r="20" spans="1:6">
      <c r="A20" s="3354" t="s">
        <v>3951</v>
      </c>
    </row>
    <row r="22" spans="1:6">
      <c r="A22" s="3711" t="s">
        <v>3953</v>
      </c>
      <c r="B22" s="3711" t="s">
        <v>3952</v>
      </c>
      <c r="C22" s="3711" t="s">
        <v>3954</v>
      </c>
      <c r="D22" s="3711" t="s">
        <v>3955</v>
      </c>
      <c r="E22" s="3711" t="s">
        <v>3956</v>
      </c>
      <c r="F22" s="3711" t="s">
        <v>3957</v>
      </c>
    </row>
    <row r="23" spans="1:6">
      <c r="A23" s="3712">
        <v>491.45</v>
      </c>
      <c r="B23" s="3712">
        <v>56.01</v>
      </c>
      <c r="C23" s="3712">
        <f>A23-B23</f>
        <v>435.44</v>
      </c>
      <c r="D23" s="3712"/>
      <c r="E23" s="3712"/>
      <c r="F23" s="3712"/>
    </row>
    <row r="24" spans="1:6">
      <c r="A24" s="3712">
        <v>397.45</v>
      </c>
      <c r="B24" s="3712">
        <v>0</v>
      </c>
      <c r="C24" s="3712">
        <f t="shared" ref="C24:C26" si="1">A24-B24</f>
        <v>397.45</v>
      </c>
      <c r="D24" s="3712"/>
      <c r="E24" s="3712"/>
      <c r="F24" s="3712"/>
    </row>
    <row r="25" spans="1:6">
      <c r="A25" s="3712">
        <v>231.9</v>
      </c>
      <c r="B25" s="3712">
        <v>56.56</v>
      </c>
      <c r="C25" s="3712">
        <f t="shared" si="1"/>
        <v>175.34</v>
      </c>
      <c r="D25" s="3712"/>
      <c r="E25" s="3712"/>
      <c r="F25" s="3712"/>
    </row>
    <row r="26" spans="1:6">
      <c r="A26" s="3712">
        <v>232.44</v>
      </c>
      <c r="B26" s="3712">
        <v>57.45</v>
      </c>
      <c r="C26" s="3712">
        <f t="shared" si="1"/>
        <v>174.99</v>
      </c>
      <c r="D26" s="3712"/>
      <c r="E26" s="3712"/>
      <c r="F26" s="3712"/>
    </row>
    <row r="27" spans="1:6">
      <c r="A27" s="3712"/>
      <c r="B27" s="3712"/>
      <c r="C27" s="3712">
        <f>SUM(C23:C26)</f>
        <v>1183.22</v>
      </c>
      <c r="D27" s="3712">
        <v>60</v>
      </c>
      <c r="E27" s="3712">
        <v>3000</v>
      </c>
      <c r="F27" s="3712">
        <f>ROUND(C28*D27*E27/1000/10000,2)</f>
        <v>42.6</v>
      </c>
    </row>
    <row r="28" spans="1:6">
      <c r="C28" s="1794">
        <f>C27*2</f>
        <v>2366.44</v>
      </c>
    </row>
    <row r="32" spans="1:6">
      <c r="B32" s="1794">
        <f>(((1+0.07%)*(1+0.25%)*(1-0.31%)*(1-0.66%))-1)/365*64</f>
        <v>-1.141265791508188E-3</v>
      </c>
    </row>
  </sheetData>
  <phoneticPr fontId="238"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G32" sqref="G32"/>
    </sheetView>
  </sheetViews>
  <sheetFormatPr defaultRowHeight="13.2" outlineLevelCol="1"/>
  <cols>
    <col min="1" max="1" width="4.44140625" style="3300" customWidth="1"/>
    <col min="2" max="2" width="26.44140625" style="3300" customWidth="1"/>
    <col min="3" max="3" width="8" style="3300" customWidth="1" outlineLevel="1"/>
    <col min="4" max="4" width="11.44140625" style="3300" customWidth="1" outlineLevel="1"/>
    <col min="5" max="5" width="6.44140625" style="3300" customWidth="1"/>
    <col min="6" max="6" width="4.77734375" style="3300" customWidth="1"/>
    <col min="7" max="7" width="22.88671875" style="3300" customWidth="1"/>
    <col min="8" max="8" width="20.6640625" style="3300" customWidth="1"/>
    <col min="9" max="9" width="4.88671875" style="3252" customWidth="1"/>
    <col min="10" max="10" width="11" style="3252" customWidth="1"/>
    <col min="11" max="12" width="11" style="3252" customWidth="1" outlineLevel="1"/>
    <col min="13" max="15" width="11" style="3252" customWidth="1"/>
    <col min="16" max="16" width="6.6640625" style="3252" customWidth="1"/>
    <col min="17" max="17" width="11" style="3252" customWidth="1"/>
    <col min="18" max="18" width="6.109375" style="3252" customWidth="1"/>
    <col min="19" max="19" width="5.77734375" style="3252" customWidth="1"/>
    <col min="20" max="257" width="9" style="3252"/>
    <col min="258" max="258" width="4.44140625" style="3252" customWidth="1"/>
    <col min="259" max="259" width="26.44140625" style="3252" customWidth="1"/>
    <col min="260" max="260" width="8" style="3252" customWidth="1"/>
    <col min="261" max="261" width="6.44140625" style="3252" customWidth="1"/>
    <col min="262" max="262" width="4.77734375" style="3252" customWidth="1"/>
    <col min="263" max="263" width="22.88671875" style="3252" customWidth="1"/>
    <col min="264" max="264" width="20.6640625" style="3252" customWidth="1"/>
    <col min="265" max="265" width="4.88671875" style="3252" customWidth="1"/>
    <col min="266" max="271" width="11" style="3252" customWidth="1"/>
    <col min="272" max="272" width="6.6640625" style="3252" customWidth="1"/>
    <col min="273" max="273" width="11" style="3252" customWidth="1"/>
    <col min="274" max="274" width="6.109375" style="3252" customWidth="1"/>
    <col min="275" max="275" width="5.77734375" style="3252" customWidth="1"/>
    <col min="276" max="513" width="9" style="3252"/>
    <col min="514" max="514" width="4.44140625" style="3252" customWidth="1"/>
    <col min="515" max="515" width="26.44140625" style="3252" customWidth="1"/>
    <col min="516" max="516" width="8" style="3252" customWidth="1"/>
    <col min="517" max="517" width="6.44140625" style="3252" customWidth="1"/>
    <col min="518" max="518" width="4.77734375" style="3252" customWidth="1"/>
    <col min="519" max="519" width="22.88671875" style="3252" customWidth="1"/>
    <col min="520" max="520" width="20.6640625" style="3252" customWidth="1"/>
    <col min="521" max="521" width="4.88671875" style="3252" customWidth="1"/>
    <col min="522" max="527" width="11" style="3252" customWidth="1"/>
    <col min="528" max="528" width="6.6640625" style="3252" customWidth="1"/>
    <col min="529" max="529" width="11" style="3252" customWidth="1"/>
    <col min="530" max="530" width="6.109375" style="3252" customWidth="1"/>
    <col min="531" max="531" width="5.77734375" style="3252" customWidth="1"/>
    <col min="532" max="769" width="9" style="3252"/>
    <col min="770" max="770" width="4.44140625" style="3252" customWidth="1"/>
    <col min="771" max="771" width="26.44140625" style="3252" customWidth="1"/>
    <col min="772" max="772" width="8" style="3252" customWidth="1"/>
    <col min="773" max="773" width="6.44140625" style="3252" customWidth="1"/>
    <col min="774" max="774" width="4.77734375" style="3252" customWidth="1"/>
    <col min="775" max="775" width="22.88671875" style="3252" customWidth="1"/>
    <col min="776" max="776" width="20.6640625" style="3252" customWidth="1"/>
    <col min="777" max="777" width="4.88671875" style="3252" customWidth="1"/>
    <col min="778" max="783" width="11" style="3252" customWidth="1"/>
    <col min="784" max="784" width="6.6640625" style="3252" customWidth="1"/>
    <col min="785" max="785" width="11" style="3252" customWidth="1"/>
    <col min="786" max="786" width="6.109375" style="3252" customWidth="1"/>
    <col min="787" max="787" width="5.77734375" style="3252" customWidth="1"/>
    <col min="788" max="1025" width="9" style="3252"/>
    <col min="1026" max="1026" width="4.44140625" style="3252" customWidth="1"/>
    <col min="1027" max="1027" width="26.44140625" style="3252" customWidth="1"/>
    <col min="1028" max="1028" width="8" style="3252" customWidth="1"/>
    <col min="1029" max="1029" width="6.44140625" style="3252" customWidth="1"/>
    <col min="1030" max="1030" width="4.77734375" style="3252" customWidth="1"/>
    <col min="1031" max="1031" width="22.88671875" style="3252" customWidth="1"/>
    <col min="1032" max="1032" width="20.6640625" style="3252" customWidth="1"/>
    <col min="1033" max="1033" width="4.88671875" style="3252" customWidth="1"/>
    <col min="1034" max="1039" width="11" style="3252" customWidth="1"/>
    <col min="1040" max="1040" width="6.6640625" style="3252" customWidth="1"/>
    <col min="1041" max="1041" width="11" style="3252" customWidth="1"/>
    <col min="1042" max="1042" width="6.109375" style="3252" customWidth="1"/>
    <col min="1043" max="1043" width="5.77734375" style="3252" customWidth="1"/>
    <col min="1044" max="1281" width="9" style="3252"/>
    <col min="1282" max="1282" width="4.44140625" style="3252" customWidth="1"/>
    <col min="1283" max="1283" width="26.44140625" style="3252" customWidth="1"/>
    <col min="1284" max="1284" width="8" style="3252" customWidth="1"/>
    <col min="1285" max="1285" width="6.44140625" style="3252" customWidth="1"/>
    <col min="1286" max="1286" width="4.77734375" style="3252" customWidth="1"/>
    <col min="1287" max="1287" width="22.88671875" style="3252" customWidth="1"/>
    <col min="1288" max="1288" width="20.6640625" style="3252" customWidth="1"/>
    <col min="1289" max="1289" width="4.88671875" style="3252" customWidth="1"/>
    <col min="1290" max="1295" width="11" style="3252" customWidth="1"/>
    <col min="1296" max="1296" width="6.6640625" style="3252" customWidth="1"/>
    <col min="1297" max="1297" width="11" style="3252" customWidth="1"/>
    <col min="1298" max="1298" width="6.109375" style="3252" customWidth="1"/>
    <col min="1299" max="1299" width="5.77734375" style="3252" customWidth="1"/>
    <col min="1300" max="1537" width="9" style="3252"/>
    <col min="1538" max="1538" width="4.44140625" style="3252" customWidth="1"/>
    <col min="1539" max="1539" width="26.44140625" style="3252" customWidth="1"/>
    <col min="1540" max="1540" width="8" style="3252" customWidth="1"/>
    <col min="1541" max="1541" width="6.44140625" style="3252" customWidth="1"/>
    <col min="1542" max="1542" width="4.77734375" style="3252" customWidth="1"/>
    <col min="1543" max="1543" width="22.88671875" style="3252" customWidth="1"/>
    <col min="1544" max="1544" width="20.6640625" style="3252" customWidth="1"/>
    <col min="1545" max="1545" width="4.88671875" style="3252" customWidth="1"/>
    <col min="1546" max="1551" width="11" style="3252" customWidth="1"/>
    <col min="1552" max="1552" width="6.6640625" style="3252" customWidth="1"/>
    <col min="1553" max="1553" width="11" style="3252" customWidth="1"/>
    <col min="1554" max="1554" width="6.109375" style="3252" customWidth="1"/>
    <col min="1555" max="1555" width="5.77734375" style="3252" customWidth="1"/>
    <col min="1556" max="1793" width="9" style="3252"/>
    <col min="1794" max="1794" width="4.44140625" style="3252" customWidth="1"/>
    <col min="1795" max="1795" width="26.44140625" style="3252" customWidth="1"/>
    <col min="1796" max="1796" width="8" style="3252" customWidth="1"/>
    <col min="1797" max="1797" width="6.44140625" style="3252" customWidth="1"/>
    <col min="1798" max="1798" width="4.77734375" style="3252" customWidth="1"/>
    <col min="1799" max="1799" width="22.88671875" style="3252" customWidth="1"/>
    <col min="1800" max="1800" width="20.6640625" style="3252" customWidth="1"/>
    <col min="1801" max="1801" width="4.88671875" style="3252" customWidth="1"/>
    <col min="1802" max="1807" width="11" style="3252" customWidth="1"/>
    <col min="1808" max="1808" width="6.6640625" style="3252" customWidth="1"/>
    <col min="1809" max="1809" width="11" style="3252" customWidth="1"/>
    <col min="1810" max="1810" width="6.109375" style="3252" customWidth="1"/>
    <col min="1811" max="1811" width="5.77734375" style="3252" customWidth="1"/>
    <col min="1812" max="2049" width="9" style="3252"/>
    <col min="2050" max="2050" width="4.44140625" style="3252" customWidth="1"/>
    <col min="2051" max="2051" width="26.44140625" style="3252" customWidth="1"/>
    <col min="2052" max="2052" width="8" style="3252" customWidth="1"/>
    <col min="2053" max="2053" width="6.44140625" style="3252" customWidth="1"/>
    <col min="2054" max="2054" width="4.77734375" style="3252" customWidth="1"/>
    <col min="2055" max="2055" width="22.88671875" style="3252" customWidth="1"/>
    <col min="2056" max="2056" width="20.6640625" style="3252" customWidth="1"/>
    <col min="2057" max="2057" width="4.88671875" style="3252" customWidth="1"/>
    <col min="2058" max="2063" width="11" style="3252" customWidth="1"/>
    <col min="2064" max="2064" width="6.6640625" style="3252" customWidth="1"/>
    <col min="2065" max="2065" width="11" style="3252" customWidth="1"/>
    <col min="2066" max="2066" width="6.109375" style="3252" customWidth="1"/>
    <col min="2067" max="2067" width="5.77734375" style="3252" customWidth="1"/>
    <col min="2068" max="2305" width="9" style="3252"/>
    <col min="2306" max="2306" width="4.44140625" style="3252" customWidth="1"/>
    <col min="2307" max="2307" width="26.44140625" style="3252" customWidth="1"/>
    <col min="2308" max="2308" width="8" style="3252" customWidth="1"/>
    <col min="2309" max="2309" width="6.44140625" style="3252" customWidth="1"/>
    <col min="2310" max="2310" width="4.77734375" style="3252" customWidth="1"/>
    <col min="2311" max="2311" width="22.88671875" style="3252" customWidth="1"/>
    <col min="2312" max="2312" width="20.6640625" style="3252" customWidth="1"/>
    <col min="2313" max="2313" width="4.88671875" style="3252" customWidth="1"/>
    <col min="2314" max="2319" width="11" style="3252" customWidth="1"/>
    <col min="2320" max="2320" width="6.6640625" style="3252" customWidth="1"/>
    <col min="2321" max="2321" width="11" style="3252" customWidth="1"/>
    <col min="2322" max="2322" width="6.109375" style="3252" customWidth="1"/>
    <col min="2323" max="2323" width="5.77734375" style="3252" customWidth="1"/>
    <col min="2324" max="2561" width="9" style="3252"/>
    <col min="2562" max="2562" width="4.44140625" style="3252" customWidth="1"/>
    <col min="2563" max="2563" width="26.44140625" style="3252" customWidth="1"/>
    <col min="2564" max="2564" width="8" style="3252" customWidth="1"/>
    <col min="2565" max="2565" width="6.44140625" style="3252" customWidth="1"/>
    <col min="2566" max="2566" width="4.77734375" style="3252" customWidth="1"/>
    <col min="2567" max="2567" width="22.88671875" style="3252" customWidth="1"/>
    <col min="2568" max="2568" width="20.6640625" style="3252" customWidth="1"/>
    <col min="2569" max="2569" width="4.88671875" style="3252" customWidth="1"/>
    <col min="2570" max="2575" width="11" style="3252" customWidth="1"/>
    <col min="2576" max="2576" width="6.6640625" style="3252" customWidth="1"/>
    <col min="2577" max="2577" width="11" style="3252" customWidth="1"/>
    <col min="2578" max="2578" width="6.109375" style="3252" customWidth="1"/>
    <col min="2579" max="2579" width="5.77734375" style="3252" customWidth="1"/>
    <col min="2580" max="2817" width="9" style="3252"/>
    <col min="2818" max="2818" width="4.44140625" style="3252" customWidth="1"/>
    <col min="2819" max="2819" width="26.44140625" style="3252" customWidth="1"/>
    <col min="2820" max="2820" width="8" style="3252" customWidth="1"/>
    <col min="2821" max="2821" width="6.44140625" style="3252" customWidth="1"/>
    <col min="2822" max="2822" width="4.77734375" style="3252" customWidth="1"/>
    <col min="2823" max="2823" width="22.88671875" style="3252" customWidth="1"/>
    <col min="2824" max="2824" width="20.6640625" style="3252" customWidth="1"/>
    <col min="2825" max="2825" width="4.88671875" style="3252" customWidth="1"/>
    <col min="2826" max="2831" width="11" style="3252" customWidth="1"/>
    <col min="2832" max="2832" width="6.6640625" style="3252" customWidth="1"/>
    <col min="2833" max="2833" width="11" style="3252" customWidth="1"/>
    <col min="2834" max="2834" width="6.109375" style="3252" customWidth="1"/>
    <col min="2835" max="2835" width="5.77734375" style="3252" customWidth="1"/>
    <col min="2836" max="3073" width="9" style="3252"/>
    <col min="3074" max="3074" width="4.44140625" style="3252" customWidth="1"/>
    <col min="3075" max="3075" width="26.44140625" style="3252" customWidth="1"/>
    <col min="3076" max="3076" width="8" style="3252" customWidth="1"/>
    <col min="3077" max="3077" width="6.44140625" style="3252" customWidth="1"/>
    <col min="3078" max="3078" width="4.77734375" style="3252" customWidth="1"/>
    <col min="3079" max="3079" width="22.88671875" style="3252" customWidth="1"/>
    <col min="3080" max="3080" width="20.6640625" style="3252" customWidth="1"/>
    <col min="3081" max="3081" width="4.88671875" style="3252" customWidth="1"/>
    <col min="3082" max="3087" width="11" style="3252" customWidth="1"/>
    <col min="3088" max="3088" width="6.6640625" style="3252" customWidth="1"/>
    <col min="3089" max="3089" width="11" style="3252" customWidth="1"/>
    <col min="3090" max="3090" width="6.109375" style="3252" customWidth="1"/>
    <col min="3091" max="3091" width="5.77734375" style="3252" customWidth="1"/>
    <col min="3092" max="3329" width="9" style="3252"/>
    <col min="3330" max="3330" width="4.44140625" style="3252" customWidth="1"/>
    <col min="3331" max="3331" width="26.44140625" style="3252" customWidth="1"/>
    <col min="3332" max="3332" width="8" style="3252" customWidth="1"/>
    <col min="3333" max="3333" width="6.44140625" style="3252" customWidth="1"/>
    <col min="3334" max="3334" width="4.77734375" style="3252" customWidth="1"/>
    <col min="3335" max="3335" width="22.88671875" style="3252" customWidth="1"/>
    <col min="3336" max="3336" width="20.6640625" style="3252" customWidth="1"/>
    <col min="3337" max="3337" width="4.88671875" style="3252" customWidth="1"/>
    <col min="3338" max="3343" width="11" style="3252" customWidth="1"/>
    <col min="3344" max="3344" width="6.6640625" style="3252" customWidth="1"/>
    <col min="3345" max="3345" width="11" style="3252" customWidth="1"/>
    <col min="3346" max="3346" width="6.109375" style="3252" customWidth="1"/>
    <col min="3347" max="3347" width="5.77734375" style="3252" customWidth="1"/>
    <col min="3348" max="3585" width="9" style="3252"/>
    <col min="3586" max="3586" width="4.44140625" style="3252" customWidth="1"/>
    <col min="3587" max="3587" width="26.44140625" style="3252" customWidth="1"/>
    <col min="3588" max="3588" width="8" style="3252" customWidth="1"/>
    <col min="3589" max="3589" width="6.44140625" style="3252" customWidth="1"/>
    <col min="3590" max="3590" width="4.77734375" style="3252" customWidth="1"/>
    <col min="3591" max="3591" width="22.88671875" style="3252" customWidth="1"/>
    <col min="3592" max="3592" width="20.6640625" style="3252" customWidth="1"/>
    <col min="3593" max="3593" width="4.88671875" style="3252" customWidth="1"/>
    <col min="3594" max="3599" width="11" style="3252" customWidth="1"/>
    <col min="3600" max="3600" width="6.6640625" style="3252" customWidth="1"/>
    <col min="3601" max="3601" width="11" style="3252" customWidth="1"/>
    <col min="3602" max="3602" width="6.109375" style="3252" customWidth="1"/>
    <col min="3603" max="3603" width="5.77734375" style="3252" customWidth="1"/>
    <col min="3604" max="3841" width="9" style="3252"/>
    <col min="3842" max="3842" width="4.44140625" style="3252" customWidth="1"/>
    <col min="3843" max="3843" width="26.44140625" style="3252" customWidth="1"/>
    <col min="3844" max="3844" width="8" style="3252" customWidth="1"/>
    <col min="3845" max="3845" width="6.44140625" style="3252" customWidth="1"/>
    <col min="3846" max="3846" width="4.77734375" style="3252" customWidth="1"/>
    <col min="3847" max="3847" width="22.88671875" style="3252" customWidth="1"/>
    <col min="3848" max="3848" width="20.6640625" style="3252" customWidth="1"/>
    <col min="3849" max="3849" width="4.88671875" style="3252" customWidth="1"/>
    <col min="3850" max="3855" width="11" style="3252" customWidth="1"/>
    <col min="3856" max="3856" width="6.6640625" style="3252" customWidth="1"/>
    <col min="3857" max="3857" width="11" style="3252" customWidth="1"/>
    <col min="3858" max="3858" width="6.109375" style="3252" customWidth="1"/>
    <col min="3859" max="3859" width="5.77734375" style="3252" customWidth="1"/>
    <col min="3860" max="4097" width="9" style="3252"/>
    <col min="4098" max="4098" width="4.44140625" style="3252" customWidth="1"/>
    <col min="4099" max="4099" width="26.44140625" style="3252" customWidth="1"/>
    <col min="4100" max="4100" width="8" style="3252" customWidth="1"/>
    <col min="4101" max="4101" width="6.44140625" style="3252" customWidth="1"/>
    <col min="4102" max="4102" width="4.77734375" style="3252" customWidth="1"/>
    <col min="4103" max="4103" width="22.88671875" style="3252" customWidth="1"/>
    <col min="4104" max="4104" width="20.6640625" style="3252" customWidth="1"/>
    <col min="4105" max="4105" width="4.88671875" style="3252" customWidth="1"/>
    <col min="4106" max="4111" width="11" style="3252" customWidth="1"/>
    <col min="4112" max="4112" width="6.6640625" style="3252" customWidth="1"/>
    <col min="4113" max="4113" width="11" style="3252" customWidth="1"/>
    <col min="4114" max="4114" width="6.109375" style="3252" customWidth="1"/>
    <col min="4115" max="4115" width="5.77734375" style="3252" customWidth="1"/>
    <col min="4116" max="4353" width="9" style="3252"/>
    <col min="4354" max="4354" width="4.44140625" style="3252" customWidth="1"/>
    <col min="4355" max="4355" width="26.44140625" style="3252" customWidth="1"/>
    <col min="4356" max="4356" width="8" style="3252" customWidth="1"/>
    <col min="4357" max="4357" width="6.44140625" style="3252" customWidth="1"/>
    <col min="4358" max="4358" width="4.77734375" style="3252" customWidth="1"/>
    <col min="4359" max="4359" width="22.88671875" style="3252" customWidth="1"/>
    <col min="4360" max="4360" width="20.6640625" style="3252" customWidth="1"/>
    <col min="4361" max="4361" width="4.88671875" style="3252" customWidth="1"/>
    <col min="4362" max="4367" width="11" style="3252" customWidth="1"/>
    <col min="4368" max="4368" width="6.6640625" style="3252" customWidth="1"/>
    <col min="4369" max="4369" width="11" style="3252" customWidth="1"/>
    <col min="4370" max="4370" width="6.109375" style="3252" customWidth="1"/>
    <col min="4371" max="4371" width="5.77734375" style="3252" customWidth="1"/>
    <col min="4372" max="4609" width="9" style="3252"/>
    <col min="4610" max="4610" width="4.44140625" style="3252" customWidth="1"/>
    <col min="4611" max="4611" width="26.44140625" style="3252" customWidth="1"/>
    <col min="4612" max="4612" width="8" style="3252" customWidth="1"/>
    <col min="4613" max="4613" width="6.44140625" style="3252" customWidth="1"/>
    <col min="4614" max="4614" width="4.77734375" style="3252" customWidth="1"/>
    <col min="4615" max="4615" width="22.88671875" style="3252" customWidth="1"/>
    <col min="4616" max="4616" width="20.6640625" style="3252" customWidth="1"/>
    <col min="4617" max="4617" width="4.88671875" style="3252" customWidth="1"/>
    <col min="4618" max="4623" width="11" style="3252" customWidth="1"/>
    <col min="4624" max="4624" width="6.6640625" style="3252" customWidth="1"/>
    <col min="4625" max="4625" width="11" style="3252" customWidth="1"/>
    <col min="4626" max="4626" width="6.109375" style="3252" customWidth="1"/>
    <col min="4627" max="4627" width="5.77734375" style="3252" customWidth="1"/>
    <col min="4628" max="4865" width="9" style="3252"/>
    <col min="4866" max="4866" width="4.44140625" style="3252" customWidth="1"/>
    <col min="4867" max="4867" width="26.44140625" style="3252" customWidth="1"/>
    <col min="4868" max="4868" width="8" style="3252" customWidth="1"/>
    <col min="4869" max="4869" width="6.44140625" style="3252" customWidth="1"/>
    <col min="4870" max="4870" width="4.77734375" style="3252" customWidth="1"/>
    <col min="4871" max="4871" width="22.88671875" style="3252" customWidth="1"/>
    <col min="4872" max="4872" width="20.6640625" style="3252" customWidth="1"/>
    <col min="4873" max="4873" width="4.88671875" style="3252" customWidth="1"/>
    <col min="4874" max="4879" width="11" style="3252" customWidth="1"/>
    <col min="4880" max="4880" width="6.6640625" style="3252" customWidth="1"/>
    <col min="4881" max="4881" width="11" style="3252" customWidth="1"/>
    <col min="4882" max="4882" width="6.109375" style="3252" customWidth="1"/>
    <col min="4883" max="4883" width="5.77734375" style="3252" customWidth="1"/>
    <col min="4884" max="5121" width="9" style="3252"/>
    <col min="5122" max="5122" width="4.44140625" style="3252" customWidth="1"/>
    <col min="5123" max="5123" width="26.44140625" style="3252" customWidth="1"/>
    <col min="5124" max="5124" width="8" style="3252" customWidth="1"/>
    <col min="5125" max="5125" width="6.44140625" style="3252" customWidth="1"/>
    <col min="5126" max="5126" width="4.77734375" style="3252" customWidth="1"/>
    <col min="5127" max="5127" width="22.88671875" style="3252" customWidth="1"/>
    <col min="5128" max="5128" width="20.6640625" style="3252" customWidth="1"/>
    <col min="5129" max="5129" width="4.88671875" style="3252" customWidth="1"/>
    <col min="5130" max="5135" width="11" style="3252" customWidth="1"/>
    <col min="5136" max="5136" width="6.6640625" style="3252" customWidth="1"/>
    <col min="5137" max="5137" width="11" style="3252" customWidth="1"/>
    <col min="5138" max="5138" width="6.109375" style="3252" customWidth="1"/>
    <col min="5139" max="5139" width="5.77734375" style="3252" customWidth="1"/>
    <col min="5140" max="5377" width="9" style="3252"/>
    <col min="5378" max="5378" width="4.44140625" style="3252" customWidth="1"/>
    <col min="5379" max="5379" width="26.44140625" style="3252" customWidth="1"/>
    <col min="5380" max="5380" width="8" style="3252" customWidth="1"/>
    <col min="5381" max="5381" width="6.44140625" style="3252" customWidth="1"/>
    <col min="5382" max="5382" width="4.77734375" style="3252" customWidth="1"/>
    <col min="5383" max="5383" width="22.88671875" style="3252" customWidth="1"/>
    <col min="5384" max="5384" width="20.6640625" style="3252" customWidth="1"/>
    <col min="5385" max="5385" width="4.88671875" style="3252" customWidth="1"/>
    <col min="5386" max="5391" width="11" style="3252" customWidth="1"/>
    <col min="5392" max="5392" width="6.6640625" style="3252" customWidth="1"/>
    <col min="5393" max="5393" width="11" style="3252" customWidth="1"/>
    <col min="5394" max="5394" width="6.109375" style="3252" customWidth="1"/>
    <col min="5395" max="5395" width="5.77734375" style="3252" customWidth="1"/>
    <col min="5396" max="5633" width="9" style="3252"/>
    <col min="5634" max="5634" width="4.44140625" style="3252" customWidth="1"/>
    <col min="5635" max="5635" width="26.44140625" style="3252" customWidth="1"/>
    <col min="5636" max="5636" width="8" style="3252" customWidth="1"/>
    <col min="5637" max="5637" width="6.44140625" style="3252" customWidth="1"/>
    <col min="5638" max="5638" width="4.77734375" style="3252" customWidth="1"/>
    <col min="5639" max="5639" width="22.88671875" style="3252" customWidth="1"/>
    <col min="5640" max="5640" width="20.6640625" style="3252" customWidth="1"/>
    <col min="5641" max="5641" width="4.88671875" style="3252" customWidth="1"/>
    <col min="5642" max="5647" width="11" style="3252" customWidth="1"/>
    <col min="5648" max="5648" width="6.6640625" style="3252" customWidth="1"/>
    <col min="5649" max="5649" width="11" style="3252" customWidth="1"/>
    <col min="5650" max="5650" width="6.109375" style="3252" customWidth="1"/>
    <col min="5651" max="5651" width="5.77734375" style="3252" customWidth="1"/>
    <col min="5652" max="5889" width="9" style="3252"/>
    <col min="5890" max="5890" width="4.44140625" style="3252" customWidth="1"/>
    <col min="5891" max="5891" width="26.44140625" style="3252" customWidth="1"/>
    <col min="5892" max="5892" width="8" style="3252" customWidth="1"/>
    <col min="5893" max="5893" width="6.44140625" style="3252" customWidth="1"/>
    <col min="5894" max="5894" width="4.77734375" style="3252" customWidth="1"/>
    <col min="5895" max="5895" width="22.88671875" style="3252" customWidth="1"/>
    <col min="5896" max="5896" width="20.6640625" style="3252" customWidth="1"/>
    <col min="5897" max="5897" width="4.88671875" style="3252" customWidth="1"/>
    <col min="5898" max="5903" width="11" style="3252" customWidth="1"/>
    <col min="5904" max="5904" width="6.6640625" style="3252" customWidth="1"/>
    <col min="5905" max="5905" width="11" style="3252" customWidth="1"/>
    <col min="5906" max="5906" width="6.109375" style="3252" customWidth="1"/>
    <col min="5907" max="5907" width="5.77734375" style="3252" customWidth="1"/>
    <col min="5908" max="6145" width="9" style="3252"/>
    <col min="6146" max="6146" width="4.44140625" style="3252" customWidth="1"/>
    <col min="6147" max="6147" width="26.44140625" style="3252" customWidth="1"/>
    <col min="6148" max="6148" width="8" style="3252" customWidth="1"/>
    <col min="6149" max="6149" width="6.44140625" style="3252" customWidth="1"/>
    <col min="6150" max="6150" width="4.77734375" style="3252" customWidth="1"/>
    <col min="6151" max="6151" width="22.88671875" style="3252" customWidth="1"/>
    <col min="6152" max="6152" width="20.6640625" style="3252" customWidth="1"/>
    <col min="6153" max="6153" width="4.88671875" style="3252" customWidth="1"/>
    <col min="6154" max="6159" width="11" style="3252" customWidth="1"/>
    <col min="6160" max="6160" width="6.6640625" style="3252" customWidth="1"/>
    <col min="6161" max="6161" width="11" style="3252" customWidth="1"/>
    <col min="6162" max="6162" width="6.109375" style="3252" customWidth="1"/>
    <col min="6163" max="6163" width="5.77734375" style="3252" customWidth="1"/>
    <col min="6164" max="6401" width="9" style="3252"/>
    <col min="6402" max="6402" width="4.44140625" style="3252" customWidth="1"/>
    <col min="6403" max="6403" width="26.44140625" style="3252" customWidth="1"/>
    <col min="6404" max="6404" width="8" style="3252" customWidth="1"/>
    <col min="6405" max="6405" width="6.44140625" style="3252" customWidth="1"/>
    <col min="6406" max="6406" width="4.77734375" style="3252" customWidth="1"/>
    <col min="6407" max="6407" width="22.88671875" style="3252" customWidth="1"/>
    <col min="6408" max="6408" width="20.6640625" style="3252" customWidth="1"/>
    <col min="6409" max="6409" width="4.88671875" style="3252" customWidth="1"/>
    <col min="6410" max="6415" width="11" style="3252" customWidth="1"/>
    <col min="6416" max="6416" width="6.6640625" style="3252" customWidth="1"/>
    <col min="6417" max="6417" width="11" style="3252" customWidth="1"/>
    <col min="6418" max="6418" width="6.109375" style="3252" customWidth="1"/>
    <col min="6419" max="6419" width="5.77734375" style="3252" customWidth="1"/>
    <col min="6420" max="6657" width="9" style="3252"/>
    <col min="6658" max="6658" width="4.44140625" style="3252" customWidth="1"/>
    <col min="6659" max="6659" width="26.44140625" style="3252" customWidth="1"/>
    <col min="6660" max="6660" width="8" style="3252" customWidth="1"/>
    <col min="6661" max="6661" width="6.44140625" style="3252" customWidth="1"/>
    <col min="6662" max="6662" width="4.77734375" style="3252" customWidth="1"/>
    <col min="6663" max="6663" width="22.88671875" style="3252" customWidth="1"/>
    <col min="6664" max="6664" width="20.6640625" style="3252" customWidth="1"/>
    <col min="6665" max="6665" width="4.88671875" style="3252" customWidth="1"/>
    <col min="6666" max="6671" width="11" style="3252" customWidth="1"/>
    <col min="6672" max="6672" width="6.6640625" style="3252" customWidth="1"/>
    <col min="6673" max="6673" width="11" style="3252" customWidth="1"/>
    <col min="6674" max="6674" width="6.109375" style="3252" customWidth="1"/>
    <col min="6675" max="6675" width="5.77734375" style="3252" customWidth="1"/>
    <col min="6676" max="6913" width="9" style="3252"/>
    <col min="6914" max="6914" width="4.44140625" style="3252" customWidth="1"/>
    <col min="6915" max="6915" width="26.44140625" style="3252" customWidth="1"/>
    <col min="6916" max="6916" width="8" style="3252" customWidth="1"/>
    <col min="6917" max="6917" width="6.44140625" style="3252" customWidth="1"/>
    <col min="6918" max="6918" width="4.77734375" style="3252" customWidth="1"/>
    <col min="6919" max="6919" width="22.88671875" style="3252" customWidth="1"/>
    <col min="6920" max="6920" width="20.6640625" style="3252" customWidth="1"/>
    <col min="6921" max="6921" width="4.88671875" style="3252" customWidth="1"/>
    <col min="6922" max="6927" width="11" style="3252" customWidth="1"/>
    <col min="6928" max="6928" width="6.6640625" style="3252" customWidth="1"/>
    <col min="6929" max="6929" width="11" style="3252" customWidth="1"/>
    <col min="6930" max="6930" width="6.109375" style="3252" customWidth="1"/>
    <col min="6931" max="6931" width="5.77734375" style="3252" customWidth="1"/>
    <col min="6932" max="7169" width="9" style="3252"/>
    <col min="7170" max="7170" width="4.44140625" style="3252" customWidth="1"/>
    <col min="7171" max="7171" width="26.44140625" style="3252" customWidth="1"/>
    <col min="7172" max="7172" width="8" style="3252" customWidth="1"/>
    <col min="7173" max="7173" width="6.44140625" style="3252" customWidth="1"/>
    <col min="7174" max="7174" width="4.77734375" style="3252" customWidth="1"/>
    <col min="7175" max="7175" width="22.88671875" style="3252" customWidth="1"/>
    <col min="7176" max="7176" width="20.6640625" style="3252" customWidth="1"/>
    <col min="7177" max="7177" width="4.88671875" style="3252" customWidth="1"/>
    <col min="7178" max="7183" width="11" style="3252" customWidth="1"/>
    <col min="7184" max="7184" width="6.6640625" style="3252" customWidth="1"/>
    <col min="7185" max="7185" width="11" style="3252" customWidth="1"/>
    <col min="7186" max="7186" width="6.109375" style="3252" customWidth="1"/>
    <col min="7187" max="7187" width="5.77734375" style="3252" customWidth="1"/>
    <col min="7188" max="7425" width="9" style="3252"/>
    <col min="7426" max="7426" width="4.44140625" style="3252" customWidth="1"/>
    <col min="7427" max="7427" width="26.44140625" style="3252" customWidth="1"/>
    <col min="7428" max="7428" width="8" style="3252" customWidth="1"/>
    <col min="7429" max="7429" width="6.44140625" style="3252" customWidth="1"/>
    <col min="7430" max="7430" width="4.77734375" style="3252" customWidth="1"/>
    <col min="7431" max="7431" width="22.88671875" style="3252" customWidth="1"/>
    <col min="7432" max="7432" width="20.6640625" style="3252" customWidth="1"/>
    <col min="7433" max="7433" width="4.88671875" style="3252" customWidth="1"/>
    <col min="7434" max="7439" width="11" style="3252" customWidth="1"/>
    <col min="7440" max="7440" width="6.6640625" style="3252" customWidth="1"/>
    <col min="7441" max="7441" width="11" style="3252" customWidth="1"/>
    <col min="7442" max="7442" width="6.109375" style="3252" customWidth="1"/>
    <col min="7443" max="7443" width="5.77734375" style="3252" customWidth="1"/>
    <col min="7444" max="7681" width="9" style="3252"/>
    <col min="7682" max="7682" width="4.44140625" style="3252" customWidth="1"/>
    <col min="7683" max="7683" width="26.44140625" style="3252" customWidth="1"/>
    <col min="7684" max="7684" width="8" style="3252" customWidth="1"/>
    <col min="7685" max="7685" width="6.44140625" style="3252" customWidth="1"/>
    <col min="7686" max="7686" width="4.77734375" style="3252" customWidth="1"/>
    <col min="7687" max="7687" width="22.88671875" style="3252" customWidth="1"/>
    <col min="7688" max="7688" width="20.6640625" style="3252" customWidth="1"/>
    <col min="7689" max="7689" width="4.88671875" style="3252" customWidth="1"/>
    <col min="7690" max="7695" width="11" style="3252" customWidth="1"/>
    <col min="7696" max="7696" width="6.6640625" style="3252" customWidth="1"/>
    <col min="7697" max="7697" width="11" style="3252" customWidth="1"/>
    <col min="7698" max="7698" width="6.109375" style="3252" customWidth="1"/>
    <col min="7699" max="7699" width="5.77734375" style="3252" customWidth="1"/>
    <col min="7700" max="7937" width="9" style="3252"/>
    <col min="7938" max="7938" width="4.44140625" style="3252" customWidth="1"/>
    <col min="7939" max="7939" width="26.44140625" style="3252" customWidth="1"/>
    <col min="7940" max="7940" width="8" style="3252" customWidth="1"/>
    <col min="7941" max="7941" width="6.44140625" style="3252" customWidth="1"/>
    <col min="7942" max="7942" width="4.77734375" style="3252" customWidth="1"/>
    <col min="7943" max="7943" width="22.88671875" style="3252" customWidth="1"/>
    <col min="7944" max="7944" width="20.6640625" style="3252" customWidth="1"/>
    <col min="7945" max="7945" width="4.88671875" style="3252" customWidth="1"/>
    <col min="7946" max="7951" width="11" style="3252" customWidth="1"/>
    <col min="7952" max="7952" width="6.6640625" style="3252" customWidth="1"/>
    <col min="7953" max="7953" width="11" style="3252" customWidth="1"/>
    <col min="7954" max="7954" width="6.109375" style="3252" customWidth="1"/>
    <col min="7955" max="7955" width="5.77734375" style="3252" customWidth="1"/>
    <col min="7956" max="8193" width="9" style="3252"/>
    <col min="8194" max="8194" width="4.44140625" style="3252" customWidth="1"/>
    <col min="8195" max="8195" width="26.44140625" style="3252" customWidth="1"/>
    <col min="8196" max="8196" width="8" style="3252" customWidth="1"/>
    <col min="8197" max="8197" width="6.44140625" style="3252" customWidth="1"/>
    <col min="8198" max="8198" width="4.77734375" style="3252" customWidth="1"/>
    <col min="8199" max="8199" width="22.88671875" style="3252" customWidth="1"/>
    <col min="8200" max="8200" width="20.6640625" style="3252" customWidth="1"/>
    <col min="8201" max="8201" width="4.88671875" style="3252" customWidth="1"/>
    <col min="8202" max="8207" width="11" style="3252" customWidth="1"/>
    <col min="8208" max="8208" width="6.6640625" style="3252" customWidth="1"/>
    <col min="8209" max="8209" width="11" style="3252" customWidth="1"/>
    <col min="8210" max="8210" width="6.109375" style="3252" customWidth="1"/>
    <col min="8211" max="8211" width="5.77734375" style="3252" customWidth="1"/>
    <col min="8212" max="8449" width="9" style="3252"/>
    <col min="8450" max="8450" width="4.44140625" style="3252" customWidth="1"/>
    <col min="8451" max="8451" width="26.44140625" style="3252" customWidth="1"/>
    <col min="8452" max="8452" width="8" style="3252" customWidth="1"/>
    <col min="8453" max="8453" width="6.44140625" style="3252" customWidth="1"/>
    <col min="8454" max="8454" width="4.77734375" style="3252" customWidth="1"/>
    <col min="8455" max="8455" width="22.88671875" style="3252" customWidth="1"/>
    <col min="8456" max="8456" width="20.6640625" style="3252" customWidth="1"/>
    <col min="8457" max="8457" width="4.88671875" style="3252" customWidth="1"/>
    <col min="8458" max="8463" width="11" style="3252" customWidth="1"/>
    <col min="8464" max="8464" width="6.6640625" style="3252" customWidth="1"/>
    <col min="8465" max="8465" width="11" style="3252" customWidth="1"/>
    <col min="8466" max="8466" width="6.109375" style="3252" customWidth="1"/>
    <col min="8467" max="8467" width="5.77734375" style="3252" customWidth="1"/>
    <col min="8468" max="8705" width="9" style="3252"/>
    <col min="8706" max="8706" width="4.44140625" style="3252" customWidth="1"/>
    <col min="8707" max="8707" width="26.44140625" style="3252" customWidth="1"/>
    <col min="8708" max="8708" width="8" style="3252" customWidth="1"/>
    <col min="8709" max="8709" width="6.44140625" style="3252" customWidth="1"/>
    <col min="8710" max="8710" width="4.77734375" style="3252" customWidth="1"/>
    <col min="8711" max="8711" width="22.88671875" style="3252" customWidth="1"/>
    <col min="8712" max="8712" width="20.6640625" style="3252" customWidth="1"/>
    <col min="8713" max="8713" width="4.88671875" style="3252" customWidth="1"/>
    <col min="8714" max="8719" width="11" style="3252" customWidth="1"/>
    <col min="8720" max="8720" width="6.6640625" style="3252" customWidth="1"/>
    <col min="8721" max="8721" width="11" style="3252" customWidth="1"/>
    <col min="8722" max="8722" width="6.109375" style="3252" customWidth="1"/>
    <col min="8723" max="8723" width="5.77734375" style="3252" customWidth="1"/>
    <col min="8724" max="8961" width="9" style="3252"/>
    <col min="8962" max="8962" width="4.44140625" style="3252" customWidth="1"/>
    <col min="8963" max="8963" width="26.44140625" style="3252" customWidth="1"/>
    <col min="8964" max="8964" width="8" style="3252" customWidth="1"/>
    <col min="8965" max="8965" width="6.44140625" style="3252" customWidth="1"/>
    <col min="8966" max="8966" width="4.77734375" style="3252" customWidth="1"/>
    <col min="8967" max="8967" width="22.88671875" style="3252" customWidth="1"/>
    <col min="8968" max="8968" width="20.6640625" style="3252" customWidth="1"/>
    <col min="8969" max="8969" width="4.88671875" style="3252" customWidth="1"/>
    <col min="8970" max="8975" width="11" style="3252" customWidth="1"/>
    <col min="8976" max="8976" width="6.6640625" style="3252" customWidth="1"/>
    <col min="8977" max="8977" width="11" style="3252" customWidth="1"/>
    <col min="8978" max="8978" width="6.109375" style="3252" customWidth="1"/>
    <col min="8979" max="8979" width="5.77734375" style="3252" customWidth="1"/>
    <col min="8980" max="9217" width="9" style="3252"/>
    <col min="9218" max="9218" width="4.44140625" style="3252" customWidth="1"/>
    <col min="9219" max="9219" width="26.44140625" style="3252" customWidth="1"/>
    <col min="9220" max="9220" width="8" style="3252" customWidth="1"/>
    <col min="9221" max="9221" width="6.44140625" style="3252" customWidth="1"/>
    <col min="9222" max="9222" width="4.77734375" style="3252" customWidth="1"/>
    <col min="9223" max="9223" width="22.88671875" style="3252" customWidth="1"/>
    <col min="9224" max="9224" width="20.6640625" style="3252" customWidth="1"/>
    <col min="9225" max="9225" width="4.88671875" style="3252" customWidth="1"/>
    <col min="9226" max="9231" width="11" style="3252" customWidth="1"/>
    <col min="9232" max="9232" width="6.6640625" style="3252" customWidth="1"/>
    <col min="9233" max="9233" width="11" style="3252" customWidth="1"/>
    <col min="9234" max="9234" width="6.109375" style="3252" customWidth="1"/>
    <col min="9235" max="9235" width="5.77734375" style="3252" customWidth="1"/>
    <col min="9236" max="9473" width="9" style="3252"/>
    <col min="9474" max="9474" width="4.44140625" style="3252" customWidth="1"/>
    <col min="9475" max="9475" width="26.44140625" style="3252" customWidth="1"/>
    <col min="9476" max="9476" width="8" style="3252" customWidth="1"/>
    <col min="9477" max="9477" width="6.44140625" style="3252" customWidth="1"/>
    <col min="9478" max="9478" width="4.77734375" style="3252" customWidth="1"/>
    <col min="9479" max="9479" width="22.88671875" style="3252" customWidth="1"/>
    <col min="9480" max="9480" width="20.6640625" style="3252" customWidth="1"/>
    <col min="9481" max="9481" width="4.88671875" style="3252" customWidth="1"/>
    <col min="9482" max="9487" width="11" style="3252" customWidth="1"/>
    <col min="9488" max="9488" width="6.6640625" style="3252" customWidth="1"/>
    <col min="9489" max="9489" width="11" style="3252" customWidth="1"/>
    <col min="9490" max="9490" width="6.109375" style="3252" customWidth="1"/>
    <col min="9491" max="9491" width="5.77734375" style="3252" customWidth="1"/>
    <col min="9492" max="9729" width="9" style="3252"/>
    <col min="9730" max="9730" width="4.44140625" style="3252" customWidth="1"/>
    <col min="9731" max="9731" width="26.44140625" style="3252" customWidth="1"/>
    <col min="9732" max="9732" width="8" style="3252" customWidth="1"/>
    <col min="9733" max="9733" width="6.44140625" style="3252" customWidth="1"/>
    <col min="9734" max="9734" width="4.77734375" style="3252" customWidth="1"/>
    <col min="9735" max="9735" width="22.88671875" style="3252" customWidth="1"/>
    <col min="9736" max="9736" width="20.6640625" style="3252" customWidth="1"/>
    <col min="9737" max="9737" width="4.88671875" style="3252" customWidth="1"/>
    <col min="9738" max="9743" width="11" style="3252" customWidth="1"/>
    <col min="9744" max="9744" width="6.6640625" style="3252" customWidth="1"/>
    <col min="9745" max="9745" width="11" style="3252" customWidth="1"/>
    <col min="9746" max="9746" width="6.109375" style="3252" customWidth="1"/>
    <col min="9747" max="9747" width="5.77734375" style="3252" customWidth="1"/>
    <col min="9748" max="9985" width="9" style="3252"/>
    <col min="9986" max="9986" width="4.44140625" style="3252" customWidth="1"/>
    <col min="9987" max="9987" width="26.44140625" style="3252" customWidth="1"/>
    <col min="9988" max="9988" width="8" style="3252" customWidth="1"/>
    <col min="9989" max="9989" width="6.44140625" style="3252" customWidth="1"/>
    <col min="9990" max="9990" width="4.77734375" style="3252" customWidth="1"/>
    <col min="9991" max="9991" width="22.88671875" style="3252" customWidth="1"/>
    <col min="9992" max="9992" width="20.6640625" style="3252" customWidth="1"/>
    <col min="9993" max="9993" width="4.88671875" style="3252" customWidth="1"/>
    <col min="9994" max="9999" width="11" style="3252" customWidth="1"/>
    <col min="10000" max="10000" width="6.6640625" style="3252" customWidth="1"/>
    <col min="10001" max="10001" width="11" style="3252" customWidth="1"/>
    <col min="10002" max="10002" width="6.109375" style="3252" customWidth="1"/>
    <col min="10003" max="10003" width="5.77734375" style="3252" customWidth="1"/>
    <col min="10004" max="10241" width="9" style="3252"/>
    <col min="10242" max="10242" width="4.44140625" style="3252" customWidth="1"/>
    <col min="10243" max="10243" width="26.44140625" style="3252" customWidth="1"/>
    <col min="10244" max="10244" width="8" style="3252" customWidth="1"/>
    <col min="10245" max="10245" width="6.44140625" style="3252" customWidth="1"/>
    <col min="10246" max="10246" width="4.77734375" style="3252" customWidth="1"/>
    <col min="10247" max="10247" width="22.88671875" style="3252" customWidth="1"/>
    <col min="10248" max="10248" width="20.6640625" style="3252" customWidth="1"/>
    <col min="10249" max="10249" width="4.88671875" style="3252" customWidth="1"/>
    <col min="10250" max="10255" width="11" style="3252" customWidth="1"/>
    <col min="10256" max="10256" width="6.6640625" style="3252" customWidth="1"/>
    <col min="10257" max="10257" width="11" style="3252" customWidth="1"/>
    <col min="10258" max="10258" width="6.109375" style="3252" customWidth="1"/>
    <col min="10259" max="10259" width="5.77734375" style="3252" customWidth="1"/>
    <col min="10260" max="10497" width="9" style="3252"/>
    <col min="10498" max="10498" width="4.44140625" style="3252" customWidth="1"/>
    <col min="10499" max="10499" width="26.44140625" style="3252" customWidth="1"/>
    <col min="10500" max="10500" width="8" style="3252" customWidth="1"/>
    <col min="10501" max="10501" width="6.44140625" style="3252" customWidth="1"/>
    <col min="10502" max="10502" width="4.77734375" style="3252" customWidth="1"/>
    <col min="10503" max="10503" width="22.88671875" style="3252" customWidth="1"/>
    <col min="10504" max="10504" width="20.6640625" style="3252" customWidth="1"/>
    <col min="10505" max="10505" width="4.88671875" style="3252" customWidth="1"/>
    <col min="10506" max="10511" width="11" style="3252" customWidth="1"/>
    <col min="10512" max="10512" width="6.6640625" style="3252" customWidth="1"/>
    <col min="10513" max="10513" width="11" style="3252" customWidth="1"/>
    <col min="10514" max="10514" width="6.109375" style="3252" customWidth="1"/>
    <col min="10515" max="10515" width="5.77734375" style="3252" customWidth="1"/>
    <col min="10516" max="10753" width="9" style="3252"/>
    <col min="10754" max="10754" width="4.44140625" style="3252" customWidth="1"/>
    <col min="10755" max="10755" width="26.44140625" style="3252" customWidth="1"/>
    <col min="10756" max="10756" width="8" style="3252" customWidth="1"/>
    <col min="10757" max="10757" width="6.44140625" style="3252" customWidth="1"/>
    <col min="10758" max="10758" width="4.77734375" style="3252" customWidth="1"/>
    <col min="10759" max="10759" width="22.88671875" style="3252" customWidth="1"/>
    <col min="10760" max="10760" width="20.6640625" style="3252" customWidth="1"/>
    <col min="10761" max="10761" width="4.88671875" style="3252" customWidth="1"/>
    <col min="10762" max="10767" width="11" style="3252" customWidth="1"/>
    <col min="10768" max="10768" width="6.6640625" style="3252" customWidth="1"/>
    <col min="10769" max="10769" width="11" style="3252" customWidth="1"/>
    <col min="10770" max="10770" width="6.109375" style="3252" customWidth="1"/>
    <col min="10771" max="10771" width="5.77734375" style="3252" customWidth="1"/>
    <col min="10772" max="11009" width="9" style="3252"/>
    <col min="11010" max="11010" width="4.44140625" style="3252" customWidth="1"/>
    <col min="11011" max="11011" width="26.44140625" style="3252" customWidth="1"/>
    <col min="11012" max="11012" width="8" style="3252" customWidth="1"/>
    <col min="11013" max="11013" width="6.44140625" style="3252" customWidth="1"/>
    <col min="11014" max="11014" width="4.77734375" style="3252" customWidth="1"/>
    <col min="11015" max="11015" width="22.88671875" style="3252" customWidth="1"/>
    <col min="11016" max="11016" width="20.6640625" style="3252" customWidth="1"/>
    <col min="11017" max="11017" width="4.88671875" style="3252" customWidth="1"/>
    <col min="11018" max="11023" width="11" style="3252" customWidth="1"/>
    <col min="11024" max="11024" width="6.6640625" style="3252" customWidth="1"/>
    <col min="11025" max="11025" width="11" style="3252" customWidth="1"/>
    <col min="11026" max="11026" width="6.109375" style="3252" customWidth="1"/>
    <col min="11027" max="11027" width="5.77734375" style="3252" customWidth="1"/>
    <col min="11028" max="11265" width="9" style="3252"/>
    <col min="11266" max="11266" width="4.44140625" style="3252" customWidth="1"/>
    <col min="11267" max="11267" width="26.44140625" style="3252" customWidth="1"/>
    <col min="11268" max="11268" width="8" style="3252" customWidth="1"/>
    <col min="11269" max="11269" width="6.44140625" style="3252" customWidth="1"/>
    <col min="11270" max="11270" width="4.77734375" style="3252" customWidth="1"/>
    <col min="11271" max="11271" width="22.88671875" style="3252" customWidth="1"/>
    <col min="11272" max="11272" width="20.6640625" style="3252" customWidth="1"/>
    <col min="11273" max="11273" width="4.88671875" style="3252" customWidth="1"/>
    <col min="11274" max="11279" width="11" style="3252" customWidth="1"/>
    <col min="11280" max="11280" width="6.6640625" style="3252" customWidth="1"/>
    <col min="11281" max="11281" width="11" style="3252" customWidth="1"/>
    <col min="11282" max="11282" width="6.109375" style="3252" customWidth="1"/>
    <col min="11283" max="11283" width="5.77734375" style="3252" customWidth="1"/>
    <col min="11284" max="11521" width="9" style="3252"/>
    <col min="11522" max="11522" width="4.44140625" style="3252" customWidth="1"/>
    <col min="11523" max="11523" width="26.44140625" style="3252" customWidth="1"/>
    <col min="11524" max="11524" width="8" style="3252" customWidth="1"/>
    <col min="11525" max="11525" width="6.44140625" style="3252" customWidth="1"/>
    <col min="11526" max="11526" width="4.77734375" style="3252" customWidth="1"/>
    <col min="11527" max="11527" width="22.88671875" style="3252" customWidth="1"/>
    <col min="11528" max="11528" width="20.6640625" style="3252" customWidth="1"/>
    <col min="11529" max="11529" width="4.88671875" style="3252" customWidth="1"/>
    <col min="11530" max="11535" width="11" style="3252" customWidth="1"/>
    <col min="11536" max="11536" width="6.6640625" style="3252" customWidth="1"/>
    <col min="11537" max="11537" width="11" style="3252" customWidth="1"/>
    <col min="11538" max="11538" width="6.109375" style="3252" customWidth="1"/>
    <col min="11539" max="11539" width="5.77734375" style="3252" customWidth="1"/>
    <col min="11540" max="11777" width="9" style="3252"/>
    <col min="11778" max="11778" width="4.44140625" style="3252" customWidth="1"/>
    <col min="11779" max="11779" width="26.44140625" style="3252" customWidth="1"/>
    <col min="11780" max="11780" width="8" style="3252" customWidth="1"/>
    <col min="11781" max="11781" width="6.44140625" style="3252" customWidth="1"/>
    <col min="11782" max="11782" width="4.77734375" style="3252" customWidth="1"/>
    <col min="11783" max="11783" width="22.88671875" style="3252" customWidth="1"/>
    <col min="11784" max="11784" width="20.6640625" style="3252" customWidth="1"/>
    <col min="11785" max="11785" width="4.88671875" style="3252" customWidth="1"/>
    <col min="11786" max="11791" width="11" style="3252" customWidth="1"/>
    <col min="11792" max="11792" width="6.6640625" style="3252" customWidth="1"/>
    <col min="11793" max="11793" width="11" style="3252" customWidth="1"/>
    <col min="11794" max="11794" width="6.109375" style="3252" customWidth="1"/>
    <col min="11795" max="11795" width="5.77734375" style="3252" customWidth="1"/>
    <col min="11796" max="12033" width="9" style="3252"/>
    <col min="12034" max="12034" width="4.44140625" style="3252" customWidth="1"/>
    <col min="12035" max="12035" width="26.44140625" style="3252" customWidth="1"/>
    <col min="12036" max="12036" width="8" style="3252" customWidth="1"/>
    <col min="12037" max="12037" width="6.44140625" style="3252" customWidth="1"/>
    <col min="12038" max="12038" width="4.77734375" style="3252" customWidth="1"/>
    <col min="12039" max="12039" width="22.88671875" style="3252" customWidth="1"/>
    <col min="12040" max="12040" width="20.6640625" style="3252" customWidth="1"/>
    <col min="12041" max="12041" width="4.88671875" style="3252" customWidth="1"/>
    <col min="12042" max="12047" width="11" style="3252" customWidth="1"/>
    <col min="12048" max="12048" width="6.6640625" style="3252" customWidth="1"/>
    <col min="12049" max="12049" width="11" style="3252" customWidth="1"/>
    <col min="12050" max="12050" width="6.109375" style="3252" customWidth="1"/>
    <col min="12051" max="12051" width="5.77734375" style="3252" customWidth="1"/>
    <col min="12052" max="12289" width="9" style="3252"/>
    <col min="12290" max="12290" width="4.44140625" style="3252" customWidth="1"/>
    <col min="12291" max="12291" width="26.44140625" style="3252" customWidth="1"/>
    <col min="12292" max="12292" width="8" style="3252" customWidth="1"/>
    <col min="12293" max="12293" width="6.44140625" style="3252" customWidth="1"/>
    <col min="12294" max="12294" width="4.77734375" style="3252" customWidth="1"/>
    <col min="12295" max="12295" width="22.88671875" style="3252" customWidth="1"/>
    <col min="12296" max="12296" width="20.6640625" style="3252" customWidth="1"/>
    <col min="12297" max="12297" width="4.88671875" style="3252" customWidth="1"/>
    <col min="12298" max="12303" width="11" style="3252" customWidth="1"/>
    <col min="12304" max="12304" width="6.6640625" style="3252" customWidth="1"/>
    <col min="12305" max="12305" width="11" style="3252" customWidth="1"/>
    <col min="12306" max="12306" width="6.109375" style="3252" customWidth="1"/>
    <col min="12307" max="12307" width="5.77734375" style="3252" customWidth="1"/>
    <col min="12308" max="12545" width="9" style="3252"/>
    <col min="12546" max="12546" width="4.44140625" style="3252" customWidth="1"/>
    <col min="12547" max="12547" width="26.44140625" style="3252" customWidth="1"/>
    <col min="12548" max="12548" width="8" style="3252" customWidth="1"/>
    <col min="12549" max="12549" width="6.44140625" style="3252" customWidth="1"/>
    <col min="12550" max="12550" width="4.77734375" style="3252" customWidth="1"/>
    <col min="12551" max="12551" width="22.88671875" style="3252" customWidth="1"/>
    <col min="12552" max="12552" width="20.6640625" style="3252" customWidth="1"/>
    <col min="12553" max="12553" width="4.88671875" style="3252" customWidth="1"/>
    <col min="12554" max="12559" width="11" style="3252" customWidth="1"/>
    <col min="12560" max="12560" width="6.6640625" style="3252" customWidth="1"/>
    <col min="12561" max="12561" width="11" style="3252" customWidth="1"/>
    <col min="12562" max="12562" width="6.109375" style="3252" customWidth="1"/>
    <col min="12563" max="12563" width="5.77734375" style="3252" customWidth="1"/>
    <col min="12564" max="12801" width="9" style="3252"/>
    <col min="12802" max="12802" width="4.44140625" style="3252" customWidth="1"/>
    <col min="12803" max="12803" width="26.44140625" style="3252" customWidth="1"/>
    <col min="12804" max="12804" width="8" style="3252" customWidth="1"/>
    <col min="12805" max="12805" width="6.44140625" style="3252" customWidth="1"/>
    <col min="12806" max="12806" width="4.77734375" style="3252" customWidth="1"/>
    <col min="12807" max="12807" width="22.88671875" style="3252" customWidth="1"/>
    <col min="12808" max="12808" width="20.6640625" style="3252" customWidth="1"/>
    <col min="12809" max="12809" width="4.88671875" style="3252" customWidth="1"/>
    <col min="12810" max="12815" width="11" style="3252" customWidth="1"/>
    <col min="12816" max="12816" width="6.6640625" style="3252" customWidth="1"/>
    <col min="12817" max="12817" width="11" style="3252" customWidth="1"/>
    <col min="12818" max="12818" width="6.109375" style="3252" customWidth="1"/>
    <col min="12819" max="12819" width="5.77734375" style="3252" customWidth="1"/>
    <col min="12820" max="13057" width="9" style="3252"/>
    <col min="13058" max="13058" width="4.44140625" style="3252" customWidth="1"/>
    <col min="13059" max="13059" width="26.44140625" style="3252" customWidth="1"/>
    <col min="13060" max="13060" width="8" style="3252" customWidth="1"/>
    <col min="13061" max="13061" width="6.44140625" style="3252" customWidth="1"/>
    <col min="13062" max="13062" width="4.77734375" style="3252" customWidth="1"/>
    <col min="13063" max="13063" width="22.88671875" style="3252" customWidth="1"/>
    <col min="13064" max="13064" width="20.6640625" style="3252" customWidth="1"/>
    <col min="13065" max="13065" width="4.88671875" style="3252" customWidth="1"/>
    <col min="13066" max="13071" width="11" style="3252" customWidth="1"/>
    <col min="13072" max="13072" width="6.6640625" style="3252" customWidth="1"/>
    <col min="13073" max="13073" width="11" style="3252" customWidth="1"/>
    <col min="13074" max="13074" width="6.109375" style="3252" customWidth="1"/>
    <col min="13075" max="13075" width="5.77734375" style="3252" customWidth="1"/>
    <col min="13076" max="13313" width="9" style="3252"/>
    <col min="13314" max="13314" width="4.44140625" style="3252" customWidth="1"/>
    <col min="13315" max="13315" width="26.44140625" style="3252" customWidth="1"/>
    <col min="13316" max="13316" width="8" style="3252" customWidth="1"/>
    <col min="13317" max="13317" width="6.44140625" style="3252" customWidth="1"/>
    <col min="13318" max="13318" width="4.77734375" style="3252" customWidth="1"/>
    <col min="13319" max="13319" width="22.88671875" style="3252" customWidth="1"/>
    <col min="13320" max="13320" width="20.6640625" style="3252" customWidth="1"/>
    <col min="13321" max="13321" width="4.88671875" style="3252" customWidth="1"/>
    <col min="13322" max="13327" width="11" style="3252" customWidth="1"/>
    <col min="13328" max="13328" width="6.6640625" style="3252" customWidth="1"/>
    <col min="13329" max="13329" width="11" style="3252" customWidth="1"/>
    <col min="13330" max="13330" width="6.109375" style="3252" customWidth="1"/>
    <col min="13331" max="13331" width="5.77734375" style="3252" customWidth="1"/>
    <col min="13332" max="13569" width="9" style="3252"/>
    <col min="13570" max="13570" width="4.44140625" style="3252" customWidth="1"/>
    <col min="13571" max="13571" width="26.44140625" style="3252" customWidth="1"/>
    <col min="13572" max="13572" width="8" style="3252" customWidth="1"/>
    <col min="13573" max="13573" width="6.44140625" style="3252" customWidth="1"/>
    <col min="13574" max="13574" width="4.77734375" style="3252" customWidth="1"/>
    <col min="13575" max="13575" width="22.88671875" style="3252" customWidth="1"/>
    <col min="13576" max="13576" width="20.6640625" style="3252" customWidth="1"/>
    <col min="13577" max="13577" width="4.88671875" style="3252" customWidth="1"/>
    <col min="13578" max="13583" width="11" style="3252" customWidth="1"/>
    <col min="13584" max="13584" width="6.6640625" style="3252" customWidth="1"/>
    <col min="13585" max="13585" width="11" style="3252" customWidth="1"/>
    <col min="13586" max="13586" width="6.109375" style="3252" customWidth="1"/>
    <col min="13587" max="13587" width="5.77734375" style="3252" customWidth="1"/>
    <col min="13588" max="13825" width="9" style="3252"/>
    <col min="13826" max="13826" width="4.44140625" style="3252" customWidth="1"/>
    <col min="13827" max="13827" width="26.44140625" style="3252" customWidth="1"/>
    <col min="13828" max="13828" width="8" style="3252" customWidth="1"/>
    <col min="13829" max="13829" width="6.44140625" style="3252" customWidth="1"/>
    <col min="13830" max="13830" width="4.77734375" style="3252" customWidth="1"/>
    <col min="13831" max="13831" width="22.88671875" style="3252" customWidth="1"/>
    <col min="13832" max="13832" width="20.6640625" style="3252" customWidth="1"/>
    <col min="13833" max="13833" width="4.88671875" style="3252" customWidth="1"/>
    <col min="13834" max="13839" width="11" style="3252" customWidth="1"/>
    <col min="13840" max="13840" width="6.6640625" style="3252" customWidth="1"/>
    <col min="13841" max="13841" width="11" style="3252" customWidth="1"/>
    <col min="13842" max="13842" width="6.109375" style="3252" customWidth="1"/>
    <col min="13843" max="13843" width="5.77734375" style="3252" customWidth="1"/>
    <col min="13844" max="14081" width="9" style="3252"/>
    <col min="14082" max="14082" width="4.44140625" style="3252" customWidth="1"/>
    <col min="14083" max="14083" width="26.44140625" style="3252" customWidth="1"/>
    <col min="14084" max="14084" width="8" style="3252" customWidth="1"/>
    <col min="14085" max="14085" width="6.44140625" style="3252" customWidth="1"/>
    <col min="14086" max="14086" width="4.77734375" style="3252" customWidth="1"/>
    <col min="14087" max="14087" width="22.88671875" style="3252" customWidth="1"/>
    <col min="14088" max="14088" width="20.6640625" style="3252" customWidth="1"/>
    <col min="14089" max="14089" width="4.88671875" style="3252" customWidth="1"/>
    <col min="14090" max="14095" width="11" style="3252" customWidth="1"/>
    <col min="14096" max="14096" width="6.6640625" style="3252" customWidth="1"/>
    <col min="14097" max="14097" width="11" style="3252" customWidth="1"/>
    <col min="14098" max="14098" width="6.109375" style="3252" customWidth="1"/>
    <col min="14099" max="14099" width="5.77734375" style="3252" customWidth="1"/>
    <col min="14100" max="14337" width="9" style="3252"/>
    <col min="14338" max="14338" width="4.44140625" style="3252" customWidth="1"/>
    <col min="14339" max="14339" width="26.44140625" style="3252" customWidth="1"/>
    <col min="14340" max="14340" width="8" style="3252" customWidth="1"/>
    <col min="14341" max="14341" width="6.44140625" style="3252" customWidth="1"/>
    <col min="14342" max="14342" width="4.77734375" style="3252" customWidth="1"/>
    <col min="14343" max="14343" width="22.88671875" style="3252" customWidth="1"/>
    <col min="14344" max="14344" width="20.6640625" style="3252" customWidth="1"/>
    <col min="14345" max="14345" width="4.88671875" style="3252" customWidth="1"/>
    <col min="14346" max="14351" width="11" style="3252" customWidth="1"/>
    <col min="14352" max="14352" width="6.6640625" style="3252" customWidth="1"/>
    <col min="14353" max="14353" width="11" style="3252" customWidth="1"/>
    <col min="14354" max="14354" width="6.109375" style="3252" customWidth="1"/>
    <col min="14355" max="14355" width="5.77734375" style="3252" customWidth="1"/>
    <col min="14356" max="14593" width="9" style="3252"/>
    <col min="14594" max="14594" width="4.44140625" style="3252" customWidth="1"/>
    <col min="14595" max="14595" width="26.44140625" style="3252" customWidth="1"/>
    <col min="14596" max="14596" width="8" style="3252" customWidth="1"/>
    <col min="14597" max="14597" width="6.44140625" style="3252" customWidth="1"/>
    <col min="14598" max="14598" width="4.77734375" style="3252" customWidth="1"/>
    <col min="14599" max="14599" width="22.88671875" style="3252" customWidth="1"/>
    <col min="14600" max="14600" width="20.6640625" style="3252" customWidth="1"/>
    <col min="14601" max="14601" width="4.88671875" style="3252" customWidth="1"/>
    <col min="14602" max="14607" width="11" style="3252" customWidth="1"/>
    <col min="14608" max="14608" width="6.6640625" style="3252" customWidth="1"/>
    <col min="14609" max="14609" width="11" style="3252" customWidth="1"/>
    <col min="14610" max="14610" width="6.109375" style="3252" customWidth="1"/>
    <col min="14611" max="14611" width="5.77734375" style="3252" customWidth="1"/>
    <col min="14612" max="14849" width="9" style="3252"/>
    <col min="14850" max="14850" width="4.44140625" style="3252" customWidth="1"/>
    <col min="14851" max="14851" width="26.44140625" style="3252" customWidth="1"/>
    <col min="14852" max="14852" width="8" style="3252" customWidth="1"/>
    <col min="14853" max="14853" width="6.44140625" style="3252" customWidth="1"/>
    <col min="14854" max="14854" width="4.77734375" style="3252" customWidth="1"/>
    <col min="14855" max="14855" width="22.88671875" style="3252" customWidth="1"/>
    <col min="14856" max="14856" width="20.6640625" style="3252" customWidth="1"/>
    <col min="14857" max="14857" width="4.88671875" style="3252" customWidth="1"/>
    <col min="14858" max="14863" width="11" style="3252" customWidth="1"/>
    <col min="14864" max="14864" width="6.6640625" style="3252" customWidth="1"/>
    <col min="14865" max="14865" width="11" style="3252" customWidth="1"/>
    <col min="14866" max="14866" width="6.109375" style="3252" customWidth="1"/>
    <col min="14867" max="14867" width="5.77734375" style="3252" customWidth="1"/>
    <col min="14868" max="15105" width="9" style="3252"/>
    <col min="15106" max="15106" width="4.44140625" style="3252" customWidth="1"/>
    <col min="15107" max="15107" width="26.44140625" style="3252" customWidth="1"/>
    <col min="15108" max="15108" width="8" style="3252" customWidth="1"/>
    <col min="15109" max="15109" width="6.44140625" style="3252" customWidth="1"/>
    <col min="15110" max="15110" width="4.77734375" style="3252" customWidth="1"/>
    <col min="15111" max="15111" width="22.88671875" style="3252" customWidth="1"/>
    <col min="15112" max="15112" width="20.6640625" style="3252" customWidth="1"/>
    <col min="15113" max="15113" width="4.88671875" style="3252" customWidth="1"/>
    <col min="15114" max="15119" width="11" style="3252" customWidth="1"/>
    <col min="15120" max="15120" width="6.6640625" style="3252" customWidth="1"/>
    <col min="15121" max="15121" width="11" style="3252" customWidth="1"/>
    <col min="15122" max="15122" width="6.109375" style="3252" customWidth="1"/>
    <col min="15123" max="15123" width="5.77734375" style="3252" customWidth="1"/>
    <col min="15124" max="15361" width="9" style="3252"/>
    <col min="15362" max="15362" width="4.44140625" style="3252" customWidth="1"/>
    <col min="15363" max="15363" width="26.44140625" style="3252" customWidth="1"/>
    <col min="15364" max="15364" width="8" style="3252" customWidth="1"/>
    <col min="15365" max="15365" width="6.44140625" style="3252" customWidth="1"/>
    <col min="15366" max="15366" width="4.77734375" style="3252" customWidth="1"/>
    <col min="15367" max="15367" width="22.88671875" style="3252" customWidth="1"/>
    <col min="15368" max="15368" width="20.6640625" style="3252" customWidth="1"/>
    <col min="15369" max="15369" width="4.88671875" style="3252" customWidth="1"/>
    <col min="15370" max="15375" width="11" style="3252" customWidth="1"/>
    <col min="15376" max="15376" width="6.6640625" style="3252" customWidth="1"/>
    <col min="15377" max="15377" width="11" style="3252" customWidth="1"/>
    <col min="15378" max="15378" width="6.109375" style="3252" customWidth="1"/>
    <col min="15379" max="15379" width="5.77734375" style="3252" customWidth="1"/>
    <col min="15380" max="15617" width="9" style="3252"/>
    <col min="15618" max="15618" width="4.44140625" style="3252" customWidth="1"/>
    <col min="15619" max="15619" width="26.44140625" style="3252" customWidth="1"/>
    <col min="15620" max="15620" width="8" style="3252" customWidth="1"/>
    <col min="15621" max="15621" width="6.44140625" style="3252" customWidth="1"/>
    <col min="15622" max="15622" width="4.77734375" style="3252" customWidth="1"/>
    <col min="15623" max="15623" width="22.88671875" style="3252" customWidth="1"/>
    <col min="15624" max="15624" width="20.6640625" style="3252" customWidth="1"/>
    <col min="15625" max="15625" width="4.88671875" style="3252" customWidth="1"/>
    <col min="15626" max="15631" width="11" style="3252" customWidth="1"/>
    <col min="15632" max="15632" width="6.6640625" style="3252" customWidth="1"/>
    <col min="15633" max="15633" width="11" style="3252" customWidth="1"/>
    <col min="15634" max="15634" width="6.109375" style="3252" customWidth="1"/>
    <col min="15635" max="15635" width="5.77734375" style="3252" customWidth="1"/>
    <col min="15636" max="15873" width="9" style="3252"/>
    <col min="15874" max="15874" width="4.44140625" style="3252" customWidth="1"/>
    <col min="15875" max="15875" width="26.44140625" style="3252" customWidth="1"/>
    <col min="15876" max="15876" width="8" style="3252" customWidth="1"/>
    <col min="15877" max="15877" width="6.44140625" style="3252" customWidth="1"/>
    <col min="15878" max="15878" width="4.77734375" style="3252" customWidth="1"/>
    <col min="15879" max="15879" width="22.88671875" style="3252" customWidth="1"/>
    <col min="15880" max="15880" width="20.6640625" style="3252" customWidth="1"/>
    <col min="15881" max="15881" width="4.88671875" style="3252" customWidth="1"/>
    <col min="15882" max="15887" width="11" style="3252" customWidth="1"/>
    <col min="15888" max="15888" width="6.6640625" style="3252" customWidth="1"/>
    <col min="15889" max="15889" width="11" style="3252" customWidth="1"/>
    <col min="15890" max="15890" width="6.109375" style="3252" customWidth="1"/>
    <col min="15891" max="15891" width="5.77734375" style="3252" customWidth="1"/>
    <col min="15892" max="16129" width="9" style="3252"/>
    <col min="16130" max="16130" width="4.44140625" style="3252" customWidth="1"/>
    <col min="16131" max="16131" width="26.44140625" style="3252" customWidth="1"/>
    <col min="16132" max="16132" width="8" style="3252" customWidth="1"/>
    <col min="16133" max="16133" width="6.44140625" style="3252" customWidth="1"/>
    <col min="16134" max="16134" width="4.77734375" style="3252" customWidth="1"/>
    <col min="16135" max="16135" width="22.88671875" style="3252" customWidth="1"/>
    <col min="16136" max="16136" width="20.6640625" style="3252" customWidth="1"/>
    <col min="16137" max="16137" width="4.88671875" style="3252" customWidth="1"/>
    <col min="16138" max="16143" width="11" style="3252" customWidth="1"/>
    <col min="16144" max="16144" width="6.6640625" style="3252" customWidth="1"/>
    <col min="16145" max="16145" width="11" style="3252" customWidth="1"/>
    <col min="16146" max="16146" width="6.109375" style="3252" customWidth="1"/>
    <col min="16147" max="16147" width="5.777343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2.8">
      <c r="A2" s="4078" t="s">
        <v>3247</v>
      </c>
      <c r="B2" s="4079"/>
      <c r="C2" s="4079"/>
      <c r="D2" s="4079"/>
      <c r="E2" s="4079"/>
      <c r="F2" s="4079"/>
      <c r="G2" s="4079"/>
      <c r="H2" s="4079"/>
      <c r="I2" s="4079"/>
      <c r="J2" s="4079"/>
      <c r="K2" s="4079"/>
      <c r="L2" s="4079"/>
      <c r="M2" s="4079"/>
      <c r="N2" s="4079"/>
      <c r="O2" s="4079"/>
      <c r="P2" s="4079"/>
      <c r="Q2" s="4079"/>
      <c r="R2" s="4079"/>
      <c r="S2" s="4079"/>
    </row>
    <row r="3" spans="1:19">
      <c r="A3" s="4080" t="str">
        <f>CONCATENATE([7]封面!D9,[7]封面!F9,[7]封面!G9,[7]封面!H9,[7]封面!I9,[7]封面!J9,[7]封面!K9)</f>
        <v>评估基准日：年月日</v>
      </c>
      <c r="B3" s="4080"/>
      <c r="C3" s="4080"/>
      <c r="D3" s="4080"/>
      <c r="E3" s="4080"/>
      <c r="F3" s="4080"/>
      <c r="G3" s="4080"/>
      <c r="H3" s="4080"/>
      <c r="I3" s="4080"/>
      <c r="J3" s="4081"/>
      <c r="K3" s="4081"/>
      <c r="L3" s="4081"/>
      <c r="M3" s="4081"/>
      <c r="N3" s="4081"/>
      <c r="O3" s="4081"/>
      <c r="P3" s="4081"/>
      <c r="Q3" s="4081"/>
      <c r="R3" s="4081"/>
      <c r="S3" s="4081"/>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[7]封面!D7&amp;[7]封面!E7</f>
        <v>被评估单位（或者产权持有单位）：</v>
      </c>
      <c r="H5" s="3301"/>
      <c r="I5" s="3257"/>
      <c r="J5" s="3257"/>
      <c r="S5" s="3258" t="s">
        <v>3249</v>
      </c>
    </row>
    <row r="6" spans="1:19" s="3259" customFormat="1">
      <c r="A6" s="4082" t="s">
        <v>3250</v>
      </c>
      <c r="B6" s="4083" t="s">
        <v>3251</v>
      </c>
      <c r="C6" s="4084" t="s">
        <v>3252</v>
      </c>
      <c r="D6" s="4086" t="s">
        <v>3253</v>
      </c>
      <c r="E6" s="4088" t="s">
        <v>3254</v>
      </c>
      <c r="F6" s="4088" t="s">
        <v>3255</v>
      </c>
      <c r="G6" s="4088" t="s">
        <v>3256</v>
      </c>
      <c r="H6" s="4088" t="s">
        <v>3257</v>
      </c>
      <c r="I6" s="4089" t="s">
        <v>3258</v>
      </c>
      <c r="J6" s="4089" t="s">
        <v>3259</v>
      </c>
      <c r="K6" s="4091" t="s">
        <v>3260</v>
      </c>
      <c r="L6" s="4092"/>
      <c r="M6" s="4093" t="s">
        <v>3261</v>
      </c>
      <c r="N6" s="4094"/>
      <c r="O6" s="4091" t="s">
        <v>3262</v>
      </c>
      <c r="P6" s="4090"/>
      <c r="Q6" s="4090"/>
      <c r="R6" s="4089" t="s">
        <v>3263</v>
      </c>
      <c r="S6" s="4089" t="s">
        <v>3264</v>
      </c>
    </row>
    <row r="7" spans="1:19" s="3259" customFormat="1">
      <c r="A7" s="4083"/>
      <c r="B7" s="4083"/>
      <c r="C7" s="4085"/>
      <c r="D7" s="4087"/>
      <c r="E7" s="4083"/>
      <c r="F7" s="4083"/>
      <c r="G7" s="4083"/>
      <c r="H7" s="4083"/>
      <c r="I7" s="4090"/>
      <c r="J7" s="4090"/>
      <c r="K7" s="3260" t="s">
        <v>3265</v>
      </c>
      <c r="L7" s="3261" t="s">
        <v>3266</v>
      </c>
      <c r="M7" s="3262" t="s">
        <v>3265</v>
      </c>
      <c r="N7" s="3260" t="s">
        <v>3266</v>
      </c>
      <c r="O7" s="3260" t="s">
        <v>3265</v>
      </c>
      <c r="P7" s="3260" t="s">
        <v>3267</v>
      </c>
      <c r="Q7" s="3260" t="s">
        <v>3266</v>
      </c>
      <c r="R7" s="4090"/>
      <c r="S7" s="4090"/>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ht="21.6">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4083" t="s">
        <v>3350</v>
      </c>
      <c r="B58" s="4083"/>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4082" t="s">
        <v>3351</v>
      </c>
      <c r="B59" s="4083"/>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4095" t="s">
        <v>3352</v>
      </c>
      <c r="B60" s="4096"/>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[7]封面!D11&amp;[7]封面!F11</f>
        <v>被评估单位（或者产权持有单位）填表人：</v>
      </c>
      <c r="M61" s="3252" t="str">
        <f>"评估人员："&amp;[7]封面!E26</f>
        <v>评估人员：</v>
      </c>
    </row>
    <row r="62" spans="1:19">
      <c r="A62" s="3308" t="str">
        <f>CONCATENATE([7]封面!D13,[7]封面!F13,[7]封面!G13,[7]封面!H13,[7]封面!I13,[7]封面!J13,[7]封面!K13)</f>
        <v>填表日期：年月日</v>
      </c>
    </row>
    <row r="66" spans="8:11">
      <c r="H66" s="3309"/>
      <c r="K66" s="3294"/>
    </row>
  </sheetData>
  <mergeCells count="20">
    <mergeCell ref="A58:B58"/>
    <mergeCell ref="A59:B59"/>
    <mergeCell ref="A60:B60"/>
    <mergeCell ref="I6:I7"/>
    <mergeCell ref="J6:J7"/>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s>
  <phoneticPr fontId="238"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734" t="s">
        <v>2067</v>
      </c>
      <c r="B1" s="3734"/>
      <c r="C1" s="3734"/>
      <c r="D1" s="3734"/>
    </row>
    <row r="2" spans="1:4" ht="47.25" customHeight="1">
      <c r="A2" s="3738" t="str">
        <f>"1.权利限制："&amp;项目基本情况!L24&amp;"未设定租赁等其他他项权利。"</f>
        <v>1.权利限制：根据估价对象《不动产权证书》原件、《国有土地使用权》复印件，截至估价期日，估价对象抵押权未见登记。未设定租赁等其他他项权利。</v>
      </c>
      <c r="B2" s="3738"/>
      <c r="C2" s="3738"/>
      <c r="D2" s="3738"/>
    </row>
    <row r="3" spans="1:4" ht="48" customHeight="1">
      <c r="A3" s="37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4"/>
      <c r="C3" s="3734"/>
      <c r="D3" s="3734"/>
    </row>
    <row r="4" spans="1:4" ht="36.75" customHeight="1">
      <c r="A4" s="3734" t="str">
        <f>"3.估价规划限制条件：详见"&amp;项目基本情况!E21&amp;"。"</f>
        <v>3.估价规划限制条件：详见《建设工程规划许可证》[]、《出让合同》[]。</v>
      </c>
      <c r="B4" s="3734"/>
      <c r="C4" s="3734"/>
      <c r="D4" s="3734"/>
    </row>
    <row r="5" spans="1:4">
      <c r="A5" s="3737" t="s">
        <v>2068</v>
      </c>
      <c r="B5" s="3737"/>
      <c r="C5" s="3737"/>
      <c r="D5" s="3737"/>
    </row>
    <row r="6" spans="1:4">
      <c r="A6" s="3734" t="s">
        <v>2046</v>
      </c>
      <c r="B6" s="3734"/>
      <c r="C6" s="3734"/>
      <c r="D6" s="3734"/>
    </row>
    <row r="7" spans="1:4" ht="33" customHeight="1">
      <c r="A7" s="3734" t="s">
        <v>2578</v>
      </c>
      <c r="B7" s="3734"/>
      <c r="C7" s="3734"/>
      <c r="D7" s="3734"/>
    </row>
    <row r="8" spans="1:4" ht="32.25" customHeight="1">
      <c r="A8" s="37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4"/>
      <c r="C8" s="3734"/>
      <c r="D8" s="3734"/>
    </row>
    <row r="9" spans="1:4" ht="33.75" customHeight="1">
      <c r="A9" s="3734" t="str">
        <f>IF(项目基本情况!B8="抵押","3.抵押双方在办理抵押登记手续时，应使用本公司出具的正式《土地估价报告》，特提请报告使用者注意。","——")</f>
        <v>——</v>
      </c>
      <c r="B9" s="3734"/>
      <c r="C9" s="3734"/>
      <c r="D9" s="3734"/>
    </row>
    <row r="10" spans="1:4">
      <c r="A10" s="3734" t="str">
        <f>IF(项目基本情况!B8="抵押","4.估价师所知悉的法定优先受偿款情况为：","——")</f>
        <v>——</v>
      </c>
      <c r="B10" s="3734"/>
      <c r="C10" s="3734"/>
      <c r="D10" s="3734"/>
    </row>
    <row r="11" spans="1:4" ht="37.5" customHeight="1">
      <c r="A11" s="3736" t="str">
        <f>IF(项目基本情况!B8="抵押","（1）"&amp;CONCATENATE(项目基本情况!L24,项目基本情况!L25,项目基本情况!L26),"——")</f>
        <v>——</v>
      </c>
      <c r="B11" s="3736"/>
      <c r="C11" s="3736"/>
      <c r="D11" s="3736"/>
    </row>
    <row r="12" spans="1:4" ht="168" customHeight="1">
      <c r="A12" s="3737" t="s">
        <v>2070</v>
      </c>
      <c r="B12" s="3737"/>
      <c r="C12" s="3737"/>
      <c r="D12" s="3737"/>
    </row>
    <row r="13" spans="1:4">
      <c r="A13" s="3735" t="s">
        <v>2749</v>
      </c>
      <c r="B13" s="3735"/>
      <c r="C13" s="3735"/>
      <c r="D13" s="3735"/>
    </row>
    <row r="14" spans="1:4">
      <c r="A14" s="3736" t="str">
        <f>IF(项目基本情况!B8="抵押","综上，"&amp;结果表!K47,"——")</f>
        <v>——</v>
      </c>
      <c r="B14" s="3736"/>
      <c r="C14" s="3736"/>
      <c r="D14" s="3736"/>
    </row>
    <row r="15" spans="1:4" ht="58.5" customHeight="1">
      <c r="A15" s="37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4"/>
      <c r="C15" s="3734"/>
      <c r="D15" s="3734"/>
    </row>
    <row r="16" spans="1:4" ht="70.5" customHeight="1">
      <c r="A16" s="37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4"/>
      <c r="C16" s="3734"/>
      <c r="D16" s="3734"/>
    </row>
    <row r="17" spans="1:4">
      <c r="A17" s="3734" t="s">
        <v>2705</v>
      </c>
      <c r="B17" s="3734"/>
      <c r="C17" s="3734"/>
      <c r="D17" s="3734"/>
    </row>
    <row r="18" spans="1:4">
      <c r="A18" s="3734" t="s">
        <v>2697</v>
      </c>
      <c r="B18" s="3734"/>
      <c r="C18" s="3734"/>
      <c r="D18" s="3734"/>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734" t="s">
        <v>2702</v>
      </c>
      <c r="B23" s="3734"/>
      <c r="C23" s="3734"/>
      <c r="D23" s="3734"/>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E10" sqref="E10"/>
    </sheetView>
  </sheetViews>
  <sheetFormatPr defaultRowHeight="14.4"/>
  <cols>
    <col min="3" max="3" width="13.33203125" customWidth="1"/>
  </cols>
  <sheetData>
    <row r="2" spans="2:5" ht="27" customHeight="1">
      <c r="B2" s="4100" t="s">
        <v>3134</v>
      </c>
      <c r="C2" s="4100"/>
      <c r="D2" s="4100"/>
      <c r="E2" s="4100"/>
    </row>
    <row r="3" spans="2:5">
      <c r="B3" s="3856" t="s">
        <v>3135</v>
      </c>
      <c r="C3" s="3856"/>
      <c r="D3" s="3857">
        <f>停产停业损失补偿!D5</f>
        <v>62715.349999999984</v>
      </c>
      <c r="E3" s="3857"/>
    </row>
    <row r="4" spans="2:5">
      <c r="B4" s="3856" t="s">
        <v>3136</v>
      </c>
      <c r="C4" s="3856"/>
      <c r="D4" s="3857">
        <v>50</v>
      </c>
      <c r="E4" s="3857"/>
    </row>
    <row r="5" spans="2:5">
      <c r="B5" s="4098" t="s">
        <v>3137</v>
      </c>
      <c r="C5" s="4099"/>
      <c r="D5" s="4097">
        <f>ROUND(D3*D4/10000,2)</f>
        <v>313.58</v>
      </c>
      <c r="E5" s="4097"/>
    </row>
  </sheetData>
  <mergeCells count="7">
    <mergeCell ref="D5:E5"/>
    <mergeCell ref="B5:C5"/>
    <mergeCell ref="B2:E2"/>
    <mergeCell ref="B3:C3"/>
    <mergeCell ref="B4:C4"/>
    <mergeCell ref="D3:E3"/>
    <mergeCell ref="D4:E4"/>
  </mergeCells>
  <phoneticPr fontId="238"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44" zoomScale="110" zoomScaleNormal="110" workbookViewId="0">
      <selection activeCell="A52" sqref="A52"/>
    </sheetView>
  </sheetViews>
  <sheetFormatPr defaultColWidth="9" defaultRowHeight="22.5" customHeight="1"/>
  <cols>
    <col min="1" max="1" width="14.88671875" style="3190" customWidth="1"/>
    <col min="2" max="3" width="9" style="3190"/>
    <col min="4" max="4" width="9" style="3191"/>
    <col min="5" max="5" width="9" style="3190"/>
    <col min="6" max="6" width="9.44140625" style="3190" bestFit="1" customWidth="1"/>
    <col min="7" max="16384" width="9" style="3190"/>
  </cols>
  <sheetData>
    <row r="1" spans="1:19" ht="22.5" customHeight="1">
      <c r="A1" s="4101" t="s">
        <v>3064</v>
      </c>
      <c r="B1" s="4101" t="s">
        <v>3065</v>
      </c>
      <c r="C1" s="4101" t="s">
        <v>3063</v>
      </c>
      <c r="D1" s="4108" t="s">
        <v>3066</v>
      </c>
      <c r="E1" s="4101" t="s">
        <v>3074</v>
      </c>
      <c r="F1" s="4101" t="s">
        <v>3067</v>
      </c>
      <c r="G1" s="4101" t="s">
        <v>3075</v>
      </c>
      <c r="H1" s="4101" t="s">
        <v>3076</v>
      </c>
      <c r="I1" s="4101" t="s">
        <v>3077</v>
      </c>
      <c r="J1" s="4101" t="s">
        <v>3592</v>
      </c>
      <c r="K1" s="4101" t="s">
        <v>3079</v>
      </c>
      <c r="L1" s="4101" t="s">
        <v>3080</v>
      </c>
      <c r="M1" s="4101" t="s">
        <v>3081</v>
      </c>
      <c r="N1" s="4101" t="s">
        <v>3082</v>
      </c>
      <c r="O1" s="4101" t="s">
        <v>3083</v>
      </c>
      <c r="P1" s="4103" t="s">
        <v>3109</v>
      </c>
      <c r="Q1" s="4101" t="s">
        <v>3068</v>
      </c>
    </row>
    <row r="2" spans="1:19" ht="22.5" customHeight="1" thickBot="1">
      <c r="A2" s="4102"/>
      <c r="B2" s="4102"/>
      <c r="C2" s="4102"/>
      <c r="D2" s="4109"/>
      <c r="E2" s="4102"/>
      <c r="F2" s="4102"/>
      <c r="G2" s="4102"/>
      <c r="H2" s="4102"/>
      <c r="I2" s="4102"/>
      <c r="J2" s="4102"/>
      <c r="K2" s="4102"/>
      <c r="L2" s="4102"/>
      <c r="M2" s="4102"/>
      <c r="N2" s="4102"/>
      <c r="O2" s="4102"/>
      <c r="P2" s="4102"/>
      <c r="Q2" s="4102"/>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4110"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4110"/>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4110"/>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4110"/>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4104" t="s">
        <v>3190</v>
      </c>
      <c r="B44" s="4105"/>
      <c r="C44" s="4105"/>
      <c r="D44" s="4105"/>
      <c r="E44" s="4105"/>
      <c r="F44" s="4105"/>
      <c r="G44" s="4105"/>
      <c r="H44" s="4105"/>
      <c r="I44" s="4105"/>
      <c r="J44" s="4105"/>
      <c r="K44" s="4105"/>
      <c r="L44" s="4105"/>
      <c r="M44" s="4105"/>
      <c r="N44" s="4105"/>
      <c r="O44" s="4105"/>
      <c r="P44" s="4105"/>
      <c r="Q44" s="4105"/>
    </row>
    <row r="45" spans="1:19" ht="22.5" customHeight="1">
      <c r="A45" s="4101" t="s">
        <v>3064</v>
      </c>
      <c r="B45" s="4101" t="s">
        <v>3065</v>
      </c>
      <c r="C45" s="4101" t="s">
        <v>3063</v>
      </c>
      <c r="D45" s="4108" t="s">
        <v>3066</v>
      </c>
      <c r="E45" s="4101" t="s">
        <v>3074</v>
      </c>
      <c r="F45" s="4101" t="s">
        <v>3067</v>
      </c>
      <c r="G45" s="4101" t="s">
        <v>3075</v>
      </c>
      <c r="H45" s="4101" t="s">
        <v>3076</v>
      </c>
      <c r="I45" s="4101" t="s">
        <v>3077</v>
      </c>
      <c r="J45" s="4101" t="s">
        <v>3078</v>
      </c>
      <c r="K45" s="4101" t="s">
        <v>3079</v>
      </c>
      <c r="L45" s="4101" t="s">
        <v>3080</v>
      </c>
      <c r="M45" s="4101" t="s">
        <v>3081</v>
      </c>
      <c r="N45" s="4101" t="s">
        <v>3082</v>
      </c>
      <c r="O45" s="4101" t="s">
        <v>3083</v>
      </c>
      <c r="P45" s="4103" t="s">
        <v>3109</v>
      </c>
      <c r="Q45" s="4101" t="s">
        <v>3068</v>
      </c>
    </row>
    <row r="46" spans="1:19" ht="22.5" customHeight="1" thickBot="1">
      <c r="A46" s="4102"/>
      <c r="B46" s="4102"/>
      <c r="C46" s="4102"/>
      <c r="D46" s="4109"/>
      <c r="E46" s="4102"/>
      <c r="F46" s="4102"/>
      <c r="G46" s="4102"/>
      <c r="H46" s="4102"/>
      <c r="I46" s="4102"/>
      <c r="J46" s="4102"/>
      <c r="K46" s="4102"/>
      <c r="L46" s="4102"/>
      <c r="M46" s="4102"/>
      <c r="N46" s="4102"/>
      <c r="O46" s="4102"/>
      <c r="P46" s="4102"/>
      <c r="Q46" s="4102"/>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3583</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4106" t="s">
        <v>3227</v>
      </c>
      <c r="B57" s="4107"/>
      <c r="C57" s="4107"/>
      <c r="D57" s="4107"/>
      <c r="E57" s="4107"/>
      <c r="F57" s="4107"/>
      <c r="G57" s="4107"/>
      <c r="H57" s="4107"/>
      <c r="I57" s="4107"/>
      <c r="J57" s="4107"/>
      <c r="K57" s="4107"/>
      <c r="L57" s="4107"/>
      <c r="M57" s="4107"/>
      <c r="N57" s="4107"/>
      <c r="O57" s="4107"/>
      <c r="P57" s="4107"/>
      <c r="Q57" s="4107"/>
    </row>
    <row r="58" spans="1:19" ht="22.5" customHeight="1">
      <c r="A58" s="4101" t="s">
        <v>3064</v>
      </c>
      <c r="B58" s="4101" t="s">
        <v>3065</v>
      </c>
      <c r="C58" s="4101" t="s">
        <v>3063</v>
      </c>
      <c r="D58" s="4108" t="s">
        <v>3066</v>
      </c>
      <c r="E58" s="4101" t="s">
        <v>3074</v>
      </c>
      <c r="F58" s="4101" t="s">
        <v>3067</v>
      </c>
      <c r="G58" s="4101" t="s">
        <v>3075</v>
      </c>
      <c r="H58" s="4101" t="s">
        <v>3076</v>
      </c>
      <c r="I58" s="4101" t="s">
        <v>3077</v>
      </c>
      <c r="J58" s="4101" t="s">
        <v>3078</v>
      </c>
      <c r="K58" s="4101" t="s">
        <v>3079</v>
      </c>
      <c r="L58" s="4101" t="s">
        <v>3080</v>
      </c>
      <c r="M58" s="4101" t="s">
        <v>3081</v>
      </c>
      <c r="N58" s="4101" t="s">
        <v>3082</v>
      </c>
      <c r="O58" s="4101" t="s">
        <v>3083</v>
      </c>
      <c r="P58" s="4103" t="s">
        <v>3109</v>
      </c>
      <c r="Q58" s="4101" t="s">
        <v>3068</v>
      </c>
    </row>
    <row r="59" spans="1:19" ht="22.5" customHeight="1" thickBot="1">
      <c r="A59" s="4102"/>
      <c r="B59" s="4102"/>
      <c r="C59" s="4102"/>
      <c r="D59" s="4109"/>
      <c r="E59" s="4102"/>
      <c r="F59" s="4102"/>
      <c r="G59" s="4102"/>
      <c r="H59" s="4102"/>
      <c r="I59" s="4102"/>
      <c r="J59" s="4102"/>
      <c r="K59" s="4102"/>
      <c r="L59" s="4102"/>
      <c r="M59" s="4102"/>
      <c r="N59" s="4102"/>
      <c r="O59" s="4102"/>
      <c r="P59" s="4102"/>
      <c r="Q59" s="4102"/>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3530</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H45:H46"/>
    <mergeCell ref="I45:I46"/>
    <mergeCell ref="J45:J46"/>
    <mergeCell ref="P45:P46"/>
    <mergeCell ref="Q45:Q46"/>
    <mergeCell ref="K45:K46"/>
    <mergeCell ref="L45:L46"/>
    <mergeCell ref="M45:M46"/>
    <mergeCell ref="N45:N46"/>
    <mergeCell ref="O45:O46"/>
    <mergeCell ref="Q1:Q2"/>
    <mergeCell ref="F1:F2"/>
    <mergeCell ref="G1:G2"/>
    <mergeCell ref="H1:H2"/>
    <mergeCell ref="I1:I2"/>
    <mergeCell ref="J1:J2"/>
    <mergeCell ref="K1:K2"/>
    <mergeCell ref="L1:L2"/>
    <mergeCell ref="M1:M2"/>
    <mergeCell ref="N1:N2"/>
    <mergeCell ref="O1:O2"/>
    <mergeCell ref="P1:P2"/>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s>
  <phoneticPr fontId="238"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4.4"/>
  <cols>
    <col min="2" max="2" width="18.88671875" customWidth="1"/>
    <col min="3" max="3" width="13.109375" customWidth="1"/>
    <col min="4" max="4" width="12.77734375" bestFit="1" customWidth="1"/>
    <col min="5" max="5" width="11.21875" customWidth="1"/>
    <col min="6" max="6" width="11.77734375" customWidth="1"/>
    <col min="8" max="8" width="9.44140625" bestFit="1" customWidth="1"/>
  </cols>
  <sheetData>
    <row r="2" spans="2:7" ht="27" customHeight="1">
      <c r="B2" s="4100" t="s">
        <v>3114</v>
      </c>
      <c r="C2" s="4100"/>
      <c r="D2" s="4100"/>
      <c r="E2" s="4100"/>
    </row>
    <row r="3" spans="2:7">
      <c r="B3" s="3856" t="s">
        <v>3119</v>
      </c>
      <c r="C3" s="3856"/>
      <c r="D3" s="3857">
        <v>0.8</v>
      </c>
      <c r="E3" s="3857"/>
    </row>
    <row r="4" spans="2:7">
      <c r="B4" s="3856" t="s">
        <v>3117</v>
      </c>
      <c r="C4" s="3856"/>
      <c r="D4" s="3857">
        <v>30</v>
      </c>
      <c r="E4" s="3857"/>
    </row>
    <row r="5" spans="2:7">
      <c r="B5" s="3856" t="s">
        <v>3118</v>
      </c>
      <c r="C5" s="3856"/>
      <c r="D5" s="3857">
        <f>'数据-基础表'!B3+2241.85</f>
        <v>62715.349999999984</v>
      </c>
      <c r="E5" s="3857"/>
    </row>
    <row r="6" spans="2:7">
      <c r="B6" s="3856" t="s">
        <v>3116</v>
      </c>
      <c r="C6" s="3856"/>
      <c r="D6" s="3857">
        <f>ROUND(D3*D4*D5/10000,2)</f>
        <v>150.52000000000001</v>
      </c>
      <c r="E6" s="3857"/>
    </row>
    <row r="8" spans="2:7" ht="27" customHeight="1">
      <c r="B8" s="4100" t="s">
        <v>3121</v>
      </c>
      <c r="C8" s="4100"/>
      <c r="D8" s="4100"/>
      <c r="E8" s="4100"/>
      <c r="G8" s="3192" t="s">
        <v>3585</v>
      </c>
    </row>
    <row r="9" spans="2:7">
      <c r="B9" s="3228"/>
      <c r="C9" s="3229" t="s">
        <v>3122</v>
      </c>
      <c r="D9" s="3230" t="s">
        <v>3531</v>
      </c>
      <c r="E9" s="3230" t="s">
        <v>3123</v>
      </c>
      <c r="G9" s="3234">
        <f>ROUND((D6+C14+D19)*D24,2)</f>
        <v>4109.3599999999997</v>
      </c>
    </row>
    <row r="10" spans="2:7">
      <c r="B10" s="3228" t="s">
        <v>3120</v>
      </c>
      <c r="C10" s="3231">
        <v>24000951.109999999</v>
      </c>
      <c r="D10" s="3230" t="s">
        <v>3124</v>
      </c>
      <c r="E10" s="3232">
        <f>ROUND(C10/12,2)</f>
        <v>2000079.26</v>
      </c>
    </row>
    <row r="11" spans="2:7">
      <c r="B11" s="3228" t="s">
        <v>3532</v>
      </c>
      <c r="C11" s="3229" t="s">
        <v>3124</v>
      </c>
      <c r="D11" s="3231">
        <v>11808028.619999999</v>
      </c>
      <c r="E11" s="3232">
        <f>ROUND(D11/5,2)</f>
        <v>2361605.7200000002</v>
      </c>
    </row>
    <row r="12" spans="2:7">
      <c r="B12" s="3228" t="s">
        <v>3127</v>
      </c>
      <c r="C12" s="4097">
        <f>ROUND((E10*7+E11*5)/12,2)</f>
        <v>2150715.29</v>
      </c>
      <c r="D12" s="4097"/>
      <c r="E12" s="4097"/>
      <c r="G12" s="3192"/>
    </row>
    <row r="13" spans="2:7">
      <c r="B13" s="3228" t="s">
        <v>3125</v>
      </c>
      <c r="C13" s="3857">
        <v>1.2</v>
      </c>
      <c r="D13" s="3857"/>
      <c r="E13" s="3857"/>
    </row>
    <row r="14" spans="2:7">
      <c r="B14" s="3228" t="s">
        <v>3126</v>
      </c>
      <c r="C14" s="3857">
        <f>ROUND(C12*C13/10000,2)</f>
        <v>258.08999999999997</v>
      </c>
      <c r="D14" s="3857"/>
      <c r="E14" s="3857"/>
    </row>
    <row r="16" spans="2:7" ht="27" customHeight="1">
      <c r="B16" s="4100" t="s">
        <v>3128</v>
      </c>
      <c r="C16" s="4100"/>
      <c r="D16" s="4100"/>
      <c r="E16" s="4100"/>
    </row>
    <row r="17" spans="2:8">
      <c r="B17" s="3856" t="s">
        <v>3129</v>
      </c>
      <c r="C17" s="3856"/>
      <c r="D17" s="3857">
        <v>403</v>
      </c>
      <c r="E17" s="3857"/>
    </row>
    <row r="18" spans="2:8">
      <c r="B18" s="4111" t="s">
        <v>3130</v>
      </c>
      <c r="C18" s="4111"/>
      <c r="D18" s="3857">
        <v>2000</v>
      </c>
      <c r="E18" s="3857"/>
    </row>
    <row r="19" spans="2:8">
      <c r="B19" s="4111" t="s">
        <v>3116</v>
      </c>
      <c r="C19" s="4111"/>
      <c r="D19" s="4112">
        <f>ROUND(D17*D18/10000,2)</f>
        <v>80.599999999999994</v>
      </c>
      <c r="E19" s="4112"/>
    </row>
    <row r="21" spans="2:8" ht="27" customHeight="1">
      <c r="B21" s="4100" t="s">
        <v>3131</v>
      </c>
      <c r="C21" s="4100"/>
      <c r="D21" s="4100"/>
      <c r="E21" s="4100"/>
    </row>
    <row r="22" spans="2:8">
      <c r="B22" s="3856" t="s">
        <v>3132</v>
      </c>
      <c r="C22" s="3856"/>
      <c r="D22" s="3857">
        <v>7</v>
      </c>
      <c r="E22" s="3857"/>
    </row>
    <row r="23" spans="2:8">
      <c r="B23" s="3856" t="s">
        <v>3133</v>
      </c>
      <c r="C23" s="3856"/>
      <c r="D23" s="3857">
        <v>1.2</v>
      </c>
      <c r="E23" s="3857"/>
    </row>
    <row r="24" spans="2:8">
      <c r="B24" s="3856" t="s">
        <v>3115</v>
      </c>
      <c r="C24" s="3856"/>
      <c r="D24" s="3857">
        <f>D22*D23</f>
        <v>8.4</v>
      </c>
      <c r="E24" s="3857"/>
    </row>
    <row r="26" spans="2:8" ht="27" customHeight="1">
      <c r="B26" s="4100" t="s">
        <v>3232</v>
      </c>
      <c r="C26" s="4100"/>
      <c r="D26" s="4100"/>
      <c r="E26" s="4100"/>
      <c r="F26" s="4100"/>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5:C5"/>
    <mergeCell ref="B6:C6"/>
    <mergeCell ref="D6:E6"/>
    <mergeCell ref="B8:E8"/>
    <mergeCell ref="B2:E2"/>
    <mergeCell ref="D3:E3"/>
    <mergeCell ref="D4:E4"/>
    <mergeCell ref="D5:E5"/>
    <mergeCell ref="B3:C3"/>
    <mergeCell ref="B4:C4"/>
    <mergeCell ref="C12:E12"/>
    <mergeCell ref="C13:E13"/>
    <mergeCell ref="C14:E14"/>
    <mergeCell ref="B16:E16"/>
    <mergeCell ref="B17:C17"/>
    <mergeCell ref="B19:C19"/>
    <mergeCell ref="D17:E17"/>
    <mergeCell ref="D18:E18"/>
    <mergeCell ref="D19:E19"/>
    <mergeCell ref="B21:E21"/>
    <mergeCell ref="B18:C18"/>
    <mergeCell ref="B26:F26"/>
    <mergeCell ref="B23:C23"/>
    <mergeCell ref="D22:E22"/>
    <mergeCell ref="D23:E23"/>
    <mergeCell ref="B24:C24"/>
    <mergeCell ref="D24:E24"/>
    <mergeCell ref="B22:C22"/>
  </mergeCells>
  <phoneticPr fontId="238"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H6" sqref="H6"/>
    </sheetView>
  </sheetViews>
  <sheetFormatPr defaultColWidth="9" defaultRowHeight="14.4"/>
  <cols>
    <col min="1" max="4" width="9" style="3399"/>
    <col min="5" max="5" width="23.21875" style="3399" customWidth="1"/>
    <col min="6" max="8" width="9" style="3399"/>
    <col min="9" max="9" width="31.21875" style="3399" customWidth="1"/>
    <col min="10" max="16384" width="9" style="3399"/>
  </cols>
  <sheetData>
    <row r="1" spans="1:23">
      <c r="A1" s="4119" t="s">
        <v>3904</v>
      </c>
      <c r="B1" s="4119" t="s">
        <v>3905</v>
      </c>
      <c r="C1" s="4119" t="s">
        <v>3616</v>
      </c>
      <c r="D1" s="4119" t="s">
        <v>3360</v>
      </c>
      <c r="E1" s="4119" t="s">
        <v>3906</v>
      </c>
      <c r="F1" s="4119" t="s">
        <v>3361</v>
      </c>
      <c r="G1" s="4119" t="s">
        <v>3362</v>
      </c>
      <c r="H1" s="4119" t="s">
        <v>3363</v>
      </c>
      <c r="I1" s="4119" t="s">
        <v>3364</v>
      </c>
      <c r="J1" s="4121" t="s">
        <v>3907</v>
      </c>
      <c r="K1" s="4121"/>
      <c r="L1" s="4121"/>
    </row>
    <row r="2" spans="1:23" ht="45">
      <c r="A2" s="4123"/>
      <c r="B2" s="4120"/>
      <c r="C2" s="4120"/>
      <c r="D2" s="4120"/>
      <c r="E2" s="4120"/>
      <c r="F2" s="4120"/>
      <c r="G2" s="4120"/>
      <c r="H2" s="4120"/>
      <c r="I2" s="4120"/>
      <c r="J2" s="3679" t="s">
        <v>24</v>
      </c>
      <c r="K2" s="3679" t="s">
        <v>3908</v>
      </c>
      <c r="L2" s="3679" t="s">
        <v>3909</v>
      </c>
    </row>
    <row r="3" spans="1:23" ht="126" customHeight="1">
      <c r="A3" s="3680">
        <v>2017</v>
      </c>
      <c r="B3" s="3681" t="s">
        <v>3910</v>
      </c>
      <c r="C3" s="3682" t="s">
        <v>3631</v>
      </c>
      <c r="D3" s="3683" t="s">
        <v>3911</v>
      </c>
      <c r="E3" s="3683" t="s">
        <v>3912</v>
      </c>
      <c r="F3" s="3683" t="s">
        <v>3634</v>
      </c>
      <c r="G3" s="3683" t="s">
        <v>3635</v>
      </c>
      <c r="H3" s="3683" t="s">
        <v>3913</v>
      </c>
      <c r="I3" s="3682" t="s">
        <v>3914</v>
      </c>
      <c r="J3" s="3682">
        <v>7121.0435985612075</v>
      </c>
      <c r="K3" s="3682">
        <v>1647.3462982726589</v>
      </c>
      <c r="L3" s="3682">
        <v>5473.6973002885488</v>
      </c>
    </row>
    <row r="4" spans="1:23" ht="126" customHeight="1">
      <c r="A4" s="3680">
        <v>2017</v>
      </c>
      <c r="B4" s="3681" t="s">
        <v>3915</v>
      </c>
      <c r="C4" s="3682" t="s">
        <v>3673</v>
      </c>
      <c r="D4" s="3683" t="s">
        <v>3916</v>
      </c>
      <c r="E4" s="3683" t="s">
        <v>3917</v>
      </c>
      <c r="F4" s="3683" t="s">
        <v>3851</v>
      </c>
      <c r="G4" s="3683" t="s">
        <v>3635</v>
      </c>
      <c r="H4" s="3683" t="s">
        <v>3714</v>
      </c>
      <c r="I4" s="3682" t="s">
        <v>3918</v>
      </c>
      <c r="J4" s="3682">
        <v>10970.676229508195</v>
      </c>
      <c r="K4" s="3682">
        <v>1101.3210382513662</v>
      </c>
      <c r="L4" s="3682">
        <v>9869.3551912568291</v>
      </c>
    </row>
    <row r="8" spans="1:23" s="3684" customFormat="1" ht="54" customHeight="1">
      <c r="A8" s="4116" t="s">
        <v>3612</v>
      </c>
      <c r="B8" s="4116" t="s">
        <v>3613</v>
      </c>
      <c r="C8" s="4122" t="s">
        <v>3614</v>
      </c>
      <c r="D8" s="4116" t="s">
        <v>3615</v>
      </c>
      <c r="E8" s="4116" t="s">
        <v>3616</v>
      </c>
      <c r="F8" s="4117" t="s">
        <v>3444</v>
      </c>
      <c r="G8" s="4116" t="s">
        <v>3360</v>
      </c>
      <c r="H8" s="4116" t="s">
        <v>3361</v>
      </c>
      <c r="I8" s="4117" t="s">
        <v>3362</v>
      </c>
      <c r="J8" s="4116" t="s">
        <v>3617</v>
      </c>
      <c r="K8" s="4116" t="s">
        <v>3364</v>
      </c>
      <c r="L8" s="4118" t="s">
        <v>3618</v>
      </c>
      <c r="M8" s="4118"/>
      <c r="N8" s="4117" t="s">
        <v>3366</v>
      </c>
      <c r="O8" s="4117" t="s">
        <v>3619</v>
      </c>
      <c r="P8" s="4117" t="s">
        <v>3620</v>
      </c>
      <c r="Q8" s="4117" t="s">
        <v>3579</v>
      </c>
      <c r="R8" s="4113" t="s">
        <v>3621</v>
      </c>
      <c r="S8" s="4114"/>
      <c r="T8" s="4115"/>
      <c r="U8" s="4113" t="s">
        <v>3622</v>
      </c>
      <c r="V8" s="4114"/>
      <c r="W8" s="4115"/>
    </row>
    <row r="9" spans="1:23" s="3684" customFormat="1" ht="69.900000000000006" customHeight="1">
      <c r="A9" s="4116"/>
      <c r="B9" s="4116"/>
      <c r="C9" s="4122"/>
      <c r="D9" s="4116"/>
      <c r="E9" s="4116"/>
      <c r="F9" s="4117"/>
      <c r="G9" s="4116"/>
      <c r="H9" s="4116"/>
      <c r="I9" s="4117"/>
      <c r="J9" s="4116"/>
      <c r="K9" s="4116"/>
      <c r="L9" s="3685" t="s">
        <v>3623</v>
      </c>
      <c r="M9" s="3685" t="s">
        <v>3624</v>
      </c>
      <c r="N9" s="4117"/>
      <c r="O9" s="4116"/>
      <c r="P9" s="4116"/>
      <c r="Q9" s="4116"/>
      <c r="R9" s="3686" t="s">
        <v>3625</v>
      </c>
      <c r="S9" s="3686" t="s">
        <v>3626</v>
      </c>
      <c r="T9" s="3686" t="s">
        <v>3627</v>
      </c>
      <c r="U9" s="3686" t="s">
        <v>3628</v>
      </c>
      <c r="V9" s="3686" t="s">
        <v>3629</v>
      </c>
      <c r="W9" s="3686" t="s">
        <v>3630</v>
      </c>
    </row>
    <row r="10" spans="1:23" s="3684" customFormat="1" ht="409.6">
      <c r="A10" s="3687">
        <v>301</v>
      </c>
      <c r="B10" s="3688">
        <v>2017</v>
      </c>
      <c r="C10" s="3689">
        <v>12</v>
      </c>
      <c r="D10" s="3690">
        <v>1</v>
      </c>
      <c r="E10" s="3691" t="s">
        <v>3844</v>
      </c>
      <c r="F10" s="3691" t="s">
        <v>3632</v>
      </c>
      <c r="G10" s="3691" t="s">
        <v>3855</v>
      </c>
      <c r="H10" s="3691" t="s">
        <v>3856</v>
      </c>
      <c r="I10" s="3691" t="s">
        <v>3635</v>
      </c>
      <c r="J10" s="3691" t="s">
        <v>3857</v>
      </c>
      <c r="K10" s="3691" t="s">
        <v>3637</v>
      </c>
      <c r="L10" s="3692">
        <v>69.55</v>
      </c>
      <c r="M10" s="3692">
        <v>27.66</v>
      </c>
      <c r="N10" s="3692">
        <v>31.2</v>
      </c>
      <c r="O10" s="3693">
        <v>1292358.3500000001</v>
      </c>
      <c r="P10" s="3694" t="s">
        <v>3858</v>
      </c>
      <c r="Q10" s="3691" t="s">
        <v>3859</v>
      </c>
      <c r="R10" s="3695"/>
      <c r="S10" s="3695"/>
      <c r="T10" s="3695"/>
      <c r="U10" s="3695"/>
      <c r="V10" s="3695"/>
      <c r="W10" s="3695"/>
    </row>
  </sheetData>
  <mergeCells count="28">
    <mergeCell ref="G1:G2"/>
    <mergeCell ref="H1:H2"/>
    <mergeCell ref="I1:I2"/>
    <mergeCell ref="J1:L1"/>
    <mergeCell ref="A8:A9"/>
    <mergeCell ref="B8:B9"/>
    <mergeCell ref="C8:C9"/>
    <mergeCell ref="D8:D9"/>
    <mergeCell ref="E8:E9"/>
    <mergeCell ref="F8:F9"/>
    <mergeCell ref="A1:A2"/>
    <mergeCell ref="B1:B2"/>
    <mergeCell ref="C1:C2"/>
    <mergeCell ref="D1:D2"/>
    <mergeCell ref="E1:E2"/>
    <mergeCell ref="F1:F2"/>
    <mergeCell ref="U8:W8"/>
    <mergeCell ref="G8:G9"/>
    <mergeCell ref="H8:H9"/>
    <mergeCell ref="I8:I9"/>
    <mergeCell ref="J8:J9"/>
    <mergeCell ref="K8:K9"/>
    <mergeCell ref="L8:M8"/>
    <mergeCell ref="N8:N9"/>
    <mergeCell ref="O8:O9"/>
    <mergeCell ref="P8:P9"/>
    <mergeCell ref="Q8:Q9"/>
    <mergeCell ref="R8:T8"/>
  </mergeCells>
  <phoneticPr fontId="238" type="noConversion"/>
  <dataValidations count="1">
    <dataValidation type="list" allowBlank="1" showInputMessage="1" showErrorMessage="1" sqref="F10">
      <formula1>"公开出让,协议出让,划拨"</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4.4"/>
  <sheetData>
    <row r="2" spans="18:18">
      <c r="R2" s="3226" t="s">
        <v>3112</v>
      </c>
    </row>
    <row r="75" spans="19:19">
      <c r="S75" s="3226" t="s">
        <v>3113</v>
      </c>
    </row>
  </sheetData>
  <phoneticPr fontId="238"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4.4"/>
  <cols>
    <col min="2" max="2" width="11.6640625" bestFit="1" customWidth="1"/>
    <col min="3" max="4" width="28.88671875" customWidth="1"/>
    <col min="7" max="7" width="10.44140625" bestFit="1" customWidth="1"/>
    <col min="8" max="8" width="11.6640625" bestFit="1" customWidth="1"/>
    <col min="11" max="11" width="12.77734375" bestFit="1" customWidth="1"/>
    <col min="12" max="12" width="10.44140625" bestFit="1" customWidth="1"/>
  </cols>
  <sheetData>
    <row r="1" spans="1:12" s="2" customFormat="1" ht="28.8">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100.8">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9.6">
      <c r="A4" s="3239">
        <v>3</v>
      </c>
      <c r="B4" s="3240">
        <v>42354</v>
      </c>
      <c r="C4" s="3238" t="s">
        <v>3180</v>
      </c>
      <c r="D4" s="3238" t="s">
        <v>3174</v>
      </c>
      <c r="E4" s="3238" t="s">
        <v>3176</v>
      </c>
      <c r="F4" s="3238" t="s">
        <v>3170</v>
      </c>
      <c r="G4" s="3239">
        <v>76016.952999999994</v>
      </c>
      <c r="H4" s="3239">
        <v>1072001700</v>
      </c>
      <c r="I4" s="3239">
        <f t="shared" si="0"/>
        <v>14102</v>
      </c>
    </row>
    <row r="5" spans="1:12" s="2" customFormat="1" ht="57.6">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746" t="s">
        <v>53</v>
      </c>
      <c r="B15" s="3747" t="s">
        <v>845</v>
      </c>
      <c r="C15" s="3743"/>
    </row>
    <row r="16" spans="1:7" ht="14.4">
      <c r="A16" s="3746"/>
      <c r="B16" s="3744" t="s">
        <v>54</v>
      </c>
      <c r="C16" s="1172" t="s">
        <v>53</v>
      </c>
    </row>
    <row r="17" spans="1:3" ht="14.4">
      <c r="A17" s="3746"/>
      <c r="B17" s="3744"/>
      <c r="C17" s="1172" t="s">
        <v>55</v>
      </c>
    </row>
    <row r="18" spans="1:3" ht="14.4">
      <c r="A18" s="3746"/>
      <c r="B18" s="3744"/>
      <c r="C18" s="1172" t="s">
        <v>56</v>
      </c>
    </row>
    <row r="19" spans="1:3" ht="14.4">
      <c r="A19" s="3746"/>
      <c r="B19" s="3742" t="s">
        <v>57</v>
      </c>
      <c r="C19" s="3743"/>
    </row>
    <row r="20" spans="1:3" ht="14.4">
      <c r="A20" s="1173" t="s">
        <v>58</v>
      </c>
      <c r="B20" s="1174"/>
      <c r="C20" s="1175"/>
    </row>
    <row r="21" spans="1:3" ht="14.4">
      <c r="A21" s="3745" t="s">
        <v>59</v>
      </c>
      <c r="B21" s="3742" t="s">
        <v>60</v>
      </c>
      <c r="C21" s="3743"/>
    </row>
    <row r="22" spans="1:3" ht="14.4">
      <c r="A22" s="3745"/>
      <c r="B22" s="3742" t="s">
        <v>61</v>
      </c>
      <c r="C22" s="3743"/>
    </row>
    <row r="23" spans="1:3" ht="14.4">
      <c r="A23" s="3745"/>
      <c r="B23" s="3742" t="s">
        <v>62</v>
      </c>
      <c r="C23" s="3743"/>
    </row>
    <row r="24" spans="1:3" ht="14.4">
      <c r="A24" s="3745"/>
      <c r="B24" s="3748" t="s">
        <v>63</v>
      </c>
      <c r="C24" s="1176" t="s">
        <v>836</v>
      </c>
    </row>
    <row r="25" spans="1:3" ht="14.4">
      <c r="A25" s="3745"/>
      <c r="B25" s="3749"/>
      <c r="C25" s="1176" t="s">
        <v>837</v>
      </c>
    </row>
    <row r="26" spans="1:3" ht="14.4">
      <c r="A26" s="3745"/>
      <c r="B26" s="3749"/>
      <c r="C26" s="1176" t="s">
        <v>838</v>
      </c>
    </row>
    <row r="27" spans="1:3" ht="14.4">
      <c r="A27" s="3745"/>
      <c r="B27" s="3749"/>
      <c r="C27" s="1176" t="s">
        <v>839</v>
      </c>
    </row>
    <row r="28" spans="1:3" ht="14.4">
      <c r="A28" s="3745"/>
      <c r="B28" s="3749"/>
      <c r="C28" s="1176" t="s">
        <v>840</v>
      </c>
    </row>
    <row r="29" spans="1:3" ht="14.4">
      <c r="A29" s="3745"/>
      <c r="B29" s="3749"/>
      <c r="C29" s="1176" t="s">
        <v>841</v>
      </c>
    </row>
    <row r="30" spans="1:3" ht="14.4">
      <c r="A30" s="3745"/>
      <c r="B30" s="3749"/>
      <c r="C30" s="1176" t="s">
        <v>842</v>
      </c>
    </row>
    <row r="31" spans="1:3" ht="14.4">
      <c r="A31" s="3745"/>
      <c r="B31" s="3749"/>
      <c r="C31" s="1176" t="s">
        <v>843</v>
      </c>
    </row>
    <row r="32" spans="1:3" ht="14.4">
      <c r="A32" s="3745"/>
      <c r="B32" s="3749"/>
      <c r="C32" s="1176" t="s">
        <v>1646</v>
      </c>
    </row>
    <row r="33" spans="1:3" ht="14.4">
      <c r="A33" s="3745"/>
      <c r="B33" s="3739" t="s">
        <v>1652</v>
      </c>
      <c r="C33" s="1176" t="s">
        <v>1647</v>
      </c>
    </row>
    <row r="34" spans="1:3" ht="14.4">
      <c r="A34" s="3745"/>
      <c r="B34" s="3740"/>
      <c r="C34" s="1181" t="s">
        <v>1648</v>
      </c>
    </row>
    <row r="35" spans="1:3" ht="14.4">
      <c r="A35" s="3745"/>
      <c r="B35" s="3740"/>
      <c r="C35" s="1182" t="s">
        <v>1649</v>
      </c>
    </row>
    <row r="36" spans="1:3" ht="14.4">
      <c r="A36" s="3745"/>
      <c r="B36" s="3740"/>
      <c r="C36" s="1182" t="s">
        <v>1650</v>
      </c>
    </row>
    <row r="37" spans="1:3" ht="14.4">
      <c r="A37" s="3745"/>
      <c r="B37" s="3741"/>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1907</v>
      </c>
      <c r="B2" s="1657">
        <f ca="1">TODAY()</f>
        <v>45825</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31">
        <v>43849</v>
      </c>
      <c r="D4" s="2344" t="s">
        <v>1914</v>
      </c>
      <c r="E4" s="2344">
        <f ca="1">IF(F4&lt;B2,"已过期",96010014)</f>
        <v>96010014</v>
      </c>
      <c r="F4" s="3032">
        <v>47118</v>
      </c>
    </row>
    <row r="5" spans="1:6" ht="20.25" customHeight="1">
      <c r="A5" s="2344" t="s">
        <v>1915</v>
      </c>
      <c r="B5" s="2344" t="str">
        <f ca="1">IF(C5&lt;B2,"已过期",1119970074)</f>
        <v>已过期</v>
      </c>
      <c r="C5" s="3031">
        <v>43849</v>
      </c>
      <c r="D5" s="2344" t="s">
        <v>1915</v>
      </c>
      <c r="E5" s="2344">
        <f ca="1">IF(F5&lt;B2,"已过期",2002110027)</f>
        <v>2002110027</v>
      </c>
      <c r="F5" s="3032">
        <v>46752</v>
      </c>
    </row>
    <row r="6" spans="1:6" ht="20.25" customHeight="1">
      <c r="A6" s="2344" t="s">
        <v>1916</v>
      </c>
      <c r="B6" s="2344" t="str">
        <f ca="1">IF(C6&lt;B2,"已过期",1119970111)</f>
        <v>已过期</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t="str">
        <f ca="1">IF(C8&lt;B2,"已过期",1120000080)</f>
        <v>已过期</v>
      </c>
      <c r="C8" s="3031">
        <v>43849</v>
      </c>
      <c r="D8" s="2344" t="s">
        <v>1918</v>
      </c>
      <c r="E8" s="2344">
        <f ca="1">IF(F8&lt;B2,"已过期",2000110082)</f>
        <v>2000110082</v>
      </c>
      <c r="F8" s="3032">
        <v>46387</v>
      </c>
    </row>
    <row r="9" spans="1:6" ht="20.25" customHeight="1">
      <c r="A9" s="2344" t="s">
        <v>1919</v>
      </c>
      <c r="B9" s="2344" t="str">
        <f ca="1">IF(C9&lt;B2,"已过期",1419970001)</f>
        <v>已过期</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t="str">
        <f ca="1">IF(C11&lt;B2,"已过期",1120100036)</f>
        <v>已过期</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t="str">
        <f ca="1">IF(C13&lt;B2,"已过期",1120070131)</f>
        <v>已过期</v>
      </c>
      <c r="C13" s="3031">
        <v>43814</v>
      </c>
      <c r="D13" s="2344" t="s">
        <v>1922</v>
      </c>
      <c r="E13" s="2344">
        <v>2014110011</v>
      </c>
      <c r="F13" s="3032">
        <v>49302</v>
      </c>
    </row>
    <row r="14" spans="1:6" ht="20.25" customHeight="1">
      <c r="A14" s="2344" t="s">
        <v>1923</v>
      </c>
      <c r="B14" s="2344" t="str">
        <f ca="1">IF(C14&lt;B2,"已过期",1120130020)</f>
        <v>已过期</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t="str">
        <f ca="1">IF(C16&lt;B2,"已过期",1120140022)</f>
        <v>已过期</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t="str">
        <f ca="1">IF(C23&lt;B2,"已过期",1120130048)</f>
        <v>已过期</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750" t="s">
        <v>1928</v>
      </c>
      <c r="B25" s="3750"/>
      <c r="C25" s="3750"/>
      <c r="D25" s="3750"/>
      <c r="E25" s="3750"/>
      <c r="F25" s="3750"/>
      <c r="G25" s="3750"/>
    </row>
    <row r="26" spans="1:7" ht="20.25" customHeight="1">
      <c r="A26" s="3751" t="s">
        <v>1929</v>
      </c>
      <c r="B26" s="3751"/>
      <c r="C26" s="3751"/>
      <c r="D26" s="3751" t="s">
        <v>1930</v>
      </c>
      <c r="E26" s="3751"/>
      <c r="F26" s="375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8"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ht="14.4">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ht="14.4">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ht="14.4">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ht="14.4">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ht="14.4">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ht="14.4">
      <c r="A7" s="8" t="s">
        <v>102</v>
      </c>
      <c r="B7" s="8" t="s">
        <v>103</v>
      </c>
      <c r="C7" s="1551" t="s">
        <v>1714</v>
      </c>
      <c r="F7" s="9" t="s">
        <v>153</v>
      </c>
      <c r="H7" s="9" t="s">
        <v>104</v>
      </c>
      <c r="I7" s="9" t="s">
        <v>105</v>
      </c>
    </row>
    <row r="8" spans="1:23" ht="14.4">
      <c r="A8" s="8" t="s">
        <v>106</v>
      </c>
      <c r="B8" s="1149" t="s">
        <v>3011</v>
      </c>
      <c r="C8" s="1551" t="s">
        <v>1715</v>
      </c>
      <c r="F8" s="9" t="s">
        <v>154</v>
      </c>
      <c r="H8" s="9"/>
      <c r="I8" s="9" t="s">
        <v>107</v>
      </c>
    </row>
    <row r="9" spans="1:23" ht="14.4">
      <c r="A9" s="8" t="s">
        <v>108</v>
      </c>
      <c r="B9" s="8" t="s">
        <v>155</v>
      </c>
      <c r="C9" s="1551" t="s">
        <v>1716</v>
      </c>
      <c r="F9" s="9" t="s">
        <v>109</v>
      </c>
      <c r="H9" s="9"/>
    </row>
    <row r="10" spans="1:23" ht="14.4">
      <c r="A10" s="8" t="s">
        <v>110</v>
      </c>
      <c r="B10" s="8" t="s">
        <v>156</v>
      </c>
      <c r="C10" s="1551" t="s">
        <v>1717</v>
      </c>
      <c r="F10" s="9" t="s">
        <v>6</v>
      </c>
    </row>
    <row r="11" spans="1:23" ht="14.4">
      <c r="A11" s="8" t="s">
        <v>111</v>
      </c>
      <c r="B11" s="8" t="s">
        <v>157</v>
      </c>
      <c r="C11" s="1551" t="s">
        <v>1718</v>
      </c>
    </row>
    <row r="12" spans="1:23" ht="14.4">
      <c r="A12" s="8" t="s">
        <v>112</v>
      </c>
      <c r="B12" s="8" t="s">
        <v>158</v>
      </c>
      <c r="C12" s="1551" t="s">
        <v>1719</v>
      </c>
    </row>
    <row r="13" spans="1:23" ht="14.4">
      <c r="A13" s="8" t="s">
        <v>113</v>
      </c>
      <c r="B13" s="8" t="s">
        <v>159</v>
      </c>
      <c r="C13" s="1551" t="s">
        <v>1720</v>
      </c>
    </row>
    <row r="14" spans="1:23" ht="14.4">
      <c r="A14" s="8" t="s">
        <v>114</v>
      </c>
      <c r="B14" s="8" t="s">
        <v>160</v>
      </c>
      <c r="C14" s="1554" t="s">
        <v>1896</v>
      </c>
    </row>
    <row r="15" spans="1:23" ht="14.4">
      <c r="A15" s="8" t="s">
        <v>115</v>
      </c>
      <c r="B15" s="8" t="s">
        <v>1681</v>
      </c>
      <c r="C15" s="1554"/>
    </row>
    <row r="16" spans="1:23" ht="14.4">
      <c r="A16" s="8" t="s">
        <v>116</v>
      </c>
      <c r="B16" s="8" t="s">
        <v>1682</v>
      </c>
      <c r="C16" s="1554"/>
    </row>
    <row r="17" spans="1:3" ht="14.4">
      <c r="A17" s="8" t="s">
        <v>117</v>
      </c>
      <c r="B17" s="8" t="s">
        <v>1683</v>
      </c>
      <c r="C17" s="1554"/>
    </row>
    <row r="18" spans="1:3" ht="14.4">
      <c r="A18" s="8" t="s">
        <v>118</v>
      </c>
      <c r="B18" s="3138" t="s">
        <v>2956</v>
      </c>
      <c r="C18" s="1554"/>
    </row>
    <row r="19" spans="1:3" ht="14.4">
      <c r="A19" s="8" t="s">
        <v>119</v>
      </c>
      <c r="B19" s="3138" t="s">
        <v>2964</v>
      </c>
      <c r="C19" s="1554"/>
    </row>
    <row r="20" spans="1:3" ht="14.4">
      <c r="A20" s="8" t="s">
        <v>120</v>
      </c>
      <c r="B20" s="8" t="s">
        <v>3013</v>
      </c>
      <c r="C20" s="1554"/>
    </row>
    <row r="21" spans="1:3" ht="14.4">
      <c r="A21" s="8" t="s">
        <v>121</v>
      </c>
      <c r="B21" s="8" t="s">
        <v>3014</v>
      </c>
      <c r="C21" s="1554"/>
    </row>
    <row r="22" spans="1:3" ht="14.4">
      <c r="A22" s="8" t="s">
        <v>122</v>
      </c>
      <c r="B22" s="8" t="s">
        <v>3015</v>
      </c>
      <c r="C22" s="1554"/>
    </row>
    <row r="23" spans="1:3" ht="14.4">
      <c r="A23" s="8" t="s">
        <v>123</v>
      </c>
      <c r="B23" s="8" t="s">
        <v>3016</v>
      </c>
      <c r="C23" s="1554"/>
    </row>
    <row r="24" spans="1:3" ht="14.4">
      <c r="A24" s="8" t="s">
        <v>12</v>
      </c>
      <c r="B24" s="8" t="s">
        <v>3017</v>
      </c>
      <c r="C24" s="1554"/>
    </row>
    <row r="25" spans="1:3" ht="14.4">
      <c r="A25" s="8" t="s">
        <v>124</v>
      </c>
      <c r="B25" s="8" t="s">
        <v>1641</v>
      </c>
      <c r="C25" s="1554"/>
    </row>
    <row r="26" spans="1:3" ht="14.4">
      <c r="A26" s="8" t="s">
        <v>125</v>
      </c>
      <c r="B26" s="8" t="s">
        <v>1641</v>
      </c>
      <c r="C26" s="1554"/>
    </row>
    <row r="27" spans="1:3" ht="14.4">
      <c r="A27" s="3138" t="s">
        <v>2982</v>
      </c>
      <c r="B27" s="8" t="s">
        <v>1641</v>
      </c>
      <c r="C27" s="1554"/>
    </row>
    <row r="28" spans="1:3" ht="14.4">
      <c r="A28" s="8" t="s">
        <v>2983</v>
      </c>
      <c r="B28" s="8" t="s">
        <v>1641</v>
      </c>
      <c r="C28" s="1554"/>
    </row>
    <row r="29" spans="1:3" ht="14.4">
      <c r="A29" s="8" t="s">
        <v>2984</v>
      </c>
      <c r="B29" s="8" t="s">
        <v>1641</v>
      </c>
      <c r="C29" s="1554"/>
    </row>
    <row r="30" spans="1:3" ht="14.4">
      <c r="A30" s="8" t="s">
        <v>2985</v>
      </c>
      <c r="B30" s="8" t="s">
        <v>1641</v>
      </c>
      <c r="C30" s="1554"/>
    </row>
    <row r="31" spans="1:3" ht="14.4">
      <c r="A31" s="8" t="s">
        <v>2986</v>
      </c>
      <c r="B31" s="8" t="s">
        <v>1641</v>
      </c>
      <c r="C31" s="1554"/>
    </row>
    <row r="32" spans="1:3" ht="14.4">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75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75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75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75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75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2051</v>
      </c>
      <c r="B58" s="1767" t="s">
        <v>2052</v>
      </c>
      <c r="C58" s="11" t="s">
        <v>2053</v>
      </c>
      <c r="D58" s="1319" t="s">
        <v>2054</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133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剩余法-待开发</vt:lpstr>
      <vt:lpstr>剩余法-现房</vt:lpstr>
      <vt:lpstr>比较法-住宅、综合</vt:lpstr>
      <vt:lpstr>结果一览表</vt:lpstr>
      <vt:lpstr>结果一览表 (基)</vt:lpstr>
      <vt:lpstr>结果表</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收储案例</vt:lpstr>
      <vt:lpstr>地价</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成本2021</vt:lpstr>
      <vt:lpstr>Sheet1</vt:lpstr>
      <vt:lpstr>附属物-树木</vt:lpstr>
      <vt:lpstr>存贷款利率</vt:lpstr>
      <vt:lpstr>附属物-墙地泉</vt:lpstr>
      <vt:lpstr>附属物列表</vt:lpstr>
      <vt:lpstr>搬迁费</vt:lpstr>
      <vt:lpstr>建筑物价格</vt:lpstr>
      <vt:lpstr>停产停业损失补偿</vt:lpstr>
      <vt:lpstr>案例</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2018-06-15T05:43:31Z</cp:lastPrinted>
  <dcterms:created xsi:type="dcterms:W3CDTF">2015-07-13T07:17:23Z</dcterms:created>
  <dcterms:modified xsi:type="dcterms:W3CDTF">2025-06-17T06:50:19Z</dcterms:modified>
</cp:coreProperties>
</file>