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0" windowWidth="14850" windowHeight="131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土地案例" sheetId="81" state="hidden" r:id="rId21"/>
    <sheet name="基准地价修正" sheetId="43"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7">'[3]数据-汇总表'!$C$17:$C$26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9" i="1" l="1"/>
  <c r="M30" i="1"/>
  <c r="M28" i="1"/>
  <c r="M27" i="1"/>
  <c r="D33" i="43" l="1"/>
  <c r="AM6" i="1" l="1"/>
  <c r="L23" i="9" l="1"/>
  <c r="L22" i="9"/>
  <c r="Y6" i="1" l="1"/>
  <c r="L30" i="1" l="1"/>
  <c r="I7" i="6"/>
  <c r="A16" i="3"/>
  <c r="I16" i="3"/>
  <c r="M32" i="1" l="1"/>
  <c r="A3" i="3"/>
  <c r="N32" i="1" l="1"/>
  <c r="O32" i="1"/>
  <c r="M24" i="1"/>
  <c r="D80" i="39" l="1"/>
  <c r="E80" i="39"/>
  <c r="F80" i="39"/>
  <c r="G80" i="39"/>
  <c r="F11" i="39"/>
  <c r="AA11" i="39"/>
  <c r="D92" i="39"/>
  <c r="E92" i="39"/>
  <c r="F92" i="39"/>
  <c r="F19" i="39"/>
  <c r="AA19" i="39"/>
  <c r="F39" i="39"/>
  <c r="AA39" i="39"/>
  <c r="H11" i="39"/>
  <c r="AB11" i="39"/>
  <c r="H19" i="39"/>
  <c r="AB19" i="39"/>
  <c r="H39" i="39"/>
  <c r="AB39" i="39"/>
  <c r="J11" i="39"/>
  <c r="AC11" i="39"/>
  <c r="J19" i="39"/>
  <c r="AC19" i="39"/>
  <c r="J39" i="39"/>
  <c r="AC39" i="39"/>
  <c r="C11" i="39"/>
  <c r="N24" i="1"/>
  <c r="N21" i="1"/>
  <c r="B1" i="80"/>
  <c r="B14" i="80"/>
  <c r="K84" i="9"/>
  <c r="Q8" i="80"/>
  <c r="Q7" i="80"/>
  <c r="Q9" i="80"/>
  <c r="I46" i="39"/>
  <c r="G46" i="39"/>
  <c r="E46" i="39"/>
  <c r="I38" i="39"/>
  <c r="G38" i="39"/>
  <c r="E38" i="39"/>
  <c r="D79" i="39"/>
  <c r="E79" i="39"/>
  <c r="F79" i="39"/>
  <c r="G79" i="39"/>
  <c r="H79" i="39"/>
  <c r="I79" i="39"/>
  <c r="J79" i="39"/>
  <c r="K79" i="39"/>
  <c r="E70" i="39"/>
  <c r="F70" i="39"/>
  <c r="G70" i="39"/>
  <c r="H70" i="39"/>
  <c r="I70" i="39"/>
  <c r="J70" i="39"/>
  <c r="K70" i="39"/>
  <c r="L70" i="39"/>
  <c r="M70" i="39"/>
  <c r="N70" i="39"/>
  <c r="D70" i="39"/>
  <c r="Q11" i="80"/>
  <c r="Q10" i="80"/>
  <c r="Q13" i="80"/>
  <c r="D117" i="39"/>
  <c r="E117" i="39"/>
  <c r="F117" i="39"/>
  <c r="I11" i="39"/>
  <c r="G11" i="39"/>
  <c r="E11" i="39"/>
  <c r="C74" i="39"/>
  <c r="I7" i="39"/>
  <c r="G7" i="39"/>
  <c r="E7" i="39"/>
  <c r="I5" i="39"/>
  <c r="G5" i="39"/>
  <c r="E5" i="39"/>
  <c r="C38" i="39"/>
  <c r="K38" i="80"/>
  <c r="K37" i="80"/>
  <c r="K36" i="80"/>
  <c r="K35" i="80"/>
  <c r="H34" i="80"/>
  <c r="H35" i="80"/>
  <c r="G34" i="80"/>
  <c r="I34" i="80"/>
  <c r="D30" i="80"/>
  <c r="I29" i="80"/>
  <c r="C29" i="80"/>
  <c r="B29" i="80"/>
  <c r="O28" i="80"/>
  <c r="I28" i="80"/>
  <c r="B28" i="80"/>
  <c r="C28" i="80"/>
  <c r="I27" i="80"/>
  <c r="H27" i="80"/>
  <c r="C27" i="80"/>
  <c r="B27" i="80"/>
  <c r="I26" i="80"/>
  <c r="C26" i="80"/>
  <c r="B26" i="80"/>
  <c r="I25" i="80"/>
  <c r="B25" i="80"/>
  <c r="C25" i="80"/>
  <c r="I24" i="80"/>
  <c r="C24" i="80"/>
  <c r="B24" i="80"/>
  <c r="I23" i="80"/>
  <c r="C23" i="80"/>
  <c r="B23" i="80"/>
  <c r="I22" i="80"/>
  <c r="C22" i="80"/>
  <c r="B22" i="80"/>
  <c r="I21" i="80"/>
  <c r="B21" i="80"/>
  <c r="C21" i="80"/>
  <c r="O20" i="80"/>
  <c r="O30" i="80"/>
  <c r="N20" i="80"/>
  <c r="N30" i="80"/>
  <c r="K32" i="80"/>
  <c r="L20" i="80"/>
  <c r="L30" i="80"/>
  <c r="K20" i="80"/>
  <c r="K30" i="80"/>
  <c r="J20" i="80"/>
  <c r="J30" i="80"/>
  <c r="G38" i="80"/>
  <c r="I38" i="80"/>
  <c r="H20" i="80"/>
  <c r="H30" i="80"/>
  <c r="E20" i="80"/>
  <c r="E30" i="80"/>
  <c r="I19" i="80"/>
  <c r="G19" i="80"/>
  <c r="G20" i="80"/>
  <c r="G30" i="80"/>
  <c r="F19" i="80"/>
  <c r="C19" i="80"/>
  <c r="B19" i="80"/>
  <c r="M18" i="80"/>
  <c r="M20" i="80"/>
  <c r="M30" i="80"/>
  <c r="I18" i="80"/>
  <c r="I20" i="80"/>
  <c r="C18" i="80"/>
  <c r="B18" i="80"/>
  <c r="I13" i="80"/>
  <c r="O12" i="80"/>
  <c r="N12" i="80"/>
  <c r="M12" i="80"/>
  <c r="K12" i="80"/>
  <c r="J12" i="80"/>
  <c r="H12" i="80"/>
  <c r="G12" i="80"/>
  <c r="E12" i="80"/>
  <c r="D12" i="80"/>
  <c r="I11" i="80"/>
  <c r="C11" i="80"/>
  <c r="B11" i="80"/>
  <c r="I10" i="80"/>
  <c r="C10" i="80"/>
  <c r="B10" i="80"/>
  <c r="I9" i="80"/>
  <c r="B9" i="80"/>
  <c r="C9" i="80"/>
  <c r="I8" i="80"/>
  <c r="C8" i="80"/>
  <c r="C12" i="80"/>
  <c r="I7" i="80"/>
  <c r="C7" i="80"/>
  <c r="B7" i="80"/>
  <c r="I6" i="80"/>
  <c r="C6" i="80"/>
  <c r="B6" i="80"/>
  <c r="I5" i="80"/>
  <c r="I12" i="80"/>
  <c r="C5" i="80"/>
  <c r="D3" i="4"/>
  <c r="B3" i="78" s="1"/>
  <c r="C5" i="78" s="1"/>
  <c r="D5" i="78" s="1"/>
  <c r="E14" i="80"/>
  <c r="I30" i="80"/>
  <c r="I35" i="80"/>
  <c r="H36" i="80"/>
  <c r="B5" i="80"/>
  <c r="F20" i="80"/>
  <c r="F30" i="80"/>
  <c r="B8" i="80"/>
  <c r="B12" i="80"/>
  <c r="E1" i="80"/>
  <c r="C20" i="80"/>
  <c r="I36" i="80"/>
  <c r="I39" i="80"/>
  <c r="K39" i="80"/>
  <c r="H37" i="80"/>
  <c r="I37" i="80"/>
  <c r="B20" i="80"/>
  <c r="B30" i="80"/>
  <c r="B31" i="80"/>
  <c r="C30" i="80"/>
  <c r="I29" i="79"/>
  <c r="I28" i="79"/>
  <c r="N28" i="79"/>
  <c r="M28" i="79"/>
  <c r="P28" i="79"/>
  <c r="L28" i="79"/>
  <c r="N29" i="79"/>
  <c r="M29" i="79"/>
  <c r="L29" i="79"/>
  <c r="P6" i="79"/>
  <c r="O6" i="79"/>
  <c r="N6" i="79"/>
  <c r="M6" i="79"/>
  <c r="L6" i="79"/>
  <c r="K6" i="79"/>
  <c r="O7" i="79"/>
  <c r="N7" i="79"/>
  <c r="M7" i="79"/>
  <c r="P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F13" i="1"/>
  <c r="G13" i="1" s="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E93" i="43" s="1"/>
  <c r="B91" i="43" s="1"/>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G18" i="43" s="1"/>
  <c r="I23" i="43"/>
  <c r="G17" i="43"/>
  <c r="C13" i="43"/>
  <c r="G2" i="43"/>
  <c r="C27" i="43" s="1"/>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N21" i="43"/>
  <c r="M2" i="43"/>
  <c r="M4" i="43"/>
  <c r="F93" i="43"/>
  <c r="H95" i="43" s="1"/>
  <c r="N6" i="43"/>
  <c r="N8" i="43"/>
  <c r="M11" i="43"/>
  <c r="E21" i="43"/>
  <c r="I21" i="43"/>
  <c r="K21" i="43"/>
  <c r="M21" i="43"/>
  <c r="O21" i="43"/>
  <c r="D21" i="43"/>
  <c r="H21" i="43"/>
  <c r="J21" i="43"/>
  <c r="L21" i="43"/>
  <c r="P27" i="79"/>
  <c r="P34" i="79"/>
  <c r="P36" i="79"/>
  <c r="P38" i="79"/>
  <c r="P33" i="79"/>
  <c r="P35" i="79"/>
  <c r="P37" i="79"/>
  <c r="P39" i="79"/>
  <c r="E25" i="78"/>
  <c r="E24" i="78"/>
  <c r="F23" i="78"/>
  <c r="F24" i="78"/>
  <c r="F25" i="78"/>
  <c r="E23" i="78"/>
  <c r="E22" i="78"/>
  <c r="G22" i="78"/>
  <c r="F12" i="78"/>
  <c r="C15" i="78"/>
  <c r="F11" i="78"/>
  <c r="C18" i="78"/>
  <c r="H98"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s="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s="1"/>
  <c r="X11" i="71"/>
  <c r="H16" i="49"/>
  <c r="D16" i="49"/>
  <c r="D15" i="49"/>
  <c r="B2"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s="1"/>
  <c r="A12" i="52" s="1"/>
  <c r="B56" i="72" s="1"/>
  <c r="E109" i="9"/>
  <c r="A124" i="9"/>
  <c r="A10" i="52"/>
  <c r="B55" i="72"/>
  <c r="B44" i="72"/>
  <c r="B42" i="72"/>
  <c r="B69" i="72"/>
  <c r="B68" i="72"/>
  <c r="B63" i="72"/>
  <c r="B62" i="72"/>
  <c r="B16" i="72"/>
  <c r="B65" i="72"/>
  <c r="B60"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77"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s="1"/>
  <c r="K87" i="43"/>
  <c r="M86" i="43"/>
  <c r="N86" i="43"/>
  <c r="K86" i="43"/>
  <c r="D86" i="43"/>
  <c r="M85" i="43"/>
  <c r="N85" i="43"/>
  <c r="K85" i="43"/>
  <c r="D85" i="43"/>
  <c r="M84" i="43"/>
  <c r="N84" i="43" s="1"/>
  <c r="K84" i="43"/>
  <c r="M83" i="43"/>
  <c r="N83" i="43"/>
  <c r="K83" i="43"/>
  <c r="J83" i="43"/>
  <c r="M80" i="43"/>
  <c r="N80" i="43" s="1"/>
  <c r="K80" i="43"/>
  <c r="J80" i="43" s="1"/>
  <c r="M79" i="43"/>
  <c r="N79" i="43" s="1"/>
  <c r="K79" i="43"/>
  <c r="J79" i="43" s="1"/>
  <c r="M78" i="43"/>
  <c r="N78" i="43" s="1"/>
  <c r="K78" i="43"/>
  <c r="J78" i="43" s="1"/>
  <c r="D78" i="43"/>
  <c r="M77" i="43"/>
  <c r="N77" i="43"/>
  <c r="K77" i="43"/>
  <c r="J77" i="43"/>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c r="D57" i="43"/>
  <c r="M56" i="43"/>
  <c r="N56" i="43"/>
  <c r="K56" i="43"/>
  <c r="J56" i="43"/>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40" s="1"/>
  <c r="C63" i="40" s="1"/>
  <c r="E15" i="4"/>
  <c r="F8" i="1"/>
  <c r="A7" i="1"/>
  <c r="B7" i="1"/>
  <c r="E7" i="1" s="1"/>
  <c r="A8" i="1"/>
  <c r="B8" i="1"/>
  <c r="E8" i="1" s="1"/>
  <c r="A9" i="1"/>
  <c r="A10" i="1"/>
  <c r="A11" i="1"/>
  <c r="B11" i="1"/>
  <c r="E11" i="1" s="1"/>
  <c r="A12" i="1"/>
  <c r="A13" i="1"/>
  <c r="B13" i="1" s="1"/>
  <c r="E13" i="1" s="1"/>
  <c r="A6" i="1"/>
  <c r="F3" i="35"/>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s="1"/>
  <c r="A4" i="62"/>
  <c r="B70" i="72" s="1"/>
  <c r="F33" i="9"/>
  <c r="B37" i="48"/>
  <c r="B2" i="72" s="1"/>
  <c r="B13" i="53"/>
  <c r="B29" i="72"/>
  <c r="R35" i="4"/>
  <c r="Q35" i="4"/>
  <c r="P35" i="4"/>
  <c r="O35" i="4"/>
  <c r="N35" i="4"/>
  <c r="M35" i="4"/>
  <c r="L35" i="4"/>
  <c r="K34" i="4"/>
  <c r="T34" i="4"/>
  <c r="H15" i="4"/>
  <c r="F6" i="1" s="1"/>
  <c r="G6" i="1" s="1"/>
  <c r="F9" i="1"/>
  <c r="G9" i="1" s="1"/>
  <c r="G15" i="4"/>
  <c r="F12" i="1"/>
  <c r="G12" i="1" s="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s="1"/>
  <c r="C9" i="43"/>
  <c r="F33" i="15"/>
  <c r="F61" i="15" s="1"/>
  <c r="M19" i="15"/>
  <c r="BR13" i="3"/>
  <c r="B22" i="1"/>
  <c r="G41" i="69"/>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M6" i="1" s="1"/>
  <c r="O6" i="1"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C4"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8" i="39"/>
  <c r="F31" i="39"/>
  <c r="AA31" i="39"/>
  <c r="E100"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7" i="39"/>
  <c r="J27" i="39"/>
  <c r="AC27" i="39"/>
  <c r="F27" i="39"/>
  <c r="AA27" i="39"/>
  <c r="F11" i="21"/>
  <c r="S11" i="21"/>
  <c r="S40" i="21"/>
  <c r="U34" i="21"/>
  <c r="S34" i="21"/>
  <c r="C2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c r="F15" i="39"/>
  <c r="AA15" i="39"/>
  <c r="H15" i="39"/>
  <c r="U15" i="39"/>
  <c r="J15" i="39"/>
  <c r="W15" i="39"/>
  <c r="H41" i="39"/>
  <c r="AB41" i="39"/>
  <c r="AB34" i="39"/>
  <c r="W8" i="39"/>
  <c r="J19" i="40"/>
  <c r="AC19" i="40"/>
  <c r="J50" i="40"/>
  <c r="H103" i="9"/>
  <c r="D8" i="53"/>
  <c r="B16" i="53"/>
  <c r="B33" i="72"/>
  <c r="C7" i="36"/>
  <c r="C46" i="36" s="1"/>
  <c r="D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E14" i="6" s="1"/>
  <c r="E63" i="39" s="1"/>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c r="H27" i="36"/>
  <c r="U27" i="36"/>
  <c r="F27" i="36"/>
  <c r="AA27" i="36"/>
  <c r="H33" i="34"/>
  <c r="U33" i="34"/>
  <c r="F32" i="37"/>
  <c r="AA32" i="37"/>
  <c r="G96" i="37"/>
  <c r="H96" i="37"/>
  <c r="I96" i="37"/>
  <c r="J96" i="37"/>
  <c r="K96" i="37"/>
  <c r="L96" i="37"/>
  <c r="M96" i="37"/>
  <c r="F20" i="36"/>
  <c r="AA20" i="36"/>
  <c r="J33" i="34"/>
  <c r="AC33" i="34"/>
  <c r="H23" i="39"/>
  <c r="U23" i="39"/>
  <c r="K9" i="1"/>
  <c r="M9" i="1" s="1"/>
  <c r="O9" i="1" s="1"/>
  <c r="P9" i="1" s="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T13" i="1" s="1"/>
  <c r="R13" i="1"/>
  <c r="J51" i="67"/>
  <c r="AC34" i="33"/>
  <c r="AA34" i="33"/>
  <c r="B41" i="1"/>
  <c r="F48" i="9"/>
  <c r="O52" i="9" s="1"/>
  <c r="AB37" i="40"/>
  <c r="S35" i="40"/>
  <c r="U35" i="40"/>
  <c r="AC36" i="40"/>
  <c r="W38" i="40"/>
  <c r="AA32" i="40"/>
  <c r="S17" i="40"/>
  <c r="S23" i="40"/>
  <c r="AC17" i="40"/>
  <c r="AC15" i="40"/>
  <c r="AB27" i="40"/>
  <c r="S30" i="40"/>
  <c r="AA19" i="40"/>
  <c r="S28" i="40"/>
  <c r="AA27" i="40"/>
  <c r="U21" i="40"/>
  <c r="AB19" i="40"/>
  <c r="U37" i="39"/>
  <c r="S43" i="39"/>
  <c r="S37" i="39"/>
  <c r="U35" i="39"/>
  <c r="J21" i="39"/>
  <c r="W21" i="39"/>
  <c r="F21" i="39"/>
  <c r="AA21" i="39"/>
  <c r="H21" i="39"/>
  <c r="AB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s="1"/>
  <c r="F34" i="67"/>
  <c r="F62" i="67" s="1"/>
  <c r="M20" i="67"/>
  <c r="F34" i="15"/>
  <c r="F62" i="15" s="1"/>
  <c r="G13" i="3"/>
  <c r="BA13" i="3"/>
  <c r="BL17" i="3"/>
  <c r="AZ17" i="3"/>
  <c r="BL13" i="3"/>
  <c r="BL5" i="3"/>
  <c r="J56" i="9"/>
  <c r="J57" i="9"/>
  <c r="J59" i="9"/>
  <c r="J61" i="9"/>
  <c r="A24" i="51"/>
  <c r="B18" i="72" s="1"/>
  <c r="U29" i="34"/>
  <c r="E5" i="6"/>
  <c r="D9" i="68" s="1"/>
  <c r="C9" i="68" s="1"/>
  <c r="E32" i="6"/>
  <c r="G1" i="68"/>
  <c r="K1" i="12"/>
  <c r="E19" i="69"/>
  <c r="E19" i="68"/>
  <c r="E19" i="11"/>
  <c r="E1" i="73"/>
  <c r="G22" i="69"/>
  <c r="G22" i="68"/>
  <c r="G26" i="12"/>
  <c r="G22" i="11"/>
  <c r="B19" i="53"/>
  <c r="B37" i="72" s="1"/>
  <c r="A4" i="51"/>
  <c r="B6" i="72" s="1"/>
  <c r="H67" i="43"/>
  <c r="L20" i="6"/>
  <c r="B6" i="1"/>
  <c r="E6" i="1" s="1"/>
  <c r="K11" i="1"/>
  <c r="M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F30" i="68"/>
  <c r="F48" i="68" s="1"/>
  <c r="F30" i="11"/>
  <c r="C48" i="11" s="1"/>
  <c r="F28" i="67"/>
  <c r="F31" i="12"/>
  <c r="F52" i="9"/>
  <c r="M18" i="67"/>
  <c r="F32" i="67"/>
  <c r="F60" i="67" s="1"/>
  <c r="F30" i="69"/>
  <c r="F32" i="15"/>
  <c r="F60" i="15"/>
  <c r="M18" i="15"/>
  <c r="F28" i="15"/>
  <c r="AA39" i="40"/>
  <c r="S39" i="40"/>
  <c r="S12" i="33"/>
  <c r="AA12" i="33"/>
  <c r="D68" i="9"/>
  <c r="F54" i="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H69" i="43"/>
  <c r="H50"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G92" i="39"/>
  <c r="C21" i="68"/>
  <c r="AC38" i="39"/>
  <c r="S42" i="39"/>
  <c r="S40" i="39"/>
  <c r="W40" i="39"/>
  <c r="U42" i="39"/>
  <c r="F106" i="39"/>
  <c r="J32" i="39"/>
  <c r="AC32" i="39"/>
  <c r="H31" i="39"/>
  <c r="AB31" i="39"/>
  <c r="J31" i="39"/>
  <c r="W31" i="39"/>
  <c r="U29" i="39"/>
  <c r="AB27" i="39"/>
  <c r="W27" i="39"/>
  <c r="F25" i="39"/>
  <c r="AA25" i="39"/>
  <c r="J25" i="39"/>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W32" i="39"/>
  <c r="W9" i="39"/>
  <c r="G28" i="6"/>
  <c r="G30" i="6" s="1"/>
  <c r="G31" i="6" s="1"/>
  <c r="D16" i="53"/>
  <c r="B34" i="72"/>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I4" i="6"/>
  <c r="L19" i="6"/>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58" i="43"/>
  <c r="H51" i="43"/>
  <c r="H56" i="43"/>
  <c r="D72" i="43"/>
  <c r="E72" i="43" s="1"/>
  <c r="B70" i="43" s="1"/>
  <c r="D76" i="43"/>
  <c r="D80" i="43"/>
  <c r="D61" i="43"/>
  <c r="P61" i="15"/>
  <c r="C21" i="69"/>
  <c r="J84" i="43"/>
  <c r="J85" i="43"/>
  <c r="J86" i="43"/>
  <c r="J87" i="43"/>
  <c r="J88" i="43"/>
  <c r="J89" i="43"/>
  <c r="J90" i="43"/>
  <c r="D83" i="43"/>
  <c r="D66" i="43"/>
  <c r="D64" i="43"/>
  <c r="D62" i="43"/>
  <c r="E61" i="43" s="1"/>
  <c r="B59" i="43" s="1"/>
  <c r="D67" i="43"/>
  <c r="D65" i="43"/>
  <c r="D63" i="43"/>
  <c r="D69" i="43"/>
  <c r="D73" i="43"/>
  <c r="D75" i="43"/>
  <c r="D79" i="43"/>
  <c r="D22" i="67"/>
  <c r="H73" i="43"/>
  <c r="I18" i="43"/>
  <c r="C17" i="43"/>
  <c r="H55" i="43"/>
  <c r="A19" i="51"/>
  <c r="B14" i="72"/>
  <c r="T35" i="4"/>
  <c r="H110" i="9"/>
  <c r="D18" i="53" s="1"/>
  <c r="B35" i="72" s="1"/>
  <c r="H52" i="43"/>
  <c r="K5" i="4"/>
  <c r="B47" i="48"/>
  <c r="Y8" i="71"/>
  <c r="Z8" i="71" s="1"/>
  <c r="X8" i="71"/>
  <c r="AB8" i="71"/>
  <c r="AA8" i="71"/>
  <c r="H76" i="43"/>
  <c r="H72" i="43"/>
  <c r="H53" i="43"/>
  <c r="H79" i="43"/>
  <c r="D17" i="53"/>
  <c r="B36" i="72"/>
  <c r="D124" i="9"/>
  <c r="H74" i="43"/>
  <c r="H57" i="43"/>
  <c r="H80" i="43"/>
  <c r="H77" i="43"/>
  <c r="E44" i="43"/>
  <c r="C44" i="43" s="1"/>
  <c r="AC21" i="39"/>
  <c r="AB23" i="39"/>
  <c r="AB15" i="39"/>
  <c r="AC15" i="39"/>
  <c r="S25" i="39"/>
  <c r="W39" i="39"/>
  <c r="W42" i="39"/>
  <c r="W14" i="39"/>
  <c r="S29" i="39"/>
  <c r="G21" i="43"/>
  <c r="D23" i="67"/>
  <c r="G25" i="12"/>
  <c r="G41" i="11"/>
  <c r="G27" i="12"/>
  <c r="G41" i="68"/>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G106" i="39"/>
  <c r="H106" i="39"/>
  <c r="I106" i="39"/>
  <c r="J106" i="39"/>
  <c r="K106" i="39"/>
  <c r="L106" i="39"/>
  <c r="M106" i="39"/>
  <c r="H32" i="39"/>
  <c r="F32" i="39"/>
  <c r="AC25" i="39"/>
  <c r="W25" i="39"/>
  <c r="AA26" i="35"/>
  <c r="S26" i="35"/>
  <c r="AC26" i="35"/>
  <c r="W26" i="35"/>
  <c r="AB26" i="35"/>
  <c r="U26" i="35"/>
  <c r="AY6" i="3"/>
  <c r="C7" i="43"/>
  <c r="D10" i="52"/>
  <c r="D125" i="9"/>
  <c r="D11" i="52"/>
  <c r="D14" i="71"/>
  <c r="C13" i="71"/>
  <c r="AE11" i="1"/>
  <c r="AE9" i="1"/>
  <c r="AE7" i="1"/>
  <c r="AE8" i="1"/>
  <c r="AE12" i="1"/>
  <c r="AE10" i="1"/>
  <c r="AA32" i="39"/>
  <c r="S32" i="39"/>
  <c r="AB32" i="39"/>
  <c r="U32" i="39"/>
  <c r="AG11" i="1"/>
  <c r="AG9" i="1"/>
  <c r="AG10" i="1"/>
  <c r="AG8" i="1"/>
  <c r="AG12" i="1"/>
  <c r="AG7" i="1"/>
  <c r="AG6" i="1"/>
  <c r="S8" i="1"/>
  <c r="AQ8" i="1" s="1"/>
  <c r="E8" i="70"/>
  <c r="D13" i="71"/>
  <c r="C12" i="71"/>
  <c r="C11" i="71"/>
  <c r="E6" i="70"/>
  <c r="S11" i="1"/>
  <c r="T11" i="1" s="1"/>
  <c r="E11" i="70"/>
  <c r="S9" i="1"/>
  <c r="T9" i="1" s="1"/>
  <c r="S7" i="1"/>
  <c r="AQ7" i="1" s="1"/>
  <c r="E7" i="70"/>
  <c r="S10" i="1"/>
  <c r="AQ10" i="1" s="1"/>
  <c r="E10" i="70"/>
  <c r="S12" i="1"/>
  <c r="AR12" i="1" s="1"/>
  <c r="D11" i="71"/>
  <c r="C10" i="71"/>
  <c r="D12" i="71"/>
  <c r="B24" i="1"/>
  <c r="B23" i="1"/>
  <c r="R7" i="1"/>
  <c r="E12" i="70"/>
  <c r="E9" i="70"/>
  <c r="R11" i="1"/>
  <c r="R9" i="1"/>
  <c r="R10" i="1"/>
  <c r="R8" i="1"/>
  <c r="R12" i="1"/>
  <c r="D10" i="71"/>
  <c r="C9" i="71"/>
  <c r="C8" i="71"/>
  <c r="D8" i="71"/>
  <c r="C7" i="71"/>
  <c r="C19" i="68"/>
  <c r="D9" i="71"/>
  <c r="D7" i="71"/>
  <c r="C6" i="71"/>
  <c r="D6" i="71"/>
  <c r="C5" i="71"/>
  <c r="W11" i="39"/>
  <c r="S11" i="39"/>
  <c r="U11" i="39"/>
  <c r="D5" i="71"/>
  <c r="B2" i="21"/>
  <c r="B2" i="33"/>
  <c r="B2" i="36"/>
  <c r="B2" i="35"/>
  <c r="B3" i="35" s="1"/>
  <c r="B2" i="37"/>
  <c r="B2" i="34"/>
  <c r="D59" i="9"/>
  <c r="M55" i="9"/>
  <c r="E11" i="76"/>
  <c r="F35" i="67"/>
  <c r="M9" i="67"/>
  <c r="M29" i="15"/>
  <c r="L48" i="67"/>
  <c r="F37" i="15"/>
  <c r="M26" i="67"/>
  <c r="F7" i="73"/>
  <c r="M22" i="15"/>
  <c r="L47" i="67"/>
  <c r="D2" i="36"/>
  <c r="F43" i="15"/>
  <c r="M27" i="15"/>
  <c r="F42" i="67"/>
  <c r="F13" i="15"/>
  <c r="D2" i="33"/>
  <c r="F5" i="73"/>
  <c r="F38" i="15"/>
  <c r="F38" i="67"/>
  <c r="L47" i="15"/>
  <c r="E8" i="76"/>
  <c r="F8" i="67"/>
  <c r="M28" i="67"/>
  <c r="E2" i="68"/>
  <c r="M23" i="15"/>
  <c r="F9" i="67"/>
  <c r="D2" i="37"/>
  <c r="L48" i="15"/>
  <c r="B8" i="76"/>
  <c r="M23" i="67"/>
  <c r="F9" i="15"/>
  <c r="D2" i="34"/>
  <c r="F40" i="15"/>
  <c r="F6" i="67"/>
  <c r="F8" i="15"/>
  <c r="F40" i="67"/>
  <c r="M24" i="67"/>
  <c r="M8" i="67"/>
  <c r="B9" i="76"/>
  <c r="F41" i="67"/>
  <c r="F16" i="67"/>
  <c r="E12" i="76"/>
  <c r="M29" i="67"/>
  <c r="F37" i="67"/>
  <c r="F7" i="15"/>
  <c r="F26" i="67"/>
  <c r="F4" i="73"/>
  <c r="E7" i="76"/>
  <c r="AO10" i="1"/>
  <c r="B7" i="76"/>
  <c r="B12" i="76"/>
  <c r="M24" i="15"/>
  <c r="M8" i="15"/>
  <c r="J15" i="15"/>
  <c r="F6" i="15"/>
  <c r="F20" i="31"/>
  <c r="E10" i="76"/>
  <c r="M6" i="67"/>
  <c r="E13" i="76"/>
  <c r="F42" i="15"/>
  <c r="AO9" i="1"/>
  <c r="F6" i="73"/>
  <c r="E9" i="76"/>
  <c r="B13" i="76"/>
  <c r="D2" i="35"/>
  <c r="AO11" i="1"/>
  <c r="AO8" i="1"/>
  <c r="F16" i="15"/>
  <c r="AO7" i="1"/>
  <c r="B10" i="76"/>
  <c r="M21" i="67"/>
  <c r="AO12" i="1"/>
  <c r="M22" i="67"/>
  <c r="D2" i="21"/>
  <c r="F36" i="67"/>
  <c r="M9" i="15"/>
  <c r="M27" i="67"/>
  <c r="F3" i="73"/>
  <c r="M28" i="15"/>
  <c r="F7" i="67"/>
  <c r="F43" i="67"/>
  <c r="E2" i="69"/>
  <c r="B11" i="76"/>
  <c r="AO13" i="1"/>
  <c r="J15" i="67"/>
  <c r="F13" i="67"/>
  <c r="M26" i="15"/>
  <c r="F26" i="15"/>
  <c r="F36" i="15"/>
  <c r="M6" i="15"/>
  <c r="C76" i="67"/>
  <c r="C76" i="15"/>
  <c r="C7" i="21" l="1"/>
  <c r="C58" i="21" s="1"/>
  <c r="D58" i="21" s="1"/>
  <c r="E58" i="21" s="1"/>
  <c r="F58" i="21" s="1"/>
  <c r="G58" i="21" s="1"/>
  <c r="H58" i="21" s="1"/>
  <c r="I58" i="21" s="1"/>
  <c r="J58" i="21" s="1"/>
  <c r="K58" i="21" s="1"/>
  <c r="C7" i="39"/>
  <c r="C67" i="39" s="1"/>
  <c r="D87" i="43"/>
  <c r="D84" i="43"/>
  <c r="D67" i="39"/>
  <c r="D69" i="39" s="1"/>
  <c r="C69" i="39"/>
  <c r="G23" i="43"/>
  <c r="C7" i="33"/>
  <c r="C58" i="33" s="1"/>
  <c r="D58" i="33" s="1"/>
  <c r="E58" i="33" s="1"/>
  <c r="F58" i="33" s="1"/>
  <c r="G58" i="33" s="1"/>
  <c r="C42" i="1"/>
  <c r="C28" i="67" s="1"/>
  <c r="C7" i="34"/>
  <c r="C59" i="34" s="1"/>
  <c r="D59" i="34" s="1"/>
  <c r="E59" i="34" s="1"/>
  <c r="J51" i="15"/>
  <c r="M59" i="15" s="1"/>
  <c r="M47" i="9"/>
  <c r="C7" i="35"/>
  <c r="C48" i="35" s="1"/>
  <c r="D48" i="35" s="1"/>
  <c r="E48" i="35" s="1"/>
  <c r="F48" i="35" s="1"/>
  <c r="G48" i="35" s="1"/>
  <c r="H48" i="35" s="1"/>
  <c r="I48" i="35" s="1"/>
  <c r="J48" i="35" s="1"/>
  <c r="C7" i="37"/>
  <c r="C52" i="37" s="1"/>
  <c r="D52" i="37" s="1"/>
  <c r="E52" i="37" s="1"/>
  <c r="F52" i="37" s="1"/>
  <c r="G52" i="37" s="1"/>
  <c r="J1" i="73"/>
  <c r="I24" i="43"/>
  <c r="C24" i="43" s="1"/>
  <c r="C28" i="15"/>
  <c r="C30" i="69"/>
  <c r="F48" i="69"/>
  <c r="E17" i="43"/>
  <c r="C5" i="11"/>
  <c r="C48" i="69"/>
  <c r="E8" i="43"/>
  <c r="E11" i="43"/>
  <c r="E9" i="43"/>
  <c r="E10" i="43"/>
  <c r="L27" i="6"/>
  <c r="B3" i="36"/>
  <c r="F42" i="43"/>
  <c r="C21" i="43"/>
  <c r="C20" i="43" s="1"/>
  <c r="F38" i="43"/>
  <c r="S4" i="43"/>
  <c r="F41" i="43"/>
  <c r="F37" i="43"/>
  <c r="S5" i="43"/>
  <c r="F40" i="43"/>
  <c r="H116" i="43"/>
  <c r="S6" i="43"/>
  <c r="F39" i="43"/>
  <c r="S3" i="43"/>
  <c r="S2" i="43"/>
  <c r="E12" i="6"/>
  <c r="E61" i="39" s="1"/>
  <c r="D9" i="11"/>
  <c r="C9" i="11" s="1"/>
  <c r="F29" i="6"/>
  <c r="E29" i="6" s="1"/>
  <c r="K15" i="1" s="1"/>
  <c r="E11" i="6"/>
  <c r="E15" i="6"/>
  <c r="E60" i="40" s="1"/>
  <c r="E13" i="6"/>
  <c r="E58" i="40" s="1"/>
  <c r="E8" i="6"/>
  <c r="E56" i="39" s="1"/>
  <c r="AR9" i="1"/>
  <c r="E10" i="6"/>
  <c r="E2" i="70"/>
  <c r="E51" i="40"/>
  <c r="C36" i="69"/>
  <c r="AR7" i="1"/>
  <c r="T8" i="1"/>
  <c r="G5" i="3"/>
  <c r="B3" i="3" s="1"/>
  <c r="E244" i="3" s="1"/>
  <c r="H5" i="3"/>
  <c r="O12" i="1"/>
  <c r="P12" i="1" s="1"/>
  <c r="E28" i="6"/>
  <c r="F30" i="6"/>
  <c r="Q16" i="1"/>
  <c r="F27" i="11" s="1"/>
  <c r="C47" i="11" s="1"/>
  <c r="D45" i="11" s="1"/>
  <c r="AQ12" i="1"/>
  <c r="AR8" i="1"/>
  <c r="H16" i="1"/>
  <c r="AQ13" i="1"/>
  <c r="AR13" i="1"/>
  <c r="T12" i="1"/>
  <c r="AQ9" i="1"/>
  <c r="E62" i="39"/>
  <c r="T7" i="1"/>
  <c r="T10" i="1"/>
  <c r="AR11" i="1"/>
  <c r="AR10" i="1"/>
  <c r="AQ11" i="1"/>
  <c r="P6" i="1"/>
  <c r="P7" i="1"/>
  <c r="O11" i="1"/>
  <c r="P11" i="1" s="1"/>
  <c r="E64" i="39"/>
  <c r="BA5" i="3"/>
  <c r="AZ13" i="3"/>
  <c r="AZ5" i="3" s="1"/>
  <c r="AY155" i="3" s="1"/>
  <c r="E219" i="3"/>
  <c r="O10" i="1"/>
  <c r="P10" i="1" s="1"/>
  <c r="O13" i="1"/>
  <c r="P13" i="1" s="1"/>
  <c r="AY199" i="3"/>
  <c r="D3" i="6"/>
  <c r="AY492" i="3"/>
  <c r="D9" i="69"/>
  <c r="C9" i="69" s="1"/>
  <c r="D19" i="12"/>
  <c r="C19" i="12" s="1"/>
  <c r="E59" i="40"/>
  <c r="H96" i="43"/>
  <c r="H94" i="43"/>
  <c r="M10" i="43"/>
  <c r="M8" i="43"/>
  <c r="M6" i="43"/>
  <c r="N5" i="43"/>
  <c r="N3" i="43"/>
  <c r="N1" i="43"/>
  <c r="H99" i="43"/>
  <c r="H97" i="43"/>
  <c r="N9" i="43"/>
  <c r="F83" i="43" s="1"/>
  <c r="N7" i="43"/>
  <c r="N11" i="43"/>
  <c r="M5" i="43"/>
  <c r="M3" i="43"/>
  <c r="H93" i="43"/>
  <c r="H100" i="43"/>
  <c r="M12" i="43"/>
  <c r="M9" i="43"/>
  <c r="C6" i="43" s="1"/>
  <c r="M7" i="43"/>
  <c r="N10" i="43"/>
  <c r="N4" i="43"/>
  <c r="N2" i="43"/>
  <c r="N12" i="43"/>
  <c r="H101" i="43"/>
  <c r="H68" i="43"/>
  <c r="H65" i="43"/>
  <c r="H62" i="43"/>
  <c r="H66" i="43"/>
  <c r="H61" i="43"/>
  <c r="H63" i="43"/>
  <c r="G16" i="1"/>
  <c r="C6" i="78"/>
  <c r="D6" i="78" s="1"/>
  <c r="C7" i="78"/>
  <c r="D7" i="78" s="1"/>
  <c r="E67" i="39"/>
  <c r="C13" i="12"/>
  <c r="L58" i="21"/>
  <c r="M58" i="21" s="1"/>
  <c r="N58" i="21" s="1"/>
  <c r="O58" i="21" s="1"/>
  <c r="H7" i="21"/>
  <c r="J7" i="21"/>
  <c r="K48" i="35"/>
  <c r="F7" i="21"/>
  <c r="H52" i="37"/>
  <c r="F59" i="34"/>
  <c r="G59" i="34" s="1"/>
  <c r="H59" i="34" s="1"/>
  <c r="I59" i="34" s="1"/>
  <c r="J59" i="34" s="1"/>
  <c r="K59" i="34" s="1"/>
  <c r="L59" i="34" s="1"/>
  <c r="M59" i="34" s="1"/>
  <c r="N59" i="34" s="1"/>
  <c r="O59" i="34" s="1"/>
  <c r="D63" i="40"/>
  <c r="C65" i="40"/>
  <c r="E46" i="36"/>
  <c r="F46" i="36" s="1"/>
  <c r="G46" i="36" s="1"/>
  <c r="H46" i="36" s="1"/>
  <c r="I46" i="36" s="1"/>
  <c r="J46" i="36" s="1"/>
  <c r="K46" i="36" s="1"/>
  <c r="L46" i="36" s="1"/>
  <c r="M46" i="36" s="1"/>
  <c r="N46" i="36" s="1"/>
  <c r="O46" i="36" s="1"/>
  <c r="C40" i="69"/>
  <c r="C31" i="12"/>
  <c r="C30" i="11"/>
  <c r="C48" i="68"/>
  <c r="B7" i="70"/>
  <c r="B11" i="70"/>
  <c r="B12" i="70"/>
  <c r="J20" i="67"/>
  <c r="L58" i="15"/>
  <c r="N59" i="15"/>
  <c r="F64" i="67"/>
  <c r="J53" i="67"/>
  <c r="I54" i="67"/>
  <c r="J57" i="67"/>
  <c r="J55" i="67" s="1"/>
  <c r="J58" i="67" s="1"/>
  <c r="Q50" i="67" s="1"/>
  <c r="L56" i="67"/>
  <c r="F68" i="67"/>
  <c r="F65" i="67"/>
  <c r="B9" i="70"/>
  <c r="B8" i="70"/>
  <c r="B10" i="70"/>
  <c r="I1" i="73"/>
  <c r="B39" i="1" s="1"/>
  <c r="C6" i="15"/>
  <c r="F31" i="15"/>
  <c r="F71" i="15"/>
  <c r="F50" i="15"/>
  <c r="M7" i="15"/>
  <c r="M17" i="15" s="1"/>
  <c r="F63" i="67"/>
  <c r="C62" i="67" s="1"/>
  <c r="C34" i="67"/>
  <c r="F69" i="67"/>
  <c r="F64" i="15"/>
  <c r="F51" i="15"/>
  <c r="Q71" i="67"/>
  <c r="F66" i="15"/>
  <c r="F71" i="67"/>
  <c r="B13" i="70"/>
  <c r="F51" i="67"/>
  <c r="F66" i="67"/>
  <c r="N59" i="67"/>
  <c r="L58" i="67"/>
  <c r="M59" i="67"/>
  <c r="L59" i="67"/>
  <c r="B20" i="31"/>
  <c r="B21" i="31" s="1"/>
  <c r="F65" i="15"/>
  <c r="F31" i="67"/>
  <c r="C6" i="67"/>
  <c r="C27" i="67"/>
  <c r="M7" i="67"/>
  <c r="J6" i="67" s="1"/>
  <c r="F50" i="67"/>
  <c r="C27" i="15"/>
  <c r="Q71" i="15"/>
  <c r="F68" i="15"/>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D3" i="73"/>
  <c r="D4" i="73"/>
  <c r="D7" i="73"/>
  <c r="C14" i="67"/>
  <c r="C14" i="15"/>
  <c r="C16" i="15"/>
  <c r="C16" i="67"/>
  <c r="D6" i="73"/>
  <c r="D5" i="73"/>
  <c r="C17" i="67"/>
  <c r="C17" i="15"/>
  <c r="D11" i="49" l="1"/>
  <c r="E4" i="4"/>
  <c r="B5" i="62" s="1"/>
  <c r="B73" i="72" s="1"/>
  <c r="D10" i="49"/>
  <c r="C4" i="4"/>
  <c r="J57" i="15"/>
  <c r="J55" i="15" s="1"/>
  <c r="J58" i="15" s="1"/>
  <c r="Q50" i="15" s="1"/>
  <c r="L59" i="15"/>
  <c r="E83" i="43"/>
  <c r="B81" i="43" s="1"/>
  <c r="C28" i="43" s="1"/>
  <c r="K1" i="73"/>
  <c r="P28" i="43"/>
  <c r="B66" i="40" s="1"/>
  <c r="A1" i="79"/>
  <c r="P29" i="43"/>
  <c r="M24" i="43"/>
  <c r="O23" i="43"/>
  <c r="P26" i="43"/>
  <c r="P25" i="43"/>
  <c r="J53" i="15"/>
  <c r="Q52" i="15" s="1"/>
  <c r="C24" i="12"/>
  <c r="C30" i="68"/>
  <c r="C77" i="9"/>
  <c r="C74" i="9" s="1"/>
  <c r="I54" i="15"/>
  <c r="P27" i="43"/>
  <c r="B70" i="39" s="1"/>
  <c r="C49" i="15"/>
  <c r="C61" i="15" s="1"/>
  <c r="H7" i="36"/>
  <c r="AB7" i="36" s="1"/>
  <c r="T36" i="36" s="1"/>
  <c r="G36" i="36" s="1"/>
  <c r="E57" i="40"/>
  <c r="AY137" i="3"/>
  <c r="E499" i="3"/>
  <c r="D5" i="43"/>
  <c r="C39" i="43" s="1"/>
  <c r="H85" i="43"/>
  <c r="H83" i="43"/>
  <c r="H89" i="43"/>
  <c r="H88" i="43"/>
  <c r="H90" i="43"/>
  <c r="H86" i="43"/>
  <c r="H84" i="43"/>
  <c r="H87" i="43"/>
  <c r="C5" i="43"/>
  <c r="AY403" i="3"/>
  <c r="AY244" i="3"/>
  <c r="AY323" i="3"/>
  <c r="AY149" i="3"/>
  <c r="AY23" i="3"/>
  <c r="AY61" i="3"/>
  <c r="AY511" i="3"/>
  <c r="AY332" i="3"/>
  <c r="AY453" i="3"/>
  <c r="AY275" i="3"/>
  <c r="AY225" i="3"/>
  <c r="R6" i="3"/>
  <c r="E160" i="3"/>
  <c r="AY312" i="3"/>
  <c r="AY399" i="3"/>
  <c r="AY556" i="3"/>
  <c r="AY356" i="3"/>
  <c r="BJ6" i="3"/>
  <c r="E504" i="3"/>
  <c r="AY91" i="3"/>
  <c r="AY193" i="3"/>
  <c r="AY381" i="3"/>
  <c r="AY27" i="3"/>
  <c r="AY324" i="3"/>
  <c r="AY73" i="3"/>
  <c r="AY286" i="3"/>
  <c r="AY348" i="3"/>
  <c r="AY176" i="3"/>
  <c r="C29" i="11"/>
  <c r="D27" i="11" s="1"/>
  <c r="E469" i="3"/>
  <c r="E283" i="3"/>
  <c r="E463" i="3"/>
  <c r="AY567" i="3"/>
  <c r="AY46" i="3"/>
  <c r="AY43" i="3"/>
  <c r="AY180" i="3"/>
  <c r="AY509" i="3"/>
  <c r="AY255" i="3"/>
  <c r="AY185" i="3"/>
  <c r="AY508" i="3"/>
  <c r="AY247" i="3"/>
  <c r="AY68" i="3"/>
  <c r="E428" i="3"/>
  <c r="E127" i="3"/>
  <c r="E543" i="3"/>
  <c r="AY203" i="3"/>
  <c r="AY362" i="3"/>
  <c r="AY543" i="3"/>
  <c r="AY163" i="3"/>
  <c r="AY382" i="3"/>
  <c r="AY466" i="3"/>
  <c r="AY519" i="3"/>
  <c r="AY389" i="3"/>
  <c r="AY327" i="3"/>
  <c r="AY350" i="3"/>
  <c r="AY495" i="3"/>
  <c r="AY310" i="3"/>
  <c r="AY444" i="3"/>
  <c r="E374" i="3"/>
  <c r="E360" i="3"/>
  <c r="E96" i="3"/>
  <c r="E479" i="3"/>
  <c r="E147" i="3"/>
  <c r="E179" i="3"/>
  <c r="E36" i="3"/>
  <c r="E46" i="3"/>
  <c r="E276" i="3"/>
  <c r="E500" i="3"/>
  <c r="E493" i="3"/>
  <c r="F27" i="69"/>
  <c r="C29" i="69" s="1"/>
  <c r="D27" i="69" s="1"/>
  <c r="E536" i="3"/>
  <c r="E26" i="3"/>
  <c r="E35" i="3"/>
  <c r="E155" i="3"/>
  <c r="E50" i="3"/>
  <c r="Y6" i="3"/>
  <c r="E310" i="3"/>
  <c r="E47" i="3"/>
  <c r="E132" i="3"/>
  <c r="E376" i="3"/>
  <c r="E167" i="3"/>
  <c r="F27" i="6"/>
  <c r="F31" i="6" s="1"/>
  <c r="L20" i="1" s="1"/>
  <c r="N20" i="1" s="1"/>
  <c r="N19" i="1" s="1"/>
  <c r="E16" i="6"/>
  <c r="E575" i="3"/>
  <c r="E243" i="3"/>
  <c r="E188" i="3"/>
  <c r="E409" i="3"/>
  <c r="E326" i="3"/>
  <c r="E370" i="3"/>
  <c r="E307" i="3"/>
  <c r="E76" i="3"/>
  <c r="E25" i="3"/>
  <c r="E449" i="3"/>
  <c r="E329" i="3"/>
  <c r="E56" i="40"/>
  <c r="E60" i="39"/>
  <c r="E65" i="39" s="1"/>
  <c r="AY559" i="3"/>
  <c r="AY581" i="3"/>
  <c r="AY39" i="3"/>
  <c r="AY224" i="3"/>
  <c r="AY14" i="3"/>
  <c r="AY121" i="3"/>
  <c r="AY157" i="3"/>
  <c r="AY45" i="3"/>
  <c r="AY205" i="3"/>
  <c r="AY167" i="3"/>
  <c r="AY266" i="3"/>
  <c r="AY326" i="3"/>
  <c r="AY430" i="3"/>
  <c r="AY160" i="3"/>
  <c r="AY573" i="3"/>
  <c r="AY146" i="3"/>
  <c r="AY56" i="3"/>
  <c r="AY473" i="3"/>
  <c r="AY57" i="3"/>
  <c r="AY377" i="3"/>
  <c r="E486" i="3"/>
  <c r="E534" i="3"/>
  <c r="E198" i="3"/>
  <c r="E174" i="3"/>
  <c r="J6" i="3"/>
  <c r="E65" i="3"/>
  <c r="E218" i="3"/>
  <c r="E63" i="3"/>
  <c r="E49" i="3"/>
  <c r="E209" i="3"/>
  <c r="E540" i="3"/>
  <c r="E258" i="3"/>
  <c r="E491" i="3"/>
  <c r="E464" i="3"/>
  <c r="F28" i="12"/>
  <c r="AY553" i="3"/>
  <c r="AY395" i="3"/>
  <c r="AY123" i="3"/>
  <c r="AY168" i="3"/>
  <c r="AY51" i="3"/>
  <c r="AY277" i="3"/>
  <c r="AY329" i="3"/>
  <c r="AY220" i="3"/>
  <c r="AY210" i="3"/>
  <c r="AY470" i="3"/>
  <c r="AY504" i="3"/>
  <c r="AY213" i="3"/>
  <c r="AY331" i="3"/>
  <c r="AY35" i="3"/>
  <c r="AY487" i="3"/>
  <c r="AY129" i="3"/>
  <c r="AY584" i="3"/>
  <c r="AY258" i="3"/>
  <c r="AY162" i="3"/>
  <c r="AY116" i="3"/>
  <c r="AY525" i="3"/>
  <c r="AY126" i="3"/>
  <c r="AY75" i="3"/>
  <c r="AY316" i="3"/>
  <c r="AY374" i="3"/>
  <c r="AY76" i="3"/>
  <c r="AY300" i="3"/>
  <c r="AY371" i="3"/>
  <c r="AY29" i="3"/>
  <c r="AY173" i="3"/>
  <c r="AY478" i="3"/>
  <c r="BN6" i="3"/>
  <c r="AY40" i="3"/>
  <c r="AY36" i="3"/>
  <c r="AY425" i="3"/>
  <c r="BQ6" i="3"/>
  <c r="AY353" i="3"/>
  <c r="AY109" i="3"/>
  <c r="AY133" i="3"/>
  <c r="AY97" i="3"/>
  <c r="AY372" i="3"/>
  <c r="AY261" i="3"/>
  <c r="AY297" i="3"/>
  <c r="AY66" i="3"/>
  <c r="AY422" i="3"/>
  <c r="AY365" i="3"/>
  <c r="AY555" i="3"/>
  <c r="AY171" i="3"/>
  <c r="AY414" i="3"/>
  <c r="AY274" i="3"/>
  <c r="AY392" i="3"/>
  <c r="AY170" i="3"/>
  <c r="AY569" i="3"/>
  <c r="AY106" i="3"/>
  <c r="AY139" i="3"/>
  <c r="AY281" i="3"/>
  <c r="AY303" i="3"/>
  <c r="E27" i="6"/>
  <c r="AY432" i="3"/>
  <c r="AY563" i="3"/>
  <c r="AY429" i="3"/>
  <c r="AY560" i="3"/>
  <c r="AY99" i="3"/>
  <c r="AY194" i="3"/>
  <c r="AY88" i="3"/>
  <c r="AY325" i="3"/>
  <c r="AY510" i="3"/>
  <c r="AY231" i="3"/>
  <c r="AY541" i="3"/>
  <c r="AY111" i="3"/>
  <c r="AY86" i="3"/>
  <c r="AY419" i="3"/>
  <c r="AY396" i="3"/>
  <c r="AY375" i="3"/>
  <c r="AY330" i="3"/>
  <c r="AY575" i="3"/>
  <c r="AY298" i="3"/>
  <c r="AY490" i="3"/>
  <c r="AY148" i="3"/>
  <c r="AY437" i="3"/>
  <c r="AY285" i="3"/>
  <c r="AY570" i="3"/>
  <c r="AY426" i="3"/>
  <c r="AY380" i="3"/>
  <c r="AY65" i="3"/>
  <c r="AY438" i="3"/>
  <c r="AY384" i="3"/>
  <c r="AY557" i="3"/>
  <c r="AY82" i="3"/>
  <c r="AY186" i="3"/>
  <c r="AY447" i="3"/>
  <c r="BM6" i="3"/>
  <c r="AY177" i="3"/>
  <c r="AY118" i="3"/>
  <c r="AY433" i="3"/>
  <c r="AY204" i="3"/>
  <c r="AY95" i="3"/>
  <c r="AY321" i="3"/>
  <c r="AY550" i="3"/>
  <c r="AY273" i="3"/>
  <c r="AY512" i="3"/>
  <c r="AY221" i="3"/>
  <c r="AY94" i="3"/>
  <c r="AY579" i="3"/>
  <c r="AY313" i="3"/>
  <c r="AY189" i="3"/>
  <c r="AY536" i="3"/>
  <c r="AY72" i="3"/>
  <c r="AY84" i="3"/>
  <c r="AY489" i="3"/>
  <c r="AY340" i="3"/>
  <c r="AY53" i="3"/>
  <c r="BG6" i="3"/>
  <c r="AY388" i="3"/>
  <c r="AY262" i="3"/>
  <c r="BE6" i="3"/>
  <c r="AY460" i="3"/>
  <c r="AY58" i="3"/>
  <c r="AY480" i="3"/>
  <c r="AY507" i="3"/>
  <c r="AY20" i="3"/>
  <c r="AY212" i="3"/>
  <c r="AY49" i="3"/>
  <c r="AY435" i="3"/>
  <c r="BS6" i="3"/>
  <c r="AY89" i="3"/>
  <c r="AY90" i="3"/>
  <c r="AY398" i="3"/>
  <c r="AY242" i="3"/>
  <c r="AY397" i="3"/>
  <c r="AY154" i="3"/>
  <c r="AY533" i="3"/>
  <c r="AY26" i="3"/>
  <c r="AY289" i="3"/>
  <c r="AY276" i="3"/>
  <c r="AY81" i="3"/>
  <c r="AY308" i="3"/>
  <c r="AY254" i="3"/>
  <c r="AY311" i="3"/>
  <c r="AY16" i="3"/>
  <c r="AY457" i="3"/>
  <c r="AY197" i="3"/>
  <c r="AY246" i="3"/>
  <c r="AY206" i="3"/>
  <c r="AY452" i="3"/>
  <c r="AY428" i="3"/>
  <c r="AY67" i="3"/>
  <c r="AY124" i="3"/>
  <c r="AY363" i="3"/>
  <c r="E149" i="3"/>
  <c r="E312" i="3"/>
  <c r="E502" i="3"/>
  <c r="E507" i="3"/>
  <c r="E490" i="3"/>
  <c r="E554" i="3"/>
  <c r="E435" i="3"/>
  <c r="E436" i="3"/>
  <c r="E37" i="3"/>
  <c r="E187" i="3"/>
  <c r="E240" i="3"/>
  <c r="E292" i="3"/>
  <c r="E375" i="3"/>
  <c r="E60" i="3"/>
  <c r="E462" i="3"/>
  <c r="E446" i="3"/>
  <c r="E38" i="3"/>
  <c r="E195" i="3"/>
  <c r="E234" i="3"/>
  <c r="E299" i="3"/>
  <c r="E354" i="3"/>
  <c r="E52" i="3"/>
  <c r="E33" i="3"/>
  <c r="E184" i="3"/>
  <c r="E284" i="3"/>
  <c r="AF6" i="3"/>
  <c r="E80" i="3"/>
  <c r="E118" i="3"/>
  <c r="E222" i="3"/>
  <c r="E373" i="3"/>
  <c r="E21" i="3"/>
  <c r="E365" i="3"/>
  <c r="E20" i="3"/>
  <c r="E123" i="3"/>
  <c r="E386" i="3"/>
  <c r="E170" i="3"/>
  <c r="E43" i="3"/>
  <c r="E241" i="3"/>
  <c r="E90" i="3"/>
  <c r="E566" i="3"/>
  <c r="E427" i="3"/>
  <c r="E212" i="3"/>
  <c r="E522" i="3"/>
  <c r="E275" i="3"/>
  <c r="E78" i="3"/>
  <c r="E75" i="3"/>
  <c r="E391" i="3"/>
  <c r="E139" i="3"/>
  <c r="E420" i="3"/>
  <c r="E497" i="3"/>
  <c r="E512" i="3"/>
  <c r="E525" i="3"/>
  <c r="E29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539" i="3"/>
  <c r="E199" i="3"/>
  <c r="E564" i="3"/>
  <c r="E422" i="3"/>
  <c r="AH6" i="3"/>
  <c r="E419" i="3"/>
  <c r="E39" i="3"/>
  <c r="E95" i="3"/>
  <c r="E192" i="3"/>
  <c r="E346" i="3"/>
  <c r="L6" i="3"/>
  <c r="E488" i="3"/>
  <c r="E467" i="3"/>
  <c r="E103" i="3"/>
  <c r="E200" i="3"/>
  <c r="E339" i="3"/>
  <c r="E584" i="3"/>
  <c r="E48" i="3"/>
  <c r="E232" i="3"/>
  <c r="E341" i="3"/>
  <c r="E51" i="3"/>
  <c r="E158" i="3"/>
  <c r="E323" i="3"/>
  <c r="E101" i="3"/>
  <c r="E265" i="3"/>
  <c r="E340" i="3"/>
  <c r="E392" i="3"/>
  <c r="E64" i="3"/>
  <c r="E389" i="3"/>
  <c r="E108" i="3"/>
  <c r="E255" i="3"/>
  <c r="E393" i="3"/>
  <c r="E86" i="3"/>
  <c r="E220" i="3"/>
  <c r="E412" i="3"/>
  <c r="E356" i="3"/>
  <c r="E115" i="3"/>
  <c r="E452" i="3"/>
  <c r="E408" i="3"/>
  <c r="E369" i="3"/>
  <c r="E453" i="3"/>
  <c r="E136" i="3"/>
  <c r="E128" i="3"/>
  <c r="E99" i="3"/>
  <c r="E224" i="3"/>
  <c r="E330" i="3"/>
  <c r="E573" i="3"/>
  <c r="E474" i="3"/>
  <c r="E424" i="3"/>
  <c r="E562" i="3"/>
  <c r="E537" i="3"/>
  <c r="E496" i="3"/>
  <c r="E72" i="3"/>
  <c r="E168" i="3"/>
  <c r="E256" i="3"/>
  <c r="E351" i="3"/>
  <c r="E14" i="3"/>
  <c r="E32" i="3"/>
  <c r="E549" i="3"/>
  <c r="E207" i="3"/>
  <c r="E164" i="3"/>
  <c r="E585" i="3"/>
  <c r="E411"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6" i="3"/>
  <c r="E105" i="3"/>
  <c r="E421" i="3"/>
  <c r="E416" i="3"/>
  <c r="AP6" i="3"/>
  <c r="E483" i="3"/>
  <c r="E40" i="3"/>
  <c r="E178" i="3"/>
  <c r="E297" i="3"/>
  <c r="E363" i="3"/>
  <c r="E544" i="3"/>
  <c r="E473" i="3"/>
  <c r="E79" i="3"/>
  <c r="E138" i="3"/>
  <c r="E267" i="3"/>
  <c r="E371" i="3"/>
  <c r="E66" i="3"/>
  <c r="E87" i="3"/>
  <c r="E250" i="3"/>
  <c r="E381" i="3"/>
  <c r="E19" i="3"/>
  <c r="E264" i="3"/>
  <c r="E309" i="3"/>
  <c r="E83" i="3"/>
  <c r="E176" i="3"/>
  <c r="E289" i="3"/>
  <c r="E300" i="3"/>
  <c r="E455" i="3"/>
  <c r="E348" i="3"/>
  <c r="E401" i="3"/>
  <c r="E440" i="3"/>
  <c r="E141" i="3"/>
  <c r="E342" i="3"/>
  <c r="E190" i="3"/>
  <c r="E482" i="3"/>
  <c r="E332" i="3"/>
  <c r="E41" i="3"/>
  <c r="E13" i="3"/>
  <c r="E456" i="3"/>
  <c r="E173" i="3"/>
  <c r="E253" i="3"/>
  <c r="E461" i="3"/>
  <c r="E434" i="3"/>
  <c r="E511" i="3"/>
  <c r="E157" i="3"/>
  <c r="E177" i="3"/>
  <c r="E519" i="3"/>
  <c r="E529" i="3"/>
  <c r="E481" i="3"/>
  <c r="E457" i="3"/>
  <c r="W6" i="3"/>
  <c r="E429" i="3"/>
  <c r="E433" i="3"/>
  <c r="E54" i="3"/>
  <c r="E203" i="3"/>
  <c r="E279" i="3"/>
  <c r="E357" i="3"/>
  <c r="E580" i="3"/>
  <c r="E567" i="3"/>
  <c r="E196" i="3"/>
  <c r="E252" i="3"/>
  <c r="E107" i="3"/>
  <c r="U6" i="3"/>
  <c r="E448" i="3"/>
  <c r="E414" i="3"/>
  <c r="E477" i="3"/>
  <c r="E505" i="3"/>
  <c r="AS6" i="3"/>
  <c r="E476" i="3"/>
  <c r="E447" i="3"/>
  <c r="E27" i="3"/>
  <c r="E162" i="3"/>
  <c r="E186" i="3"/>
  <c r="E210" i="3"/>
  <c r="E331" i="3"/>
  <c r="E384" i="3"/>
  <c r="E44" i="3"/>
  <c r="E441" i="3"/>
  <c r="E53" i="3"/>
  <c r="E319" i="3"/>
  <c r="E501" i="3"/>
  <c r="E153" i="3"/>
  <c r="E426" i="3"/>
  <c r="E328" i="3"/>
  <c r="O6" i="3"/>
  <c r="E148" i="3"/>
  <c r="E442" i="3"/>
  <c r="E582" i="3"/>
  <c r="E56" i="3"/>
  <c r="E226" i="3"/>
  <c r="E110" i="3"/>
  <c r="E98" i="3"/>
  <c r="E249" i="3"/>
  <c r="E84" i="3"/>
  <c r="E251" i="3"/>
  <c r="E81" i="3"/>
  <c r="E513" i="3"/>
  <c r="E62" i="3"/>
  <c r="E248" i="3"/>
  <c r="E242" i="3"/>
  <c r="E466" i="3"/>
  <c r="E383" i="3"/>
  <c r="E94" i="3"/>
  <c r="E104" i="3"/>
  <c r="E405" i="3"/>
  <c r="E122" i="3"/>
  <c r="E314" i="3"/>
  <c r="E120" i="3"/>
  <c r="E532" i="3"/>
  <c r="E527" i="3"/>
  <c r="AE6" i="3"/>
  <c r="E475" i="3"/>
  <c r="E150" i="3"/>
  <c r="E394" i="3"/>
  <c r="E397" i="3"/>
  <c r="E271" i="3"/>
  <c r="AG6" i="3"/>
  <c r="E400" i="3"/>
  <c r="E557" i="3"/>
  <c r="E489" i="3"/>
  <c r="E70" i="3"/>
  <c r="E211" i="3"/>
  <c r="E377" i="3"/>
  <c r="E109" i="3"/>
  <c r="E530" i="3"/>
  <c r="E305" i="3"/>
  <c r="E388" i="3"/>
  <c r="E569" i="3"/>
  <c r="E337" i="3"/>
  <c r="E97" i="3"/>
  <c r="E358" i="3"/>
  <c r="AR6" i="3"/>
  <c r="E506" i="3"/>
  <c r="E407" i="3"/>
  <c r="E380" i="3"/>
  <c r="E298" i="3"/>
  <c r="E130" i="3"/>
  <c r="E261" i="3"/>
  <c r="E565" i="3"/>
  <c r="E260" i="3"/>
  <c r="E503" i="3"/>
  <c r="E221" i="3"/>
  <c r="E61" i="3"/>
  <c r="E301" i="3"/>
  <c r="E402" i="3"/>
  <c r="E518" i="3"/>
  <c r="E124" i="3"/>
  <c r="AA6" i="3"/>
  <c r="E542" i="3"/>
  <c r="E202" i="3"/>
  <c r="E372" i="3"/>
  <c r="E425" i="3"/>
  <c r="E163" i="3"/>
  <c r="E206" i="3"/>
  <c r="E102" i="3"/>
  <c r="E524" i="3"/>
  <c r="E58" i="3"/>
  <c r="E34" i="3"/>
  <c r="E225" i="3"/>
  <c r="E205" i="3"/>
  <c r="E85" i="3"/>
  <c r="E313" i="3"/>
  <c r="E344" i="3"/>
  <c r="E111" i="3"/>
  <c r="E93" i="3"/>
  <c r="E269" i="3"/>
  <c r="E548" i="3"/>
  <c r="E403" i="3"/>
  <c r="E126" i="3"/>
  <c r="AM6" i="3"/>
  <c r="E366" i="3"/>
  <c r="E282" i="3"/>
  <c r="E239" i="3"/>
  <c r="E574" i="3"/>
  <c r="E396" i="3"/>
  <c r="E143" i="3"/>
  <c r="E390" i="3"/>
  <c r="E559" i="3"/>
  <c r="E561" i="3"/>
  <c r="E418" i="3"/>
  <c r="E320" i="3"/>
  <c r="E231" i="3"/>
  <c r="E169" i="3"/>
  <c r="E114" i="3"/>
  <c r="E528" i="3"/>
  <c r="E213" i="3"/>
  <c r="E550" i="3"/>
  <c r="E180" i="3"/>
  <c r="E254" i="3"/>
  <c r="E245" i="3"/>
  <c r="E350" i="3"/>
  <c r="AN6" i="3"/>
  <c r="E293" i="3"/>
  <c r="E399" i="3"/>
  <c r="E223" i="3"/>
  <c r="E487" i="3"/>
  <c r="E498" i="3"/>
  <c r="E57" i="3"/>
  <c r="E259" i="3"/>
  <c r="E59" i="3"/>
  <c r="E100" i="3"/>
  <c r="E266" i="3"/>
  <c r="E67" i="3"/>
  <c r="E355" i="3"/>
  <c r="E154" i="3"/>
  <c r="E22" i="3"/>
  <c r="E364" i="3"/>
  <c r="E142" i="3"/>
  <c r="E152" i="3"/>
  <c r="E552" i="3"/>
  <c r="E235" i="3"/>
  <c r="E42" i="3"/>
  <c r="E470" i="3"/>
  <c r="T6" i="3"/>
  <c r="E156" i="3"/>
  <c r="E352" i="3"/>
  <c r="E45" i="3"/>
  <c r="Q6" i="3"/>
  <c r="E438" i="3"/>
  <c r="E571" i="3"/>
  <c r="E55" i="3"/>
  <c r="E208" i="3"/>
  <c r="E318" i="3"/>
  <c r="I6" i="3"/>
  <c r="E145" i="3"/>
  <c r="E515" i="3"/>
  <c r="E432" i="3"/>
  <c r="E547" i="3"/>
  <c r="E546" i="3"/>
  <c r="E92" i="3"/>
  <c r="E272" i="3"/>
  <c r="E317" i="3"/>
  <c r="E29" i="3"/>
  <c r="E125" i="3"/>
  <c r="E553" i="3"/>
  <c r="N6" i="3"/>
  <c r="E516" i="3"/>
  <c r="E410" i="3"/>
  <c r="E285" i="3"/>
  <c r="E151" i="3"/>
  <c r="E533" i="3"/>
  <c r="E523" i="3"/>
  <c r="V6" i="3"/>
  <c r="E439" i="3"/>
  <c r="E321" i="3"/>
  <c r="E230" i="3"/>
  <c r="E185" i="3"/>
  <c r="E304" i="3"/>
  <c r="E395" i="3"/>
  <c r="E361" i="3"/>
  <c r="E302" i="3"/>
  <c r="E290" i="3"/>
  <c r="E134" i="3"/>
  <c r="E303" i="3"/>
  <c r="E578" i="3"/>
  <c r="E495" i="3"/>
  <c r="E280" i="3"/>
  <c r="E583" i="3"/>
  <c r="I3" i="6"/>
  <c r="E417" i="3"/>
  <c r="E492" i="3"/>
  <c r="E308" i="3"/>
  <c r="E24" i="3"/>
  <c r="E517" i="3"/>
  <c r="E18" i="3"/>
  <c r="E451" i="3"/>
  <c r="E262" i="3"/>
  <c r="E458" i="3"/>
  <c r="E471" i="3"/>
  <c r="E274" i="3"/>
  <c r="E576" i="3"/>
  <c r="E367" i="3"/>
  <c r="E71" i="3"/>
  <c r="E291" i="3"/>
  <c r="AD6" i="3"/>
  <c r="E459" i="3"/>
  <c r="E520" i="3"/>
  <c r="E119" i="3"/>
  <c r="E349" i="3"/>
  <c r="E484" i="3"/>
  <c r="E137" i="3"/>
  <c r="E325" i="3"/>
  <c r="E144" i="3"/>
  <c r="E68" i="3"/>
  <c r="E287" i="3"/>
  <c r="E112" i="3"/>
  <c r="E521" i="3"/>
  <c r="E460" i="3"/>
  <c r="E165" i="3"/>
  <c r="E129" i="3"/>
  <c r="E281" i="3"/>
  <c r="E556" i="3"/>
  <c r="E140" i="3"/>
  <c r="E238" i="3"/>
  <c r="E306" i="3"/>
  <c r="E193" i="3"/>
  <c r="E437" i="3"/>
  <c r="E288" i="3"/>
  <c r="E450" i="3"/>
  <c r="E73" i="3"/>
  <c r="E257" i="3"/>
  <c r="E31" i="3"/>
  <c r="E236" i="3"/>
  <c r="E379" i="3"/>
  <c r="E478" i="3"/>
  <c r="E345" i="3"/>
  <c r="E531" i="3"/>
  <c r="E28" i="3"/>
  <c r="E182" i="3"/>
  <c r="E273" i="3"/>
  <c r="E572" i="3"/>
  <c r="E175" i="3"/>
  <c r="E343" i="3"/>
  <c r="E508" i="3"/>
  <c r="E555" i="3"/>
  <c r="E359" i="3"/>
  <c r="E229" i="3"/>
  <c r="E270" i="3"/>
  <c r="S6" i="3"/>
  <c r="E551" i="3"/>
  <c r="E538" i="3"/>
  <c r="E338" i="3"/>
  <c r="E294" i="3"/>
  <c r="E216" i="3"/>
  <c r="E237" i="3"/>
  <c r="E415" i="3"/>
  <c r="E183" i="3"/>
  <c r="E17" i="3"/>
  <c r="E117" i="3"/>
  <c r="E91" i="3"/>
  <c r="E159" i="3"/>
  <c r="E382" i="3"/>
  <c r="E586" i="3"/>
  <c r="E353" i="3"/>
  <c r="E336" i="3"/>
  <c r="E347" i="3"/>
  <c r="AY13" i="3"/>
  <c r="AY352" i="3"/>
  <c r="AY232" i="3"/>
  <c r="AY407" i="3"/>
  <c r="AY572" i="3"/>
  <c r="AY69" i="3"/>
  <c r="AY85" i="3"/>
  <c r="AY461" i="3"/>
  <c r="AY31" i="3"/>
  <c r="AY153" i="3"/>
  <c r="AY136" i="3"/>
  <c r="AY233" i="3"/>
  <c r="AY431" i="3"/>
  <c r="AY32" i="3"/>
  <c r="AY354" i="3"/>
  <c r="AY38" i="3"/>
  <c r="AY469" i="3"/>
  <c r="AY156" i="3"/>
  <c r="AY565" i="3"/>
  <c r="AY468" i="3"/>
  <c r="AY251" i="3"/>
  <c r="AY582" i="3"/>
  <c r="AY309" i="3"/>
  <c r="AY291" i="3"/>
  <c r="AY343" i="3"/>
  <c r="AY532" i="3"/>
  <c r="AY211" i="3"/>
  <c r="AY526" i="3"/>
  <c r="AY446" i="3"/>
  <c r="AY104" i="3"/>
  <c r="AY201" i="3"/>
  <c r="AY358" i="3"/>
  <c r="AY196" i="3"/>
  <c r="AY34" i="3"/>
  <c r="AY235" i="3"/>
  <c r="AY459" i="3"/>
  <c r="AY159" i="3"/>
  <c r="AY405" i="3"/>
  <c r="AY280" i="3"/>
  <c r="AY531" i="3"/>
  <c r="AY410" i="3"/>
  <c r="AY369" i="3"/>
  <c r="AY80" i="3"/>
  <c r="AY406" i="3"/>
  <c r="AY373" i="3"/>
  <c r="AY540" i="3"/>
  <c r="AY191" i="3"/>
  <c r="AY150" i="3"/>
  <c r="AY404" i="3"/>
  <c r="AY585" i="3"/>
  <c r="AY145" i="3"/>
  <c r="AY125" i="3"/>
  <c r="AY401" i="3"/>
  <c r="AY284" i="3"/>
  <c r="AY59" i="3"/>
  <c r="AY341" i="3"/>
  <c r="AY227" i="3"/>
  <c r="AY100" i="3"/>
  <c r="AY497" i="3"/>
  <c r="AY577" i="3"/>
  <c r="AY467" i="3"/>
  <c r="AY222" i="3"/>
  <c r="AY481" i="3"/>
  <c r="AY501" i="3"/>
  <c r="AY462" i="3"/>
  <c r="AY166" i="3"/>
  <c r="AY230" i="3"/>
  <c r="AY190" i="3"/>
  <c r="AY420" i="3"/>
  <c r="AY441" i="3"/>
  <c r="AY50" i="3"/>
  <c r="AY115" i="3"/>
  <c r="AY496" i="3"/>
  <c r="AY393" i="3"/>
  <c r="AY178" i="3"/>
  <c r="AY269" i="3"/>
  <c r="AY546" i="3"/>
  <c r="AY317" i="3"/>
  <c r="AY41" i="3"/>
  <c r="AY263" i="3"/>
  <c r="AY77" i="3"/>
  <c r="AY342" i="3"/>
  <c r="AY318" i="3"/>
  <c r="AY236" i="3"/>
  <c r="AY207" i="3"/>
  <c r="BK6" i="3"/>
  <c r="E116" i="3"/>
  <c r="E430" i="3"/>
  <c r="E197" i="3"/>
  <c r="E494" i="3"/>
  <c r="AL6" i="3"/>
  <c r="E324" i="3"/>
  <c r="E398" i="3"/>
  <c r="E333" i="3"/>
  <c r="E23" i="3"/>
  <c r="E82" i="3"/>
  <c r="E113" i="3"/>
  <c r="E233" i="3"/>
  <c r="AQ6" i="3"/>
  <c r="E194" i="3"/>
  <c r="E15" i="3"/>
  <c r="E378" i="3"/>
  <c r="E131" i="3"/>
  <c r="E413" i="3"/>
  <c r="E541" i="3"/>
  <c r="E286" i="3"/>
  <c r="E510" i="3"/>
  <c r="F27" i="68"/>
  <c r="AY445" i="3"/>
  <c r="AY241" i="3"/>
  <c r="AY181" i="3"/>
  <c r="AY544" i="3"/>
  <c r="AY337" i="3"/>
  <c r="AY70" i="3"/>
  <c r="AY134" i="3"/>
  <c r="AY409" i="3"/>
  <c r="AY279" i="3"/>
  <c r="AY302" i="3"/>
  <c r="AY562" i="3"/>
  <c r="AY387" i="3"/>
  <c r="AY534" i="3"/>
  <c r="AY475" i="3"/>
  <c r="AY295" i="3"/>
  <c r="AY360" i="3"/>
  <c r="AY283" i="3"/>
  <c r="AY44" i="3"/>
  <c r="AY549" i="3"/>
  <c r="AY260" i="3"/>
  <c r="AY209" i="3"/>
  <c r="AY335" i="3"/>
  <c r="AY188" i="3"/>
  <c r="AY132" i="3"/>
  <c r="AY516" i="3"/>
  <c r="AY130" i="3"/>
  <c r="AY117" i="3"/>
  <c r="AY535" i="3"/>
  <c r="AY237" i="3"/>
  <c r="AY561" i="3"/>
  <c r="AY491" i="3"/>
  <c r="AY114" i="3"/>
  <c r="AY357" i="3"/>
  <c r="AY299" i="3"/>
  <c r="AY60" i="3"/>
  <c r="AY513" i="3"/>
  <c r="AY245" i="3"/>
  <c r="AY252" i="3"/>
  <c r="AY366" i="3"/>
  <c r="AY42" i="3"/>
  <c r="AY152" i="3"/>
  <c r="AY28" i="3"/>
  <c r="AY474" i="3"/>
  <c r="AY378" i="3"/>
  <c r="AY455" i="3"/>
  <c r="AY400" i="3"/>
  <c r="AY288" i="3"/>
  <c r="AY187" i="3"/>
  <c r="AY518" i="3"/>
  <c r="K14" i="1"/>
  <c r="E30" i="6"/>
  <c r="AY200" i="3"/>
  <c r="AY383" i="3"/>
  <c r="AY506" i="3"/>
  <c r="AY25" i="3"/>
  <c r="AY547" i="3"/>
  <c r="AY30" i="3"/>
  <c r="AY484" i="3"/>
  <c r="AY486" i="3"/>
  <c r="L19" i="1"/>
  <c r="AY151" i="3"/>
  <c r="AY336" i="3"/>
  <c r="AY158" i="3"/>
  <c r="AY349" i="3"/>
  <c r="AY493" i="3"/>
  <c r="AY498" i="3"/>
  <c r="AY514" i="3"/>
  <c r="BH6" i="3"/>
  <c r="C18" i="15"/>
  <c r="C15" i="15"/>
  <c r="K20" i="6"/>
  <c r="M20" i="6" s="1"/>
  <c r="I20" i="6" s="1"/>
  <c r="S20" i="6" s="1"/>
  <c r="K24" i="6"/>
  <c r="M24" i="6" s="1"/>
  <c r="I24" i="6" s="1"/>
  <c r="S24" i="6" s="1"/>
  <c r="K23" i="6"/>
  <c r="M23" i="6" s="1"/>
  <c r="I23" i="6" s="1"/>
  <c r="S23" i="6" s="1"/>
  <c r="K19" i="6"/>
  <c r="K26" i="6"/>
  <c r="M26" i="6" s="1"/>
  <c r="I26" i="6" s="1"/>
  <c r="S26" i="6" s="1"/>
  <c r="E31" i="6"/>
  <c r="K22" i="6"/>
  <c r="M22" i="6" s="1"/>
  <c r="I22" i="6" s="1"/>
  <c r="S22" i="6" s="1"/>
  <c r="K21" i="6"/>
  <c r="M21" i="6" s="1"/>
  <c r="I21" i="6" s="1"/>
  <c r="S21" i="6" s="1"/>
  <c r="K25" i="6"/>
  <c r="M25" i="6" s="1"/>
  <c r="I25" i="6" s="1"/>
  <c r="S25" i="6" s="1"/>
  <c r="AY228" i="3"/>
  <c r="AY521" i="3"/>
  <c r="AY568" i="3"/>
  <c r="AY79" i="3"/>
  <c r="AY305" i="3"/>
  <c r="AY272" i="3"/>
  <c r="AY140" i="3"/>
  <c r="AY142" i="3"/>
  <c r="AY184" i="3"/>
  <c r="AY135" i="3"/>
  <c r="AY458" i="3"/>
  <c r="AY101" i="3"/>
  <c r="AY270" i="3"/>
  <c r="AY523" i="3"/>
  <c r="AY390" i="3"/>
  <c r="AY24" i="3"/>
  <c r="AY529" i="3"/>
  <c r="AY351" i="3"/>
  <c r="AY485" i="3"/>
  <c r="AY515" i="3"/>
  <c r="AY113" i="3"/>
  <c r="AY102" i="3"/>
  <c r="AY530" i="3"/>
  <c r="AY416" i="3"/>
  <c r="AY517" i="3"/>
  <c r="BA6" i="3"/>
  <c r="AY345" i="3"/>
  <c r="AY580" i="3"/>
  <c r="AY105" i="3"/>
  <c r="AY226" i="3"/>
  <c r="AY571" i="3"/>
  <c r="AY278" i="3"/>
  <c r="AY103" i="3"/>
  <c r="AY307" i="3"/>
  <c r="AY451" i="3"/>
  <c r="AY551" i="3"/>
  <c r="AY267" i="3"/>
  <c r="AY22" i="3"/>
  <c r="AY548" i="3"/>
  <c r="BD6" i="3"/>
  <c r="BL6" i="3"/>
  <c r="AY63" i="3"/>
  <c r="AY344" i="3"/>
  <c r="AY520" i="3"/>
  <c r="AY52" i="3"/>
  <c r="AY464" i="3"/>
  <c r="AY98" i="3"/>
  <c r="AY214" i="3"/>
  <c r="AY74" i="3"/>
  <c r="AY293" i="3"/>
  <c r="AY248" i="3"/>
  <c r="AY415" i="3"/>
  <c r="AY583" i="3"/>
  <c r="AY440" i="3"/>
  <c r="AY418" i="3"/>
  <c r="AY367" i="3"/>
  <c r="AY314" i="3"/>
  <c r="AY502" i="3"/>
  <c r="AY282" i="3"/>
  <c r="AY370" i="3"/>
  <c r="AY379" i="3"/>
  <c r="AY239" i="3"/>
  <c r="AY472" i="3"/>
  <c r="AY33" i="3"/>
  <c r="E3" i="6"/>
  <c r="D5" i="6" s="1"/>
  <c r="AY144" i="3"/>
  <c r="AY319" i="3"/>
  <c r="AY92" i="3"/>
  <c r="AY554" i="3"/>
  <c r="AY488" i="3"/>
  <c r="AY334" i="3"/>
  <c r="AY271" i="3"/>
  <c r="AY527" i="3"/>
  <c r="AY229" i="3"/>
  <c r="AY141" i="3"/>
  <c r="AY215" i="3"/>
  <c r="AY494" i="3"/>
  <c r="AY287" i="3"/>
  <c r="AY471" i="3"/>
  <c r="AY524" i="3"/>
  <c r="AY192" i="3"/>
  <c r="AY346" i="3"/>
  <c r="AY55" i="3"/>
  <c r="AY391" i="3"/>
  <c r="AY586" i="3"/>
  <c r="AY450" i="3"/>
  <c r="AY47" i="3"/>
  <c r="AY482" i="3"/>
  <c r="AY175" i="3"/>
  <c r="AY15" i="3"/>
  <c r="AY361" i="3"/>
  <c r="AY402" i="3"/>
  <c r="BP6" i="3"/>
  <c r="AY265" i="3"/>
  <c r="AY500" i="3"/>
  <c r="AY143" i="3"/>
  <c r="AY443" i="3"/>
  <c r="AY253" i="3"/>
  <c r="AY217" i="3"/>
  <c r="AY165" i="3"/>
  <c r="AY202" i="3"/>
  <c r="AY411" i="3"/>
  <c r="AY355" i="3"/>
  <c r="AY93" i="3"/>
  <c r="AY112" i="3"/>
  <c r="AY417" i="3"/>
  <c r="AY238" i="3"/>
  <c r="AY449" i="3"/>
  <c r="AY96" i="3"/>
  <c r="AY223" i="3"/>
  <c r="AY442" i="3"/>
  <c r="BR6" i="3"/>
  <c r="AY127" i="3"/>
  <c r="AY424" i="3"/>
  <c r="AY179" i="3"/>
  <c r="AY306" i="3"/>
  <c r="AY122" i="3"/>
  <c r="AY564" i="3"/>
  <c r="AY120" i="3"/>
  <c r="AY528" i="3"/>
  <c r="AY208" i="3"/>
  <c r="AY21" i="3"/>
  <c r="AY320" i="3"/>
  <c r="AY538" i="3"/>
  <c r="AY62" i="3"/>
  <c r="AY359" i="3"/>
  <c r="AY107" i="3"/>
  <c r="AY240" i="3"/>
  <c r="AY566" i="3"/>
  <c r="AY183" i="3"/>
  <c r="AY219" i="3"/>
  <c r="AY18" i="3"/>
  <c r="AY412" i="3"/>
  <c r="AY161" i="3"/>
  <c r="AY169" i="3"/>
  <c r="AY499" i="3"/>
  <c r="AY376" i="3"/>
  <c r="AY256" i="3"/>
  <c r="AY304" i="3"/>
  <c r="AY347" i="3"/>
  <c r="AY413" i="3"/>
  <c r="AY434" i="3"/>
  <c r="AY301" i="3"/>
  <c r="AY164" i="3"/>
  <c r="AY268" i="3"/>
  <c r="AY465" i="3"/>
  <c r="AY294" i="3"/>
  <c r="AY290" i="3"/>
  <c r="BF6" i="3"/>
  <c r="AY574" i="3"/>
  <c r="AY243" i="3"/>
  <c r="AY292" i="3"/>
  <c r="AY539" i="3"/>
  <c r="AY368" i="3"/>
  <c r="AY503" i="3"/>
  <c r="AY48" i="3"/>
  <c r="AY364" i="3"/>
  <c r="AY439" i="3"/>
  <c r="AY578" i="3"/>
  <c r="AY249" i="3"/>
  <c r="AY558" i="3"/>
  <c r="AY128" i="3"/>
  <c r="AY448" i="3"/>
  <c r="AY218" i="3"/>
  <c r="AY537" i="3"/>
  <c r="AY296" i="3"/>
  <c r="AY576" i="3"/>
  <c r="AY339" i="3"/>
  <c r="AY174" i="3"/>
  <c r="AY479" i="3"/>
  <c r="AY522" i="3"/>
  <c r="AY19" i="3"/>
  <c r="AY315" i="3"/>
  <c r="AY71" i="3"/>
  <c r="AY386" i="3"/>
  <c r="BT6" i="3"/>
  <c r="AY83" i="3"/>
  <c r="AY108" i="3"/>
  <c r="AY333" i="3"/>
  <c r="AY182" i="3"/>
  <c r="AY454" i="3"/>
  <c r="AY198" i="3"/>
  <c r="AY552" i="3"/>
  <c r="AY328" i="3"/>
  <c r="AY78" i="3"/>
  <c r="AY587" i="3"/>
  <c r="BC6" i="3"/>
  <c r="AY110" i="3"/>
  <c r="AY195" i="3"/>
  <c r="AY250" i="3"/>
  <c r="AY545" i="3"/>
  <c r="AY408" i="3"/>
  <c r="AY477" i="3"/>
  <c r="AY257" i="3"/>
  <c r="AY394" i="3"/>
  <c r="AY505" i="3"/>
  <c r="AY64" i="3"/>
  <c r="AY421" i="3"/>
  <c r="AY17" i="3"/>
  <c r="AY338" i="3"/>
  <c r="AY456" i="3"/>
  <c r="AY542" i="3"/>
  <c r="AY234" i="3"/>
  <c r="AY483" i="3"/>
  <c r="AY436" i="3"/>
  <c r="BI6" i="3"/>
  <c r="AY427" i="3"/>
  <c r="AY138" i="3"/>
  <c r="AY131" i="3"/>
  <c r="AY54" i="3"/>
  <c r="AY172" i="3"/>
  <c r="AY476" i="3"/>
  <c r="AY322" i="3"/>
  <c r="AY216" i="3"/>
  <c r="AY385" i="3"/>
  <c r="AY119" i="3"/>
  <c r="AY264" i="3"/>
  <c r="AY423" i="3"/>
  <c r="AY37" i="3"/>
  <c r="BB6" i="3"/>
  <c r="AY147" i="3"/>
  <c r="BO6" i="3"/>
  <c r="AY259" i="3"/>
  <c r="AY463" i="3"/>
  <c r="AY87" i="3"/>
  <c r="C18" i="4"/>
  <c r="L19" i="9"/>
  <c r="E61" i="40"/>
  <c r="M19" i="9"/>
  <c r="C118" i="9" s="1"/>
  <c r="C14" i="74" s="1"/>
  <c r="B2" i="74" s="1"/>
  <c r="T4" i="43"/>
  <c r="V4" i="43" s="1"/>
  <c r="T2" i="43"/>
  <c r="V2" i="43" s="1"/>
  <c r="E69" i="39"/>
  <c r="F67" i="39"/>
  <c r="J7" i="36"/>
  <c r="W7" i="36" s="1"/>
  <c r="F7" i="36"/>
  <c r="AA7" i="36" s="1"/>
  <c r="R36" i="36" s="1"/>
  <c r="F10" i="39"/>
  <c r="H10" i="39"/>
  <c r="J10" i="39"/>
  <c r="J10" i="40"/>
  <c r="F10" i="40"/>
  <c r="H10" i="40"/>
  <c r="J6" i="15"/>
  <c r="J18" i="15" s="1"/>
  <c r="H7" i="34"/>
  <c r="F7" i="34"/>
  <c r="I52" i="37"/>
  <c r="H58" i="33"/>
  <c r="AB7" i="21"/>
  <c r="T48" i="21" s="1"/>
  <c r="G48" i="21" s="1"/>
  <c r="U7" i="21"/>
  <c r="U7" i="36"/>
  <c r="E63" i="40"/>
  <c r="D65" i="40"/>
  <c r="J7" i="34"/>
  <c r="S7" i="21"/>
  <c r="AA7" i="21"/>
  <c r="R48" i="21" s="1"/>
  <c r="L48" i="35"/>
  <c r="M48" i="35" s="1"/>
  <c r="N48" i="35" s="1"/>
  <c r="O48" i="35" s="1"/>
  <c r="F7" i="35"/>
  <c r="AC7" i="21"/>
  <c r="V48" i="21" s="1"/>
  <c r="I48" i="21" s="1"/>
  <c r="W7" i="21"/>
  <c r="F59" i="67"/>
  <c r="C18" i="67"/>
  <c r="C15" i="67"/>
  <c r="J19" i="67"/>
  <c r="J18" i="67"/>
  <c r="C32" i="67"/>
  <c r="C33" i="67"/>
  <c r="Q74" i="67"/>
  <c r="Q61" i="67"/>
  <c r="Q60" i="67"/>
  <c r="Q73" i="67"/>
  <c r="C49" i="67"/>
  <c r="F59" i="15"/>
  <c r="C32" i="15"/>
  <c r="C33" i="15"/>
  <c r="M17" i="67"/>
  <c r="Q52" i="67"/>
  <c r="F1" i="67"/>
  <c r="Q73" i="15"/>
  <c r="Q60" i="15"/>
  <c r="L56" i="15"/>
  <c r="M11" i="67"/>
  <c r="J10" i="67" s="1"/>
  <c r="J5" i="67" s="1"/>
  <c r="M11" i="15"/>
  <c r="J10" i="15" s="1"/>
  <c r="F11" i="67"/>
  <c r="F11" i="15"/>
  <c r="Q61" i="15"/>
  <c r="Q74" i="15"/>
  <c r="G1" i="73"/>
  <c r="B4" i="62" l="1"/>
  <c r="B71" i="72" s="1"/>
  <c r="K4" i="4"/>
  <c r="B46" i="48" s="1"/>
  <c r="B4" i="72" s="1"/>
  <c r="F1" i="15"/>
  <c r="T11" i="43"/>
  <c r="V11" i="43" s="1"/>
  <c r="M19" i="1"/>
  <c r="B40" i="1"/>
  <c r="S7" i="36"/>
  <c r="C29" i="12"/>
  <c r="D28" i="12" s="1"/>
  <c r="F45" i="69"/>
  <c r="AC7" i="36"/>
  <c r="V36" i="36" s="1"/>
  <c r="I36" i="36" s="1"/>
  <c r="I40" i="36" s="1"/>
  <c r="J40" i="36" s="1"/>
  <c r="C42" i="43"/>
  <c r="E42" i="43" s="1"/>
  <c r="C38" i="43"/>
  <c r="G38" i="43" s="1"/>
  <c r="I38" i="43" s="1"/>
  <c r="C41" i="43"/>
  <c r="G39" i="43"/>
  <c r="I39" i="43" s="1"/>
  <c r="E39" i="43"/>
  <c r="C40" i="43"/>
  <c r="C37" i="43"/>
  <c r="T9" i="43"/>
  <c r="V9" i="43" s="1"/>
  <c r="T14" i="43"/>
  <c r="V14" i="43" s="1"/>
  <c r="T3" i="43"/>
  <c r="V3" i="43" s="1"/>
  <c r="T15" i="43"/>
  <c r="V15" i="43" s="1"/>
  <c r="T8" i="43"/>
  <c r="V8" i="43" s="1"/>
  <c r="T6" i="43"/>
  <c r="V6" i="43" s="1"/>
  <c r="T7" i="43"/>
  <c r="V7" i="43" s="1"/>
  <c r="T13" i="43"/>
  <c r="V13" i="43" s="1"/>
  <c r="T12" i="43"/>
  <c r="V12" i="43" s="1"/>
  <c r="T5" i="43"/>
  <c r="V5" i="43" s="1"/>
  <c r="T10" i="43"/>
  <c r="V10" i="43" s="1"/>
  <c r="T16" i="43"/>
  <c r="V16" i="43" s="1"/>
  <c r="C19" i="15"/>
  <c r="C20" i="15" s="1"/>
  <c r="C26" i="15" s="1"/>
  <c r="L25" i="1"/>
  <c r="D15" i="6"/>
  <c r="D22" i="6"/>
  <c r="D28" i="6"/>
  <c r="L23" i="1"/>
  <c r="N23" i="1" s="1"/>
  <c r="N25" i="1" s="1"/>
  <c r="M25" i="1" s="1"/>
  <c r="L22" i="1"/>
  <c r="N22" i="1" s="1"/>
  <c r="D19" i="6"/>
  <c r="H24" i="6"/>
  <c r="C47" i="69"/>
  <c r="D45" i="69" s="1"/>
  <c r="J19" i="15"/>
  <c r="AC6" i="3"/>
  <c r="J5" i="15"/>
  <c r="J26" i="15" s="1"/>
  <c r="H6" i="3"/>
  <c r="D21" i="6"/>
  <c r="F45" i="68"/>
  <c r="C47" i="68"/>
  <c r="D45" i="68" s="1"/>
  <c r="C29" i="68"/>
  <c r="D27" i="68" s="1"/>
  <c r="M14" i="1"/>
  <c r="C34" i="69"/>
  <c r="K16" i="1"/>
  <c r="B29" i="1" s="1"/>
  <c r="C8" i="68" s="1"/>
  <c r="H25" i="6"/>
  <c r="H20" i="6"/>
  <c r="D29" i="6"/>
  <c r="D30" i="6" s="1"/>
  <c r="H23" i="6"/>
  <c r="D26" i="6"/>
  <c r="D14" i="6"/>
  <c r="H26" i="6"/>
  <c r="D9" i="6"/>
  <c r="D8" i="6"/>
  <c r="D23" i="6"/>
  <c r="D24" i="6"/>
  <c r="R24" i="6" s="1"/>
  <c r="H22" i="6"/>
  <c r="D13" i="6"/>
  <c r="D11" i="6"/>
  <c r="D20" i="6"/>
  <c r="R20" i="6" s="1"/>
  <c r="H21" i="6"/>
  <c r="D25" i="6"/>
  <c r="R25" i="6" s="1"/>
  <c r="D10" i="6"/>
  <c r="S6" i="1"/>
  <c r="K27" i="6"/>
  <c r="M19" i="6"/>
  <c r="D14" i="12"/>
  <c r="D3" i="21"/>
  <c r="B3" i="21" s="1"/>
  <c r="C17" i="4"/>
  <c r="B4" i="52" s="1"/>
  <c r="B43" i="72" s="1"/>
  <c r="D37" i="11"/>
  <c r="D3" i="34"/>
  <c r="B3" i="34" s="1"/>
  <c r="D3" i="33"/>
  <c r="B3" i="33" s="1"/>
  <c r="D19" i="11"/>
  <c r="C19" i="11" s="1"/>
  <c r="C20" i="11" s="1"/>
  <c r="C28" i="11" s="1"/>
  <c r="C27" i="11" s="1"/>
  <c r="D3" i="37"/>
  <c r="B3" i="37" s="1"/>
  <c r="M18" i="9"/>
  <c r="B118" i="9" s="1"/>
  <c r="B14" i="74" s="1"/>
  <c r="B1" i="74" s="1"/>
  <c r="L18" i="9"/>
  <c r="K85" i="9" s="1"/>
  <c r="C88" i="9" s="1"/>
  <c r="C89" i="9" s="1"/>
  <c r="C87" i="9" s="1"/>
  <c r="D12" i="6"/>
  <c r="E6" i="6"/>
  <c r="R21" i="6"/>
  <c r="C4" i="52"/>
  <c r="B45" i="72" s="1"/>
  <c r="A10" i="51"/>
  <c r="B9" i="72" s="1"/>
  <c r="G42" i="43"/>
  <c r="I42" i="43" s="1"/>
  <c r="E41" i="43"/>
  <c r="G41" i="43"/>
  <c r="I41" i="43" s="1"/>
  <c r="AC10" i="39"/>
  <c r="W10" i="39"/>
  <c r="AB10" i="40"/>
  <c r="U10" i="40"/>
  <c r="AB10" i="39"/>
  <c r="U10" i="39"/>
  <c r="S10" i="40"/>
  <c r="AA10" i="40"/>
  <c r="AA10" i="39"/>
  <c r="S10" i="39"/>
  <c r="AC10" i="40"/>
  <c r="W10" i="40"/>
  <c r="G67" i="39"/>
  <c r="F69" i="39"/>
  <c r="I52" i="21"/>
  <c r="J52" i="21" s="1"/>
  <c r="G40" i="36"/>
  <c r="H40" i="36" s="1"/>
  <c r="G41" i="36"/>
  <c r="H41" i="36" s="1"/>
  <c r="J7" i="35"/>
  <c r="S7" i="34"/>
  <c r="AA7" i="34"/>
  <c r="R49" i="34" s="1"/>
  <c r="S7" i="35"/>
  <c r="AA7" i="35"/>
  <c r="R38" i="35" s="1"/>
  <c r="E48" i="21"/>
  <c r="R49" i="21"/>
  <c r="W7" i="34"/>
  <c r="AC7" i="34"/>
  <c r="V49" i="34" s="1"/>
  <c r="I49" i="34" s="1"/>
  <c r="E65" i="40"/>
  <c r="F63" i="40"/>
  <c r="G53" i="21"/>
  <c r="H53" i="21" s="1"/>
  <c r="G52" i="21"/>
  <c r="H52" i="21" s="1"/>
  <c r="I58" i="33"/>
  <c r="J52" i="37"/>
  <c r="K52" i="37" s="1"/>
  <c r="L52" i="37" s="1"/>
  <c r="M52" i="37" s="1"/>
  <c r="N52" i="37" s="1"/>
  <c r="O52" i="37" s="1"/>
  <c r="H7" i="37" s="1"/>
  <c r="AB7" i="34"/>
  <c r="T49" i="34" s="1"/>
  <c r="G49" i="34" s="1"/>
  <c r="U7" i="34"/>
  <c r="E36" i="36"/>
  <c r="R37" i="36"/>
  <c r="H7" i="35"/>
  <c r="C19" i="67"/>
  <c r="C20" i="67" s="1"/>
  <c r="C26" i="67" s="1"/>
  <c r="C31" i="67"/>
  <c r="J17" i="67"/>
  <c r="J24" i="67"/>
  <c r="J26" i="67"/>
  <c r="J29" i="67" s="1"/>
  <c r="C53" i="15"/>
  <c r="C48" i="15" s="1"/>
  <c r="C10" i="15"/>
  <c r="C5" i="15" s="1"/>
  <c r="C61" i="67"/>
  <c r="C53" i="67"/>
  <c r="C48" i="67" s="1"/>
  <c r="C10" i="67"/>
  <c r="C5" i="67" s="1"/>
  <c r="AE6" i="1"/>
  <c r="F41" i="15" s="1"/>
  <c r="E38" i="43" l="1"/>
  <c r="F25" i="12"/>
  <c r="C26" i="12" s="1"/>
  <c r="D25" i="12" s="1"/>
  <c r="F22" i="68"/>
  <c r="F22" i="69"/>
  <c r="L36" i="43"/>
  <c r="F22" i="11"/>
  <c r="C24" i="11" s="1"/>
  <c r="F24" i="67"/>
  <c r="C24" i="67" s="1"/>
  <c r="F24" i="15"/>
  <c r="C24" i="15" s="1"/>
  <c r="F69" i="15"/>
  <c r="J29" i="15"/>
  <c r="J24" i="15"/>
  <c r="R22" i="6"/>
  <c r="E37" i="43"/>
  <c r="G37" i="43"/>
  <c r="I37" i="43" s="1"/>
  <c r="E40" i="43"/>
  <c r="G40" i="43"/>
  <c r="I40" i="43" s="1"/>
  <c r="E6" i="3"/>
  <c r="R26" i="6"/>
  <c r="D27" i="6"/>
  <c r="P25" i="1"/>
  <c r="D16" i="6"/>
  <c r="C25" i="11"/>
  <c r="A7" i="51"/>
  <c r="B7" i="72" s="1"/>
  <c r="C35" i="69"/>
  <c r="C38" i="69"/>
  <c r="R23" i="6"/>
  <c r="O14" i="1"/>
  <c r="O16" i="1" s="1"/>
  <c r="M16" i="1"/>
  <c r="L16" i="1" s="1"/>
  <c r="D20" i="12"/>
  <c r="C20" i="12" s="1"/>
  <c r="C18" i="12" s="1"/>
  <c r="D6" i="6"/>
  <c r="D10" i="11"/>
  <c r="C10" i="11" s="1"/>
  <c r="D10" i="69"/>
  <c r="D10" i="68"/>
  <c r="D17" i="12"/>
  <c r="C17" i="12" s="1"/>
  <c r="M27" i="6"/>
  <c r="I19" i="6"/>
  <c r="S16" i="1"/>
  <c r="AR6" i="1"/>
  <c r="T6" i="1"/>
  <c r="T16" i="1" s="1"/>
  <c r="AQ6" i="1"/>
  <c r="D31" i="6"/>
  <c r="G69" i="39"/>
  <c r="H67" i="39"/>
  <c r="AB7" i="35"/>
  <c r="T38" i="35" s="1"/>
  <c r="G38" i="35" s="1"/>
  <c r="U7" i="35"/>
  <c r="E40" i="36"/>
  <c r="F40" i="36" s="1"/>
  <c r="E41" i="36"/>
  <c r="F41" i="36" s="1"/>
  <c r="G53" i="34"/>
  <c r="H53" i="34" s="1"/>
  <c r="G54" i="34"/>
  <c r="H54" i="34" s="1"/>
  <c r="J7" i="37"/>
  <c r="J58" i="33"/>
  <c r="E52" i="21"/>
  <c r="F52" i="21" s="1"/>
  <c r="E53" i="21"/>
  <c r="F53" i="21" s="1"/>
  <c r="AC7" i="35"/>
  <c r="V38" i="35" s="1"/>
  <c r="I38" i="35" s="1"/>
  <c r="W7" i="35"/>
  <c r="C37" i="36"/>
  <c r="C36" i="36"/>
  <c r="AB7" i="37"/>
  <c r="T42" i="37" s="1"/>
  <c r="G42" i="37" s="1"/>
  <c r="U7" i="37"/>
  <c r="G63" i="40"/>
  <c r="F65" i="40"/>
  <c r="I53" i="34"/>
  <c r="J53" i="34" s="1"/>
  <c r="C48" i="21"/>
  <c r="C49" i="21"/>
  <c r="R39" i="35"/>
  <c r="E38" i="35"/>
  <c r="E49" i="34"/>
  <c r="R50" i="34"/>
  <c r="I41" i="36"/>
  <c r="J41" i="36" s="1"/>
  <c r="I53" i="21"/>
  <c r="J53" i="21" s="1"/>
  <c r="F7" i="37"/>
  <c r="C66" i="67"/>
  <c r="C60" i="67"/>
  <c r="C59" i="67" s="1"/>
  <c r="C38" i="67"/>
  <c r="C66" i="15"/>
  <c r="C60" i="15"/>
  <c r="C38" i="15"/>
  <c r="C23" i="67" l="1"/>
  <c r="C29" i="67" s="1"/>
  <c r="Q49" i="67" s="1"/>
  <c r="C23" i="15"/>
  <c r="C29" i="15" s="1"/>
  <c r="C57" i="15" s="1"/>
  <c r="C64" i="15" s="1"/>
  <c r="N36" i="43"/>
  <c r="P36" i="43"/>
  <c r="L37" i="43"/>
  <c r="Q36" i="43"/>
  <c r="O36" i="43"/>
  <c r="M36" i="43"/>
  <c r="C44" i="69"/>
  <c r="D41" i="69" s="1"/>
  <c r="F41" i="69"/>
  <c r="C26" i="69"/>
  <c r="D22" i="69" s="1"/>
  <c r="C24" i="68"/>
  <c r="C26" i="68"/>
  <c r="D22" i="68" s="1"/>
  <c r="C44" i="68"/>
  <c r="D41" i="68" s="1"/>
  <c r="F41" i="68"/>
  <c r="C44" i="11"/>
  <c r="D41" i="11" s="1"/>
  <c r="C26" i="11"/>
  <c r="D22" i="11" s="1"/>
  <c r="C23" i="11"/>
  <c r="C22" i="11" s="1"/>
  <c r="P14" i="1"/>
  <c r="P16" i="1" s="1"/>
  <c r="C11" i="12" s="1"/>
  <c r="C15" i="12" s="1"/>
  <c r="N16" i="1"/>
  <c r="I27" i="6"/>
  <c r="S19" i="6"/>
  <c r="S27" i="6" s="1"/>
  <c r="H19" i="6"/>
  <c r="D19" i="68"/>
  <c r="D37" i="68" s="1"/>
  <c r="C10" i="68"/>
  <c r="D19" i="69"/>
  <c r="C10" i="69"/>
  <c r="C8" i="69" s="1"/>
  <c r="C5" i="69" s="1"/>
  <c r="C23" i="69" s="1"/>
  <c r="I5" i="6"/>
  <c r="I6" i="6"/>
  <c r="G3" i="43" s="1"/>
  <c r="I67" i="39"/>
  <c r="H69" i="39"/>
  <c r="E54" i="34"/>
  <c r="F54" i="34" s="1"/>
  <c r="E53" i="34"/>
  <c r="F53" i="34" s="1"/>
  <c r="C49" i="34"/>
  <c r="C50" i="34"/>
  <c r="E43" i="35"/>
  <c r="F43" i="35" s="1"/>
  <c r="E42" i="35"/>
  <c r="F42" i="35" s="1"/>
  <c r="I54" i="34"/>
  <c r="J54" i="34" s="1"/>
  <c r="W7" i="37"/>
  <c r="AC7" i="37"/>
  <c r="V42" i="37" s="1"/>
  <c r="I42" i="37" s="1"/>
  <c r="G47" i="37" s="1"/>
  <c r="H47" i="37" s="1"/>
  <c r="G42" i="35"/>
  <c r="H42" i="35" s="1"/>
  <c r="G43" i="35"/>
  <c r="H43" i="35" s="1"/>
  <c r="AA7" i="37"/>
  <c r="R42" i="37" s="1"/>
  <c r="S7" i="37"/>
  <c r="C38" i="35"/>
  <c r="C39" i="35"/>
  <c r="M3" i="35" s="1"/>
  <c r="G65" i="40"/>
  <c r="H63" i="40"/>
  <c r="G46" i="37"/>
  <c r="H46" i="37" s="1"/>
  <c r="I42" i="35"/>
  <c r="J42" i="35" s="1"/>
  <c r="I43" i="35"/>
  <c r="J43" i="35" s="1"/>
  <c r="K58" i="33"/>
  <c r="L58" i="33" s="1"/>
  <c r="M58" i="33" s="1"/>
  <c r="N58" i="33" s="1"/>
  <c r="O58" i="33" s="1"/>
  <c r="J14" i="67"/>
  <c r="J22" i="67" s="1"/>
  <c r="C36" i="15"/>
  <c r="C36" i="67"/>
  <c r="C13" i="67"/>
  <c r="C56" i="67" s="1"/>
  <c r="C65" i="67" s="1"/>
  <c r="C13" i="15" l="1"/>
  <c r="Q70" i="15" s="1"/>
  <c r="J59" i="67"/>
  <c r="J60" i="67" s="1"/>
  <c r="L46" i="67" s="1"/>
  <c r="Q49" i="15"/>
  <c r="J59" i="15"/>
  <c r="J60" i="15" s="1"/>
  <c r="Q48" i="15" s="1"/>
  <c r="C57" i="67"/>
  <c r="C64" i="67" s="1"/>
  <c r="C58" i="67" s="1"/>
  <c r="C67" i="67" s="1"/>
  <c r="C68" i="67" s="1"/>
  <c r="C71" i="67" s="1"/>
  <c r="J14" i="15"/>
  <c r="J13" i="15" s="1"/>
  <c r="J23" i="15" s="1"/>
  <c r="C31" i="11"/>
  <c r="F11" i="12"/>
  <c r="C14" i="12" s="1"/>
  <c r="F50" i="69"/>
  <c r="F50" i="11"/>
  <c r="F50" i="68"/>
  <c r="P37" i="43"/>
  <c r="M37" i="43"/>
  <c r="Q37" i="43"/>
  <c r="O37" i="43"/>
  <c r="N37" i="43"/>
  <c r="C12" i="12"/>
  <c r="F34" i="11"/>
  <c r="C36" i="11" s="1"/>
  <c r="F34" i="68"/>
  <c r="C37" i="68" s="1"/>
  <c r="C37" i="11"/>
  <c r="C19" i="69"/>
  <c r="D37" i="69"/>
  <c r="C37" i="69" s="1"/>
  <c r="C33" i="69" s="1"/>
  <c r="H27" i="6"/>
  <c r="R19" i="6"/>
  <c r="N94" i="46"/>
  <c r="N370" i="46"/>
  <c r="B116" i="43"/>
  <c r="H26" i="43"/>
  <c r="J26" i="43"/>
  <c r="E26" i="43"/>
  <c r="Z7" i="43"/>
  <c r="G26" i="43"/>
  <c r="F26" i="43"/>
  <c r="J7" i="33"/>
  <c r="AC7" i="33" s="1"/>
  <c r="V48" i="33" s="1"/>
  <c r="I48" i="33" s="1"/>
  <c r="H7" i="33"/>
  <c r="U7" i="33" s="1"/>
  <c r="J67" i="39"/>
  <c r="I69" i="39"/>
  <c r="R43" i="37"/>
  <c r="E42" i="37"/>
  <c r="I47" i="37" s="1"/>
  <c r="J47" i="37" s="1"/>
  <c r="H65" i="40"/>
  <c r="I63" i="40"/>
  <c r="I46" i="37"/>
  <c r="J46" i="37" s="1"/>
  <c r="F7" i="33"/>
  <c r="C37" i="15"/>
  <c r="J13" i="67"/>
  <c r="J23" i="67" s="1"/>
  <c r="J16" i="67" s="1"/>
  <c r="J25" i="67" s="1"/>
  <c r="C75" i="67"/>
  <c r="C37" i="67"/>
  <c r="C30" i="67" s="1"/>
  <c r="C39" i="67" s="1"/>
  <c r="C56" i="15"/>
  <c r="C65" i="15" s="1"/>
  <c r="Q70" i="67"/>
  <c r="L51" i="67"/>
  <c r="C23" i="12" l="1"/>
  <c r="C34" i="11"/>
  <c r="C38" i="11" s="1"/>
  <c r="C16" i="12"/>
  <c r="C21" i="12" s="1"/>
  <c r="C22" i="12" s="1"/>
  <c r="C30" i="12" s="1"/>
  <c r="C28" i="12" s="1"/>
  <c r="C75" i="15"/>
  <c r="W7" i="33"/>
  <c r="Q48" i="67"/>
  <c r="J22" i="15"/>
  <c r="AB7" i="33"/>
  <c r="T48" i="33" s="1"/>
  <c r="G48" i="33" s="1"/>
  <c r="C34" i="68"/>
  <c r="C38" i="68" s="1"/>
  <c r="C36" i="68"/>
  <c r="R6" i="1"/>
  <c r="R27" i="6"/>
  <c r="C39" i="69"/>
  <c r="C43" i="69" s="1"/>
  <c r="C42" i="69"/>
  <c r="C24" i="69"/>
  <c r="C20" i="69"/>
  <c r="B119" i="43"/>
  <c r="C119" i="43" s="1"/>
  <c r="B121" i="43"/>
  <c r="C121" i="43" s="1"/>
  <c r="I122" i="43"/>
  <c r="J122" i="43" s="1"/>
  <c r="K122" i="43" s="1"/>
  <c r="L122" i="43" s="1"/>
  <c r="M122" i="43" s="1"/>
  <c r="D122" i="43"/>
  <c r="E122" i="43" s="1"/>
  <c r="F122" i="43" s="1"/>
  <c r="G122" i="43" s="1"/>
  <c r="H122" i="43" s="1"/>
  <c r="D118" i="43"/>
  <c r="E118" i="43" s="1"/>
  <c r="F118" i="43" s="1"/>
  <c r="G118" i="43" s="1"/>
  <c r="H118" i="43" s="1"/>
  <c r="I119" i="43"/>
  <c r="J119" i="43" s="1"/>
  <c r="K119" i="43" s="1"/>
  <c r="L119" i="43" s="1"/>
  <c r="M119" i="43" s="1"/>
  <c r="I118" i="43"/>
  <c r="J118" i="43" s="1"/>
  <c r="K118" i="43" s="1"/>
  <c r="L118" i="43" s="1"/>
  <c r="M118" i="43" s="1"/>
  <c r="D121" i="43"/>
  <c r="E121" i="43" s="1"/>
  <c r="F121" i="43" s="1"/>
  <c r="G121" i="43"/>
  <c r="H121" i="43" s="1"/>
  <c r="I121" i="43"/>
  <c r="J121" i="43" s="1"/>
  <c r="K121" i="43" s="1"/>
  <c r="L121" i="43" s="1"/>
  <c r="M121" i="43" s="1"/>
  <c r="D119" i="43"/>
  <c r="E119" i="43" s="1"/>
  <c r="F119" i="43" s="1"/>
  <c r="G119" i="43" s="1"/>
  <c r="H119" i="43" s="1"/>
  <c r="B120" i="43"/>
  <c r="C120" i="43" s="1"/>
  <c r="B122" i="43"/>
  <c r="C122" i="43" s="1"/>
  <c r="I120" i="43"/>
  <c r="J120" i="43" s="1"/>
  <c r="K120" i="43" s="1"/>
  <c r="L120" i="43" s="1"/>
  <c r="M120" i="43" s="1"/>
  <c r="D120" i="43"/>
  <c r="E120" i="43" s="1"/>
  <c r="F120" i="43" s="1"/>
  <c r="G120" i="43" s="1"/>
  <c r="H120" i="43" s="1"/>
  <c r="B118" i="43"/>
  <c r="D26" i="43"/>
  <c r="C25" i="43" s="1"/>
  <c r="K67" i="39"/>
  <c r="J69" i="39"/>
  <c r="I52" i="33"/>
  <c r="J52" i="33" s="1"/>
  <c r="E47" i="37"/>
  <c r="F47" i="37" s="1"/>
  <c r="E46" i="37"/>
  <c r="F46" i="37" s="1"/>
  <c r="I65" i="40"/>
  <c r="J63" i="40"/>
  <c r="C43" i="37"/>
  <c r="C42" i="37"/>
  <c r="S7" i="33"/>
  <c r="AA7" i="33"/>
  <c r="R48" i="33" s="1"/>
  <c r="G52" i="33"/>
  <c r="H52" i="33" s="1"/>
  <c r="G53" i="33"/>
  <c r="H53" i="33" s="1"/>
  <c r="C40" i="67"/>
  <c r="Q47" i="67" s="1"/>
  <c r="Q69" i="67"/>
  <c r="Q68" i="67" s="1"/>
  <c r="C80" i="67"/>
  <c r="C79" i="67" s="1"/>
  <c r="Q67" i="67"/>
  <c r="L57" i="67"/>
  <c r="L60" i="67" s="1"/>
  <c r="F35" i="15"/>
  <c r="M21" i="15"/>
  <c r="C35" i="11" l="1"/>
  <c r="Q53" i="67"/>
  <c r="C35" i="68"/>
  <c r="C34" i="15"/>
  <c r="C31" i="15" s="1"/>
  <c r="C30" i="15" s="1"/>
  <c r="C39" i="15" s="1"/>
  <c r="F63" i="15"/>
  <c r="C62" i="15" s="1"/>
  <c r="C59" i="15" s="1"/>
  <c r="C58" i="15" s="1"/>
  <c r="C67" i="15" s="1"/>
  <c r="C68" i="15" s="1"/>
  <c r="C71" i="15" s="1"/>
  <c r="J20" i="15"/>
  <c r="J17" i="15" s="1"/>
  <c r="J16" i="15" s="1"/>
  <c r="J25" i="15" s="1"/>
  <c r="R16" i="1"/>
  <c r="C33" i="68"/>
  <c r="C91" i="9" s="1"/>
  <c r="C33" i="11"/>
  <c r="C27" i="12"/>
  <c r="C25" i="12" s="1"/>
  <c r="C32" i="12" s="1"/>
  <c r="B2" i="12" s="1"/>
  <c r="C41" i="69"/>
  <c r="C46" i="69"/>
  <c r="C45" i="69" s="1"/>
  <c r="C28" i="69"/>
  <c r="C27" i="69" s="1"/>
  <c r="C25" i="69"/>
  <c r="C22" i="69" s="1"/>
  <c r="C33" i="43"/>
  <c r="C118" i="43"/>
  <c r="D116" i="43" s="1"/>
  <c r="K69" i="39"/>
  <c r="L67" i="39"/>
  <c r="D2" i="67"/>
  <c r="B3" i="67" s="1"/>
  <c r="E48" i="33"/>
  <c r="R49" i="33"/>
  <c r="K63" i="40"/>
  <c r="J65" i="40"/>
  <c r="Q56" i="67"/>
  <c r="C45" i="67"/>
  <c r="C46" i="67" s="1"/>
  <c r="C43" i="67"/>
  <c r="C83" i="67"/>
  <c r="C82" i="67" s="1"/>
  <c r="Q65" i="67"/>
  <c r="Q57" i="67"/>
  <c r="Q66" i="67"/>
  <c r="L51" i="15"/>
  <c r="C39" i="68" l="1"/>
  <c r="C43" i="68" s="1"/>
  <c r="C42" i="68"/>
  <c r="L57" i="15"/>
  <c r="L60" i="15" s="1"/>
  <c r="Q66" i="15" s="1"/>
  <c r="Q67" i="15"/>
  <c r="Q69" i="15"/>
  <c r="Q68" i="15" s="1"/>
  <c r="C80" i="15"/>
  <c r="C79" i="15" s="1"/>
  <c r="C40" i="15"/>
  <c r="C46" i="68"/>
  <c r="C45" i="68" s="1"/>
  <c r="C49" i="69"/>
  <c r="C51" i="69" s="1"/>
  <c r="C94" i="9"/>
  <c r="C92" i="9"/>
  <c r="B3" i="12"/>
  <c r="C31" i="69"/>
  <c r="C39" i="11"/>
  <c r="C43" i="11" s="1"/>
  <c r="C42" i="11"/>
  <c r="B2" i="67"/>
  <c r="C34" i="43"/>
  <c r="E34" i="43" s="1"/>
  <c r="C31" i="43" s="1"/>
  <c r="E33" i="43"/>
  <c r="M67" i="39"/>
  <c r="L69" i="39"/>
  <c r="Q62" i="67"/>
  <c r="E53" i="33"/>
  <c r="F53" i="33" s="1"/>
  <c r="E52" i="33"/>
  <c r="F52" i="33" s="1"/>
  <c r="I53" i="33"/>
  <c r="J53" i="33" s="1"/>
  <c r="C49" i="33"/>
  <c r="C48" i="33"/>
  <c r="L63" i="40"/>
  <c r="K65" i="40"/>
  <c r="Q75" i="67"/>
  <c r="C41" i="68" l="1"/>
  <c r="C49" i="68"/>
  <c r="C51" i="68" s="1"/>
  <c r="C46" i="15"/>
  <c r="Q47" i="15"/>
  <c r="Q53" i="15" s="1"/>
  <c r="C43" i="15"/>
  <c r="Q65" i="15"/>
  <c r="Q75" i="15" s="1"/>
  <c r="Q56" i="15"/>
  <c r="C83" i="15"/>
  <c r="C82" i="15" s="1"/>
  <c r="Q57" i="15"/>
  <c r="L46" i="15"/>
  <c r="B2" i="15" s="1"/>
  <c r="C52" i="69"/>
  <c r="B2" i="69" s="1"/>
  <c r="B3" i="69" s="1"/>
  <c r="C30" i="43"/>
  <c r="B2" i="43" s="1"/>
  <c r="C6" i="68"/>
  <c r="C41" i="11"/>
  <c r="C46" i="11"/>
  <c r="C45" i="11" s="1"/>
  <c r="N67" i="39"/>
  <c r="M69" i="39"/>
  <c r="M63" i="40"/>
  <c r="L65" i="40"/>
  <c r="D19" i="9"/>
  <c r="AO6" i="1"/>
  <c r="B6" i="76"/>
  <c r="E6" i="76"/>
  <c r="D102" i="9" l="1"/>
  <c r="D21" i="9"/>
  <c r="Q62" i="15"/>
  <c r="B6" i="70"/>
  <c r="B2" i="70" s="1"/>
  <c r="B3" i="70" s="1"/>
  <c r="B3" i="15"/>
  <c r="C57" i="69"/>
  <c r="C56" i="69" s="1"/>
  <c r="E2" i="76"/>
  <c r="C49" i="11"/>
  <c r="C51" i="11" s="1"/>
  <c r="B2" i="76"/>
  <c r="B3" i="43"/>
  <c r="H7" i="39"/>
  <c r="O67" i="39"/>
  <c r="O69" i="39" s="1"/>
  <c r="N69" i="39"/>
  <c r="J7" i="39" s="1"/>
  <c r="M65" i="40"/>
  <c r="N63" i="40"/>
  <c r="D20" i="9"/>
  <c r="F7" i="39" l="1"/>
  <c r="AA7" i="39" s="1"/>
  <c r="R47" i="39" s="1"/>
  <c r="D103" i="9"/>
  <c r="B3" i="76"/>
  <c r="C52" i="11"/>
  <c r="B2" i="11" s="1"/>
  <c r="B3" i="11" s="1"/>
  <c r="AC7" i="39"/>
  <c r="V47" i="39" s="1"/>
  <c r="I47" i="39" s="1"/>
  <c r="W7" i="39"/>
  <c r="U7" i="39"/>
  <c r="AB7" i="39"/>
  <c r="T47" i="39" s="1"/>
  <c r="G47" i="39" s="1"/>
  <c r="O63" i="40"/>
  <c r="O65" i="40" s="1"/>
  <c r="N65" i="40"/>
  <c r="S7" i="39" l="1"/>
  <c r="C56" i="11"/>
  <c r="C57" i="11" s="1"/>
  <c r="G51" i="39"/>
  <c r="H51" i="39" s="1"/>
  <c r="G52" i="39"/>
  <c r="H52" i="39" s="1"/>
  <c r="R48" i="39"/>
  <c r="E47" i="39"/>
  <c r="I51" i="39"/>
  <c r="J51" i="39" s="1"/>
  <c r="J7" i="40"/>
  <c r="H7" i="40"/>
  <c r="F7" i="40"/>
  <c r="E51" i="39" l="1"/>
  <c r="F51" i="39" s="1"/>
  <c r="E52" i="39"/>
  <c r="F52" i="39" s="1"/>
  <c r="C48" i="39"/>
  <c r="C47" i="39"/>
  <c r="I52" i="39"/>
  <c r="J52" i="39" s="1"/>
  <c r="AA7" i="40"/>
  <c r="R42" i="40" s="1"/>
  <c r="S7" i="40"/>
  <c r="W7" i="40"/>
  <c r="AC7" i="40"/>
  <c r="V42" i="40" s="1"/>
  <c r="I42" i="40" s="1"/>
  <c r="U7" i="40"/>
  <c r="AB7" i="40"/>
  <c r="T42" i="40" s="1"/>
  <c r="G42" i="40" s="1"/>
  <c r="B59" i="39" l="1"/>
  <c r="F59" i="39" s="1"/>
  <c r="B63" i="39"/>
  <c r="F63" i="39" s="1"/>
  <c r="B56" i="39"/>
  <c r="F56" i="39" s="1"/>
  <c r="B60" i="39"/>
  <c r="F60" i="39" s="1"/>
  <c r="B64" i="39"/>
  <c r="F64" i="39" s="1"/>
  <c r="B57" i="39"/>
  <c r="F57" i="39" s="1"/>
  <c r="B61" i="39"/>
  <c r="F61" i="39" s="1"/>
  <c r="B58" i="39"/>
  <c r="F58" i="39" s="1"/>
  <c r="B62" i="39"/>
  <c r="F62" i="39" s="1"/>
  <c r="G47" i="40"/>
  <c r="H47" i="40" s="1"/>
  <c r="G46" i="40"/>
  <c r="H46" i="40" s="1"/>
  <c r="R43" i="40"/>
  <c r="E42" i="40"/>
  <c r="I46" i="40"/>
  <c r="J46" i="40" s="1"/>
  <c r="I47" i="40"/>
  <c r="J47" i="40" s="1"/>
  <c r="F65" i="39" l="1"/>
  <c r="C42" i="40"/>
  <c r="C43" i="40"/>
  <c r="E47" i="40"/>
  <c r="F47" i="40" s="1"/>
  <c r="E46" i="40"/>
  <c r="F46" i="40" s="1"/>
  <c r="B2" i="39" l="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8" i="68"/>
  <c r="C27" i="68" s="1"/>
  <c r="C22" i="68" l="1"/>
  <c r="C31" i="68" s="1"/>
  <c r="C52" i="68" s="1"/>
  <c r="B2" i="68" l="1"/>
  <c r="C57" i="68"/>
  <c r="C56" i="68" s="1"/>
  <c r="C19" i="9"/>
  <c r="C102" i="9" l="1"/>
  <c r="C21" i="9"/>
  <c r="D22" i="9"/>
  <c r="G19" i="9"/>
  <c r="B3" i="68"/>
  <c r="D34" i="9"/>
  <c r="C20" i="9"/>
  <c r="D35" i="9"/>
  <c r="C103" i="9" l="1"/>
  <c r="G20" i="9"/>
  <c r="C32" i="9"/>
  <c r="G21" i="9"/>
  <c r="C35" i="9" l="1"/>
  <c r="F118" i="9" s="1"/>
  <c r="H118" i="9"/>
  <c r="C34" i="9"/>
  <c r="D118" i="9" s="1"/>
  <c r="D4" i="52" l="1"/>
  <c r="B47" i="72" s="1"/>
  <c r="D119" i="9"/>
  <c r="D5" i="52" s="1"/>
  <c r="B49" i="72" s="1"/>
  <c r="D14" i="74"/>
  <c r="I118" i="9"/>
  <c r="H4" i="52"/>
  <c r="C104" i="9"/>
  <c r="H119" i="9"/>
  <c r="H5" i="52" s="1"/>
  <c r="H101" i="9"/>
  <c r="G118" i="9"/>
  <c r="G4" i="52" s="1"/>
  <c r="B52" i="72" s="1"/>
  <c r="F4" i="52"/>
  <c r="B51" i="72" s="1"/>
  <c r="F119" i="9"/>
  <c r="F5" i="52" s="1"/>
  <c r="B53" i="72" s="1"/>
  <c r="D45" i="9" l="1"/>
  <c r="D5" i="53"/>
  <c r="M48" i="9"/>
  <c r="H107" i="9"/>
  <c r="C105" i="9"/>
  <c r="H102" i="9"/>
  <c r="D7" i="53" s="1"/>
  <c r="B21" i="72" s="1"/>
  <c r="I4" i="52"/>
  <c r="E118" i="9"/>
  <c r="E4" i="52" s="1"/>
  <c r="B48" i="72" s="1"/>
  <c r="E14" i="74"/>
  <c r="G14" i="74"/>
  <c r="F14" i="74"/>
  <c r="B5" i="74"/>
  <c r="D5" i="74" l="1"/>
  <c r="C5" i="74"/>
  <c r="D6" i="53"/>
  <c r="B22" i="72" s="1"/>
  <c r="B20" i="72"/>
  <c r="D13" i="53"/>
  <c r="M49" i="9"/>
  <c r="D122" i="9"/>
  <c r="H108" i="9"/>
  <c r="D15" i="53" s="1"/>
  <c r="B31" i="72" s="1"/>
  <c r="B6" i="74"/>
  <c r="B7" i="74"/>
  <c r="C93" i="9"/>
  <c r="C86" i="9" s="1"/>
  <c r="C85" i="9"/>
  <c r="D52" i="9"/>
  <c r="D55" i="9"/>
  <c r="M53" i="9" s="1"/>
  <c r="C64" i="9"/>
  <c r="C63" i="9" s="1"/>
  <c r="C67" i="9" s="1"/>
  <c r="C68" i="9" s="1"/>
  <c r="D54" i="9" s="1"/>
  <c r="C78" i="9"/>
  <c r="C73" i="9" s="1"/>
  <c r="C72" i="9"/>
  <c r="D53" i="9"/>
  <c r="D48" i="9" s="1"/>
  <c r="M52" i="9" s="1"/>
  <c r="C95" i="9" l="1"/>
  <c r="C97" i="9" s="1"/>
  <c r="D58" i="9" s="1"/>
  <c r="D56" i="9" s="1"/>
  <c r="M54" i="9" s="1"/>
  <c r="N57" i="9" s="1"/>
  <c r="L64" i="9"/>
  <c r="M64" i="9" s="1"/>
  <c r="L68" i="9"/>
  <c r="M68" i="9" s="1"/>
  <c r="L67" i="9"/>
  <c r="M67" i="9" s="1"/>
  <c r="L66" i="9"/>
  <c r="M66" i="9" s="1"/>
  <c r="L65" i="9"/>
  <c r="M65" i="9" s="1"/>
  <c r="L63" i="9"/>
  <c r="M63" i="9" s="1"/>
  <c r="D123" i="9"/>
  <c r="D9" i="52" s="1"/>
  <c r="D8" i="52"/>
  <c r="C7" i="74"/>
  <c r="D7" i="74"/>
  <c r="C79" i="9"/>
  <c r="C6" i="74"/>
  <c r="D6" i="74"/>
  <c r="D14" i="53"/>
  <c r="B32" i="72" s="1"/>
  <c r="B30" i="72"/>
  <c r="C96" i="9" l="1"/>
  <c r="E96" i="9" s="1"/>
  <c r="E97" i="9" s="1"/>
  <c r="M69" i="9"/>
  <c r="N69" i="9" s="1"/>
  <c r="C80" i="9"/>
  <c r="E80" i="9" s="1"/>
  <c r="E81" i="9" s="1"/>
  <c r="N59" i="9"/>
  <c r="P57" i="9"/>
  <c r="N58" i="9"/>
  <c r="C81" i="9" l="1"/>
  <c r="H111" i="9"/>
  <c r="N60" i="9"/>
  <c r="N61" i="9"/>
  <c r="H112" i="9" s="1"/>
  <c r="D21" i="53" s="1"/>
  <c r="B39" i="72" s="1"/>
  <c r="B8" i="74" l="1"/>
  <c r="D19" i="53"/>
  <c r="D126" i="9"/>
  <c r="D12" i="52" l="1"/>
  <c r="D127" i="9"/>
  <c r="D13" i="52" s="1"/>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<sst xmlns="http://schemas.openxmlformats.org/spreadsheetml/2006/main" count="8652" uniqueCount="3720">
  <si>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</si>
  <si>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</si>
  <si>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</si>
  <si>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</si>
  <si>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</si>
  <si>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</si>
  <si>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</si>
  <si>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</si>
  <si>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</si>
  <si>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</si>
  <si>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</si>
  <si>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</si>
  <si>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</si>
  <si>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</si>
  <si>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</si>
  <si>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</si>
  <si>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</si>
  <si>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</si>
  <si>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</si>
  <si>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</si>
  <si>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</si>
  <si>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</si>
  <si>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</si>
  <si>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</si>
  <si>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</si>
  <si>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</si>
  <si>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</si>
  <si>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</si>
  <si>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</si>
  <si>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</si>
  <si>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</si>
  <si>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</si>
  <si>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</si>
  <si>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</si>
  <si>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</si>
  <si>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</si>
  <si>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</si>
  <si>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</si>
  <si>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</si>
  <si>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</si>
  <si>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</si>
  <si>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</si>
  <si>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</si>
  <si>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</si>
  <si>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</si>
  <si>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</si>
  <si>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</si>
  <si>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</si>
  <si>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</si>
  <si>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</si>
  <si>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</si>
  <si>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</si>
  <si>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</si>
  <si>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</si>
  <si>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</si>
  <si>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</si>
  <si>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</si>
  <si>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</si>
  <si>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</si>
  <si>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</si>
  <si>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</si>
  <si>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</si>
  <si>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</si>
  <si>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</si>
  <si>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</si>
  <si>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</si>
  <si>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</si>
  <si>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</si>
  <si>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</si>
  <si>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</si>
  <si>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</si>
  <si>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</si>
  <si>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</si>
  <si>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</si>
  <si>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</si>
  <si>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</si>
  <si>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</si>
  <si>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</si>
  <si>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</si>
  <si>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</si>
  <si>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</si>
  <si>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</si>
  <si>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</si>
  <si>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</si>
  <si>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</si>
  <si>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</si>
  <si>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</si>
  <si>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</si>
  <si>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</si>
  <si>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</si>
  <si>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</si>
  <si>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</si>
  <si>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</si>
  <si>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</si>
  <si>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</si>
  <si>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</si>
  <si>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</si>
  <si>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</si>
  <si>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</si>
  <si>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</si>
  <si>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</si>
  <si>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</si>
  <si>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</si>
  <si>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</si>
  <si>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</si>
  <si>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</si>
  <si>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</si>
  <si>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</si>
  <si>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</si>
  <si>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</si>
  <si>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</si>
  <si>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</si>
  <si>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</si>
  <si>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</si>
  <si>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</si>
  <si>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</si>
  <si>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</si>
  <si>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</si>
  <si>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</si>
  <si>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</si>
  <si>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</si>
  <si>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</si>
  <si>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</si>
  <si>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</si>
  <si>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</si>
  <si>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</si>
  <si>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</si>
  <si>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</si>
  <si>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</si>
  <si>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</si>
  <si>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</si>
  <si>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</si>
  <si>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</si>
  <si>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</si>
  <si>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</si>
  <si>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</si>
  <si>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</si>
  <si>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</si>
  <si>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</si>
  <si>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</si>
  <si>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</si>
  <si>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</si>
  <si>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</si>
  <si>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</si>
  <si>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</si>
  <si>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</si>
  <si>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</si>
  <si>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</si>
  <si>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</si>
  <si>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</si>
  <si>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</si>
  <si>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</si>
  <si>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</si>
  <si>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</si>
  <si>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</si>
  <si>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</si>
  <si>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</si>
  <si>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</si>
  <si>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</si>
  <si>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</si>
  <si>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</si>
  <si>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</si>
  <si>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</si>
  <si>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</si>
  <si>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</si>
  <si>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</si>
  <si>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</si>
  <si>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</si>
  <si>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</si>
  <si>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</si>
  <si>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</si>
  <si>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</si>
  <si>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</si>
  <si>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</si>
  <si>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</si>
  <si>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</si>
  <si>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</si>
  <si>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</si>
  <si>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</si>
  <si>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</si>
  <si>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</si>
  <si>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</si>
  <si>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</si>
  <si>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</si>
  <si>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</si>
  <si>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</si>
  <si>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</si>
  <si>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</si>
  <si>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</si>
  <si>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</si>
  <si>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</si>
  <si>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</si>
  <si>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</si>
  <si>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</si>
  <si>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</si>
  <si>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</si>
  <si>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</si>
  <si>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</si>
  <si>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</si>
  <si>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</si>
  <si>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</si>
  <si>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</si>
  <si>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</si>
  <si>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</si>
  <si>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</si>
  <si>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</si>
  <si>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</si>
  <si>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</si>
  <si>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</si>
  <si>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</si>
  <si>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</si>
  <si>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</si>
  <si>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</si>
  <si>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</si>
  <si>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</si>
  <si>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</si>
  <si>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</si>
  <si>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</si>
  <si>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</si>
  <si>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</si>
  <si>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</si>
  <si>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</si>
  <si>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</si>
  <si>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</si>
  <si>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</si>
  <si>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</si>
  <si>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</si>
  <si>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</si>
  <si>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</si>
  <si>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</si>
  <si>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</si>
  <si>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</si>
  <si>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</si>
  <si>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</si>
  <si>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</si>
  <si>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</si>
  <si>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</si>
  <si>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</si>
  <si>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</si>
  <si>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</si>
  <si>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</si>
  <si>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</si>
  <si>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</si>
  <si>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</si>
  <si>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</si>
  <si>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</si>
  <si>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</si>
  <si>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</si>
  <si>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</si>
  <si>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</si>
  <si>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</si>
  <si>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</si>
  <si>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</si>
  <si>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</si>
  <si>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</si>
  <si>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</si>
  <si>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</si>
  <si>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</si>
  <si>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</si>
  <si>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</si>
  <si>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</si>
  <si>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</si>
  <si>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</si>
  <si>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</si>
  <si>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</si>
  <si>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</si>
  <si>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</si>
  <si>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</si>
  <si>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</si>
  <si>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</si>
  <si>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</si>
  <si>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</si>
  <si>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</si>
  <si>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</si>
  <si>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</si>
  <si>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</si>
  <si>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</si>
  <si>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</si>
  <si>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</si>
  <si>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</si>
  <si>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</si>
  <si>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</si>
  <si>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</si>
  <si>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</si>
  <si>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</si>
  <si>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</si>
  <si>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</si>
  <si>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</si>
  <si>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</si>
  <si>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</si>
  <si>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</si>
  <si>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</si>
  <si>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</si>
  <si>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</si>
  <si>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</si>
  <si>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</si>
  <si>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</si>
  <si>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</si>
  <si>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</si>
  <si>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</si>
  <si>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</si>
  <si>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</si>
  <si>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</si>
  <si>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</si>
  <si>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</si>
  <si>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</si>
  <si>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</si>
  <si>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</si>
  <si>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</si>
  <si>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</si>
  <si>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</si>
  <si>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</si>
  <si>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</si>
  <si>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</si>
  <si>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</si>
  <si>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</si>
  <si>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</si>
  <si>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</si>
  <si>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</si>
  <si>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</si>
  <si>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</si>
  <si>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</si>
  <si>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</si>
  <si>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</si>
  <si>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</si>
  <si>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</si>
  <si>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</si>
  <si>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</si>
  <si>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</si>
  <si>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</si>
  <si>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</si>
  <si>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</si>
  <si>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</si>
  <si>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</si>
  <si>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</si>
  <si>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</si>
  <si>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</si>
  <si>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</si>
  <si>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</si>
  <si>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</si>
  <si>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</si>
  <si>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</si>
  <si>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</si>
  <si>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</si>
  <si>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</si>
  <si>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</si>
  <si>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</si>
  <si>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</si>
  <si>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</si>
  <si>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</si>
  <si>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</si>
  <si>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</si>
  <si>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</si>
  <si>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</si>
  <si>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</si>
  <si>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</si>
  <si>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</si>
  <si>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</si>
  <si>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</si>
  <si>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</si>
  <si>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</si>
  <si>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</si>
  <si>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</si>
  <si>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</si>
  <si>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</si>
  <si>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</si>
  <si>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</si>
  <si>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</si>
  <si>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</si>
  <si>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</si>
  <si>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</si>
  <si>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</si>
  <si>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</si>
  <si>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</si>
  <si>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</si>
  <si>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</si>
  <si>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</si>
  <si>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</si>
  <si>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</si>
  <si>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</si>
  <si>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</si>
  <si>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</si>
  <si>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</si>
  <si>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</si>
  <si>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</si>
  <si>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</si>
  <si>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</si>
  <si>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</si>
  <si>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</si>
  <si>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</si>
  <si>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</si>
  <si>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</si>
  <si>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</si>
  <si>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</si>
  <si>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</si>
  <si>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</si>
  <si>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</si>
  <si>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</si>
  <si>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</si>
  <si>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</si>
  <si>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</si>
  <si>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</si>
  <si>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</si>
  <si>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</si>
  <si>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</si>
  <si>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</si>
  <si>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</si>
  <si>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</si>
  <si>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</si>
  <si>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</si>
  <si>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</si>
  <si>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</si>
  <si>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</si>
  <si>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</si>
  <si>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</si>
  <si>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</si>
  <si>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</si>
  <si>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</si>
  <si>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</si>
  <si>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</si>
  <si>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</si>
  <si>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</si>
  <si>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</si>
  <si>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</si>
  <si>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</si>
  <si>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</si>
  <si>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</si>
  <si>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</si>
  <si>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</si>
  <si>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</si>
  <si>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</si>
  <si>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</si>
  <si>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</si>
  <si>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</si>
  <si>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</si>
  <si>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</si>
  <si>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</si>
  <si>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</si>
  <si>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</si>
  <si>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</si>
  <si>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</si>
  <si>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</si>
  <si>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</si>
  <si>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</si>
  <si>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</si>
  <si>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</si>
  <si>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</si>
  <si>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</si>
  <si>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</si>
  <si>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</si>
  <si>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</si>
  <si>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</si>
  <si>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</si>
  <si>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</si>
  <si>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</si>
  <si>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</si>
  <si>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</si>
  <si>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</si>
  <si>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</si>
  <si>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</si>
  <si>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</si>
  <si>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</si>
  <si>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</si>
  <si>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</si>
  <si>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</si>
  <si>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</si>
  <si>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</si>
  <si>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</si>
  <si>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</si>
  <si>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</si>
  <si>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</si>
  <si>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</si>
  <si>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</si>
  <si>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</si>
  <si>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</si>
  <si>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</si>
  <si>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</si>
  <si>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</si>
  <si>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</si>
  <si>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</si>
  <si>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</si>
  <si>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</si>
  <si>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</si>
  <si>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</si>
  <si>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</si>
  <si>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</si>
  <si>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</si>
  <si>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</si>
  <si>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</si>
  <si>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</si>
  <si>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</si>
  <si>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</si>
  <si>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</si>
  <si>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</si>
  <si>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</si>
  <si>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</si>
  <si>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</si>
  <si>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</si>
  <si>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</si>
  <si>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</si>
  <si>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</si>
  <si>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</si>
  <si>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</si>
  <si>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</si>
  <si>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</si>
  <si>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</si>
  <si>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</si>
  <si>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</si>
  <si>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</si>
  <si>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</si>
  <si>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</si>
  <si>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</si>
  <si>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</si>
  <si>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</si>
  <si>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</si>
  <si>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</si>
  <si>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</si>
  <si>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</si>
  <si>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</si>
  <si>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</si>
  <si>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</si>
  <si>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</si>
  <si>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</si>
  <si>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</si>
  <si>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</si>
  <si>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</si>
  <si>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</si>
  <si>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</si>
  <si>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</si>
  <si>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</si>
  <si>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</si>
  <si>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</si>
  <si>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</si>
  <si>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</si>
  <si>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</si>
  <si>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</si>
  <si>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</si>
  <si>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</si>
  <si>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</si>
  <si>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</si>
  <si>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</si>
  <si>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</si>
  <si>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</si>
  <si>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</si>
  <si>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</si>
  <si>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</si>
  <si>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</si>
  <si>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</si>
  <si>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</si>
  <si>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</si>
  <si>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</si>
  <si>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</si>
  <si>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</si>
  <si>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</si>
  <si>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</si>
  <si>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</si>
  <si>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</si>
  <si>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</si>
  <si>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</si>
  <si>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</si>
  <si>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</si>
  <si>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</si>
  <si>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</si>
  <si>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</si>
  <si>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</si>
  <si>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</si>
  <si>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</si>
  <si>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</si>
  <si>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</si>
  <si>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</si>
  <si>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</si>
  <si>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</si>
  <si>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</si>
  <si>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</si>
  <si>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</si>
  <si>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</si>
  <si>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</si>
  <si>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</si>
  <si>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</si>
  <si>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</si>
  <si>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</si>
  <si>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</si>
  <si>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</si>
  <si>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</si>
  <si>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</si>
  <si>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</si>
  <si>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</si>
  <si>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</si>
  <si>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</si>
  <si>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</si>
  <si>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</si>
  <si>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</si>
  <si>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</si>
  <si>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</si>
  <si>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</si>
  <si>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</si>
  <si>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</si>
  <si>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</si>
  <si>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</si>
  <si>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</si>
  <si>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</si>
  <si>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</si>
  <si>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</si>
  <si>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</si>
  <si>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</si>
  <si>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</si>
  <si>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</si>
  <si>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</si>
  <si>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</si>
  <si>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</si>
  <si>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</si>
  <si>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</si>
  <si>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</si>
  <si>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</si>
  <si>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</si>
  <si>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</si>
  <si>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</si>
  <si>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</si>
  <si>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</si>
  <si>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</si>
  <si>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</si>
  <si>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</si>
  <si>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</si>
  <si>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</si>
  <si>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</si>
  <si>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</si>
  <si>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</si>
  <si>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</si>
  <si>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</si>
  <si>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</si>
  <si>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</si>
  <si>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</si>
  <si>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</si>
  <si>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</si>
  <si>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</si>
  <si>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</si>
  <si>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</si>
  <si>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</si>
  <si>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</si>
  <si>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</si>
  <si>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</si>
  <si>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</si>
  <si>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</si>
  <si>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</si>
  <si>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</si>
  <si>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</si>
  <si>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</si>
  <si>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</si>
  <si>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</si>
  <si>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</si>
  <si>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</si>
  <si>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</si>
  <si>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</si>
  <si>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</si>
  <si>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</si>
  <si>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</si>
  <si>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</si>
  <si>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</si>
  <si>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</si>
  <si>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</si>
  <si>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</si>
  <si>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</si>
  <si>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</si>
  <si>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</si>
  <si>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</si>
  <si>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</si>
  <si>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</si>
  <si>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</si>
  <si>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</si>
  <si>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</si>
  <si>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</si>
  <si>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</si>
  <si>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</si>
  <si>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</si>
  <si>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</si>
  <si>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</si>
  <si>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</si>
  <si>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</si>
  <si>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</si>
  <si>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</si>
  <si>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</si>
  <si>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</si>
  <si>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</si>
  <si>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</si>
  <si>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</si>
  <si>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</si>
  <si>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</si>
  <si>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</si>
  <si>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</si>
  <si>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</si>
  <si>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</si>
  <si>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</si>
  <si>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</si>
  <si>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</si>
  <si>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</si>
  <si>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</si>
  <si>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</si>
  <si>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</si>
  <si>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</si>
  <si>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</si>
  <si>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</si>
  <si>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</si>
  <si>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</si>
  <si>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</si>
  <si>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</si>
  <si>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</si>
  <si>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</si>
  <si>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</si>
  <si>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</si>
  <si>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</si>
  <si>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</si>
  <si>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</si>
  <si>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</si>
  <si>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</si>
  <si>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</si>
  <si>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</si>
  <si>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</si>
  <si>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</si>
  <si>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</si>
  <si>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</si>
  <si>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</si>
  <si>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</si>
  <si>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</si>
  <si>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</si>
  <si>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</si>
  <si>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</si>
  <si>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</si>
  <si>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</si>
  <si>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</si>
  <si>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</si>
  <si>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</si>
  <si>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</si>
  <si>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</si>
  <si>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</si>
  <si>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</si>
  <si>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</si>
  <si>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</si>
  <si>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</si>
  <si>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</si>
  <si>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</si>
  <si>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</si>
  <si>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</si>
  <si>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</si>
  <si>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</si>
  <si>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</si>
  <si>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</si>
  <si>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</si>
  <si>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</si>
  <si>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</si>
  <si>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</si>
  <si>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</si>
  <si>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</si>
  <si>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</si>
  <si>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</si>
  <si>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</si>
  <si>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</si>
  <si>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</si>
  <si>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</si>
  <si>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</si>
  <si>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</si>
  <si>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</si>
  <si>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</si>
  <si>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</si>
  <si>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</si>
  <si>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</si>
  <si>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</si>
  <si>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</si>
  <si>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</si>
  <si>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</si>
  <si>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</si>
  <si>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</si>
  <si>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</si>
  <si>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</si>
  <si>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</si>
  <si>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</si>
  <si>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</si>
  <si>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</si>
  <si>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</si>
  <si>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</si>
  <si>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</si>
  <si>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</si>
  <si>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</si>
  <si>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</si>
  <si>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</si>
  <si>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</si>
  <si>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</si>
  <si>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</si>
  <si>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</si>
  <si>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</si>
  <si>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</si>
  <si>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</si>
  <si>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</si>
  <si>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</si>
  <si>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</si>
  <si>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</si>
  <si>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</si>
  <si>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</si>
  <si>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</si>
  <si>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</si>
  <si>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</si>
  <si>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</si>
  <si>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</si>
  <si>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</si>
  <si>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</si>
  <si>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</si>
  <si>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</si>
  <si>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</si>
  <si>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</si>
  <si>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</si>
  <si>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</si>
  <si>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</si>
  <si>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</si>
  <si>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</si>
  <si>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</si>
  <si>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</si>
  <si>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</si>
  <si>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</si>
  <si>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</si>
  <si>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</si>
  <si>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</si>
  <si>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</si>
  <si>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</si>
  <si>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</si>
  <si>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</si>
  <si>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</si>
  <si>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</si>
  <si>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</si>
  <si>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</si>
  <si>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</si>
  <si>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</si>
  <si>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</si>
  <si>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</si>
  <si>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</si>
  <si>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</si>
  <si>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</si>
  <si>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</si>
  <si>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</si>
  <si>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</si>
  <si>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</si>
  <si>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</si>
  <si>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</si>
  <si>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</si>
  <si>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</si>
  <si>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</si>
  <si>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</si>
  <si>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</si>
  <si>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</si>
  <si>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</si>
  <si>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</si>
  <si>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</si>
  <si>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</si>
  <si>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</si>
  <si>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</si>
  <si>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</si>
  <si>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</si>
  <si>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</si>
  <si>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</si>
  <si>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</si>
  <si>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</si>
  <si>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</si>
  <si>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</si>
  <si>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</si>
  <si>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</si>
  <si>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</si>
  <si>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</si>
  <si>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</si>
  <si>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</si>
  <si>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</si>
  <si>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</si>
  <si>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</si>
  <si>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</si>
  <si>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</si>
  <si>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</si>
  <si>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</si>
  <si>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</si>
  <si>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</si>
  <si>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</si>
  <si>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</si>
  <si>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</si>
  <si>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</si>
  <si>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</si>
  <si>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</si>
  <si>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</si>
  <si>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</si>
  <si>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</si>
  <si>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</si>
  <si>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</si>
  <si>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</si>
  <si>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</si>
  <si>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</si>
  <si>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</si>
  <si>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</si>
  <si>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</si>
  <si>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</si>
  <si>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</si>
  <si>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</si>
  <si>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</si>
  <si>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</si>
  <si>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</si>
  <si>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</si>
  <si>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</si>
  <si>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</si>
  <si>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</si>
  <si>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</si>
  <si>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</si>
  <si>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</si>
  <si>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</si>
  <si>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</si>
  <si>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</si>
  <si>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</si>
  <si>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</si>
  <si>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</si>
  <si>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</si>
  <si>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</si>
  <si>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</si>
  <si>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</si>
  <si>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</si>
  <si>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</si>
  <si>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</si>
  <si>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</si>
  <si>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</si>
  <si>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</si>
  <si>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</si>
  <si>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</si>
  <si>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</si>
  <si>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</si>
  <si>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</si>
  <si>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</si>
  <si>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</si>
  <si>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</si>
  <si>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</si>
  <si>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</si>
  <si>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</si>
  <si>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</si>
  <si>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</si>
  <si>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</si>
  <si>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</si>
  <si>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</si>
  <si>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</si>
  <si>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</si>
  <si>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</si>
  <si>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</si>
  <si>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</si>
  <si>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</si>
  <si>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</si>
  <si>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</si>
  <si>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</si>
  <si>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</si>
  <si>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</si>
  <si>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</si>
  <si>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</si>
  <si>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</si>
  <si>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</si>
  <si>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</si>
  <si>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</si>
  <si>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</si>
  <si>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</si>
  <si>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</si>
  <si>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</si>
  <si>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</si>
  <si>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</si>
  <si>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</si>
  <si>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</si>
  <si>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</si>
  <si>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</si>
  <si>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</si>
  <si>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</si>
  <si>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</si>
  <si>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</si>
  <si>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</si>
  <si>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</si>
  <si>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</si>
  <si>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</si>
  <si>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</si>
  <si>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</si>
  <si>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</si>
  <si>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</si>
  <si>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</si>
  <si>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</si>
  <si>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</si>
  <si>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</si>
  <si>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</si>
  <si>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</si>
  <si>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</si>
  <si>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</si>
  <si>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</si>
  <si>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</si>
  <si>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</si>
  <si>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</si>
  <si>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</si>
  <si>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</si>
  <si>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</si>
  <si>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</si>
  <si>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</si>
  <si>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</si>
  <si>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</si>
  <si>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</si>
  <si>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</si>
  <si>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</si>
  <si>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</si>
  <si>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</si>
  <si>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</si>
  <si>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</si>
  <si>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</si>
  <si>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</si>
  <si>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</si>
  <si>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</si>
  <si>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</si>
  <si>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</si>
  <si>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</si>
  <si>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</si>
  <si>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</si>
  <si>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</si>
  <si>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</si>
  <si>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</si>
  <si>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</si>
  <si>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</si>
  <si>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</si>
  <si>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</si>
  <si>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</si>
  <si>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</si>
  <si>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</si>
  <si>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</si>
  <si>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</si>
  <si>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</si>
  <si>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</si>
  <si>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</si>
  <si>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</si>
  <si>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</si>
  <si>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</si>
  <si>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</si>
  <si>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</si>
  <si>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</si>
  <si>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</si>
  <si>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</si>
  <si>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</si>
  <si>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</si>
  <si>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</si>
  <si>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</si>
  <si>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</si>
  <si>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</si>
  <si>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</si>
  <si>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</si>
  <si>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</si>
  <si>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</si>
  <si>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</si>
  <si>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</si>
  <si>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</si>
  <si>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</si>
  <si>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</si>
  <si>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</si>
  <si>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</si>
  <si>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</si>
  <si>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</si>
  <si>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</si>
  <si>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</si>
  <si>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</si>
  <si>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</si>
  <si>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</si>
  <si>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</si>
  <si>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</si>
  <si>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</si>
  <si>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</si>
  <si>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</si>
  <si>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</si>
  <si>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</si>
  <si>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</si>
  <si>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</si>
  <si>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</si>
  <si>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</si>
  <si>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</si>
  <si>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</si>
  <si>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</si>
  <si>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</si>
  <si>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</si>
  <si>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</si>
  <si>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</si>
  <si>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</si>
  <si>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</si>
  <si>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</si>
  <si>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</si>
  <si>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</si>
  <si>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</si>
  <si>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</si>
  <si>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</si>
  <si>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</si>
  <si>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</si>
  <si>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</si>
  <si>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</si>
  <si>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</si>
  <si>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</si>
  <si>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</si>
  <si>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</si>
  <si>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</si>
  <si>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</si>
  <si>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</si>
  <si>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</si>
  <si>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</si>
  <si>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</si>
  <si>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</si>
  <si>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</si>
  <si>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</si>
  <si>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</si>
  <si>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</si>
  <si>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</si>
  <si>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</si>
  <si>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</si>
  <si>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</si>
  <si>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</si>
  <si>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</si>
  <si>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</si>
  <si>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</si>
  <si>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</si>
  <si>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</si>
  <si>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</si>
  <si>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</si>
  <si>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</si>
  <si>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</si>
  <si>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</si>
  <si>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</si>
  <si>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</si>
  <si>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</si>
  <si>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</si>
  <si>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</si>
  <si>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</si>
  <si>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</si>
  <si>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</si>
  <si>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</si>
  <si>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</si>
  <si>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</si>
  <si>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</si>
  <si>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</si>
  <si>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</si>
  <si>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</si>
  <si>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</si>
  <si>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</si>
  <si>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</si>
  <si>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</si>
  <si>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</si>
  <si>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</si>
  <si>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</si>
  <si>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</si>
  <si>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</si>
  <si>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</si>
  <si>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</si>
  <si>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</si>
  <si>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</si>
  <si>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</si>
  <si>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</si>
  <si>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</si>
  <si>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</si>
  <si>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</si>
  <si>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</si>
  <si>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</si>
  <si>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</si>
  <si>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</si>
  <si>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</si>
  <si>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</si>
  <si>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</si>
  <si>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</si>
  <si>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</si>
  <si>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</si>
  <si>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</si>
  <si>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</si>
  <si>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</si>
  <si>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</si>
  <si>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</si>
  <si>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</si>
  <si>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</si>
  <si>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</si>
  <si>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</si>
  <si>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</si>
  <si>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</si>
  <si>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</si>
  <si>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</si>
  <si>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</si>
  <si>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</si>
  <si>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</si>
  <si>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</si>
  <si>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</si>
  <si>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</si>
  <si>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</si>
  <si>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</si>
  <si>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</si>
  <si>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</si>
  <si>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</si>
  <si>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</si>
  <si>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</si>
  <si>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</si>
  <si>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</si>
  <si>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</si>
  <si>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</si>
  <si>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</si>
  <si>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</si>
  <si>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</si>
  <si>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</si>
  <si>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</si>
  <si>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</si>
  <si>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</si>
  <si>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</si>
  <si>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</si>
  <si>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</si>
  <si>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</si>
  <si>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</si>
  <si>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</si>
  <si>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</si>
  <si>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</si>
  <si>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</si>
  <si>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</si>
  <si>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</si>
  <si>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</si>
  <si>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</si>
  <si>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</si>
  <si>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</si>
  <si>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</si>
  <si>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</si>
  <si>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</si>
  <si>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</si>
  <si>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</si>
  <si>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</si>
  <si>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</si>
  <si>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</si>
  <si>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</si>
  <si>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</si>
  <si>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</si>
  <si>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</si>
  <si>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</si>
  <si>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</si>
  <si>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</si>
  <si>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</si>
  <si>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</si>
  <si>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</si>
  <si>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</si>
  <si>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</si>
  <si>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</si>
  <si>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</si>
  <si>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</si>
  <si>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</si>
  <si>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</si>
  <si>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</si>
  <si>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</si>
  <si>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</si>
  <si>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</si>
  <si>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</si>
  <si>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</si>
  <si>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</si>
  <si>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</si>
  <si>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</si>
  <si>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</si>
  <si>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</si>
  <si>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</si>
  <si>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</si>
  <si>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</si>
  <si>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</si>
  <si>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</si>
  <si>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</si>
  <si>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</si>
  <si>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</si>
  <si>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</si>
  <si>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</si>
  <si>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</si>
  <si>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</si>
  <si>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</si>
  <si>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</si>
  <si>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</si>
  <si>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</si>
  <si>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</si>
  <si>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</si>
  <si>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</si>
  <si>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</si>
  <si>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</si>
  <si>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</si>
  <si>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</si>
  <si>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</si>
  <si>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</si>
  <si>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</si>
  <si>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</si>
  <si>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</si>
  <si>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</si>
  <si>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</si>
  <si>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</si>
  <si>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</si>
  <si>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</si>
  <si>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</si>
  <si>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</si>
  <si>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</si>
  <si>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</si>
  <si>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</si>
  <si>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</si>
  <si>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</si>
  <si>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</si>
  <si>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</si>
  <si>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</si>
  <si>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</si>
  <si>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</si>
  <si>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</si>
  <si>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</si>
  <si>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</si>
  <si>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</si>
  <si>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</si>
  <si>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</si>
  <si>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</si>
  <si>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</si>
  <si>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</si>
  <si>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</si>
  <si>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</si>
  <si>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</si>
  <si>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</si>
  <si>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</si>
  <si>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</si>
  <si>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</si>
  <si>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</si>
  <si>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</si>
  <si>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</si>
  <si>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</si>
  <si>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</si>
  <si>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</si>
  <si>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</si>
  <si>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</si>
  <si>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</si>
  <si>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</si>
  <si>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</si>
  <si>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</si>
  <si>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</si>
  <si>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</si>
  <si>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</si>
  <si>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</si>
  <si>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</si>
  <si>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</si>
  <si>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</si>
  <si>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</si>
  <si>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</si>
  <si>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</si>
  <si>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</si>
  <si>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</si>
  <si>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</si>
  <si>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</si>
  <si>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</si>
  <si>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</si>
  <si>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</si>
  <si>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</si>
  <si>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</si>
  <si>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</si>
  <si>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</si>
  <si>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</si>
  <si>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</si>
  <si>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</si>
  <si>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</si>
  <si>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</si>
  <si>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</si>
  <si>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</si>
  <si>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</si>
  <si>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</si>
  <si>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</si>
  <si>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</si>
  <si>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</si>
  <si>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</si>
  <si>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</si>
  <si>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</si>
  <si>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</si>
  <si>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</si>
  <si>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</si>
  <si>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</si>
  <si>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</si>
  <si>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</si>
  <si>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</si>
  <si>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</si>
  <si>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</si>
  <si>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</si>
  <si>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</si>
  <si>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</si>
  <si>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</si>
  <si>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</si>
  <si>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</si>
  <si>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</si>
  <si>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</si>
  <si>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</si>
  <si>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</si>
  <si>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</si>
  <si>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</si>
  <si>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</si>
  <si>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</si>
  <si>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</si>
  <si>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</si>
  <si>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</si>
  <si>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</si>
  <si>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</si>
  <si>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</si>
  <si>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</si>
  <si>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</si>
  <si>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</si>
  <si>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</si>
  <si>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</si>
  <si>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</si>
  <si>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</si>
  <si>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</si>
  <si>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</si>
  <si>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</si>
  <si>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</si>
  <si>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</si>
  <si>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</si>
  <si>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</si>
  <si>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</si>
  <si>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</si>
  <si>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</si>
  <si>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</si>
  <si>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</si>
  <si>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</si>
  <si>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</si>
  <si>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</si>
  <si>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</si>
  <si>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</si>
  <si>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</si>
  <si>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</si>
  <si>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</si>
  <si>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</si>
  <si>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</si>
  <si>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</si>
  <si>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</si>
  <si>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</si>
  <si>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</si>
  <si>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</si>
  <si>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</si>
  <si>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</si>
  <si>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</si>
  <si>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</si>
  <si>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</si>
  <si>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</si>
  <si>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</si>
  <si>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</si>
  <si>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</si>
  <si>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</si>
  <si>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</si>
  <si>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</si>
  <si>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</si>
  <si>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</si>
  <si>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</si>
  <si>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</si>
  <si>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</si>
  <si>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</si>
  <si>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</si>
  <si>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</si>
  <si>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</si>
  <si>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</si>
  <si>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</si>
  <si>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</si>
  <si>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</si>
  <si>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</si>
  <si>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</si>
  <si>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</si>
  <si>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</si>
  <si>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</si>
  <si>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</si>
  <si>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</si>
  <si>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</si>
  <si>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</si>
  <si>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</si>
  <si>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</si>
  <si>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</si>
  <si>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</si>
  <si>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</si>
  <si>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</si>
  <si>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</si>
  <si>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</si>
  <si>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</si>
  <si>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</si>
  <si>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</si>
  <si>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</si>
  <si>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</si>
  <si>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</si>
  <si>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</si>
  <si>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</si>
  <si>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</si>
  <si>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</si>
  <si>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</si>
  <si>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</si>
  <si>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</si>
  <si>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</si>
  <si>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</si>
  <si>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</si>
  <si>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</si>
  <si>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</si>
  <si>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</si>
  <si>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</si>
  <si>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</si>
  <si>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</si>
  <si>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</si>
  <si>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</si>
  <si>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</si>
  <si>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</si>
  <si>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</si>
  <si>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</si>
  <si>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</si>
  <si>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</si>
  <si>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</si>
  <si>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</si>
  <si>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</si>
  <si>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</si>
  <si>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</si>
  <si>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</si>
  <si>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</si>
  <si>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</si>
  <si>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</si>
  <si>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</si>
  <si>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</si>
  <si>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</si>
  <si>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</si>
  <si>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</si>
  <si>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</si>
  <si>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</si>
  <si>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</si>
  <si>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</si>
  <si>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</si>
  <si>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</si>
  <si>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</si>
  <si>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</si>
  <si>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</si>
  <si>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</si>
  <si>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</si>
  <si>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</si>
  <si>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</si>
  <si>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</si>
  <si>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</si>
  <si>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</si>
  <si>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</si>
  <si>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</si>
  <si>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</si>
  <si>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</si>
  <si>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</si>
  <si>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</si>
  <si>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</si>
  <si>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</si>
  <si>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</si>
  <si>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</si>
  <si>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</si>
  <si>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</si>
  <si>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</si>
  <si>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</si>
  <si>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</si>
  <si>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</si>
  <si>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</si>
  <si>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</si>
  <si>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</si>
  <si>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</si>
  <si>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</si>
  <si>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</si>
  <si>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</si>
  <si>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</si>
  <si>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</si>
  <si>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</si>
  <si>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</si>
  <si>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</si>
  <si>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</si>
  <si>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</si>
  <si>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</si>
  <si>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</si>
  <si>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</si>
  <si>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</si>
  <si>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</si>
  <si>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</si>
  <si>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</si>
  <si>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</si>
  <si>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</si>
  <si>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</si>
  <si>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</si>
  <si>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</si>
  <si>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</si>
  <si>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</si>
  <si>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</si>
  <si>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</si>
  <si>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</si>
  <si>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</si>
  <si>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</si>
  <si>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</si>
  <si>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</si>
  <si>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</si>
  <si>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</si>
  <si>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</si>
  <si>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</si>
  <si>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</si>
  <si>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</si>
  <si>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</si>
  <si>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</si>
  <si>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</si>
  <si>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</si>
  <si>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</si>
  <si>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</si>
  <si>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</si>
  <si>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</si>
  <si>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</si>
  <si>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</si>
  <si>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</si>
  <si>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</si>
  <si>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</si>
  <si>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</si>
  <si>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</si>
  <si>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</si>
  <si>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</si>
  <si>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</si>
  <si>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</si>
  <si>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</si>
  <si>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</si>
  <si>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</si>
  <si>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</si>
  <si>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</si>
  <si>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</si>
  <si>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</si>
  <si>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</si>
  <si>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</si>
  <si>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</si>
  <si>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</si>
  <si>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</si>
  <si>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</si>
  <si>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</si>
  <si>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</si>
  <si>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</si>
  <si>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</si>
  <si>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</si>
  <si>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</si>
  <si>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</si>
  <si>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</si>
  <si>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</si>
  <si>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</si>
  <si>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</si>
  <si>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</si>
  <si>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</si>
  <si>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</si>
  <si>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</si>
  <si>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</si>
  <si>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</si>
  <si>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</si>
  <si>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</si>
  <si>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</si>
  <si>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</si>
  <si>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</si>
  <si>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</si>
  <si>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</si>
  <si>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</si>
  <si>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</si>
  <si>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</si>
  <si>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</si>
  <si>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</si>
  <si>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</si>
  <si>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</si>
  <si>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</si>
  <si>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</si>
  <si>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</si>
  <si>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</si>
  <si>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</si>
  <si>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</si>
  <si>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</si>
  <si>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</si>
  <si>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</si>
  <si>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</si>
  <si>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</si>
  <si>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</si>
  <si>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</si>
  <si>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</si>
  <si>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</si>
  <si>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</si>
  <si>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</si>
  <si>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</si>
  <si>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</si>
  <si>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</si>
  <si>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</si>
  <si>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</si>
  <si>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</si>
  <si>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</si>
  <si>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</si>
  <si>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</si>
  <si>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</si>
  <si>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</si>
  <si>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</si>
  <si>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</si>
  <si>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</si>
  <si>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</si>
  <si>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</si>
  <si>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</si>
  <si>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</si>
  <si>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</si>
  <si>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</si>
  <si>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</si>
  <si>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</si>
  <si>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</si>
  <si>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</si>
  <si>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</si>
  <si>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</si>
  <si>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</si>
  <si>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</si>
  <si>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</si>
  <si>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</si>
  <si>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</si>
  <si>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</si>
  <si>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</si>
  <si>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</si>
  <si>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</si>
  <si>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</si>
  <si>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</si>
  <si>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</si>
  <si>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</si>
  <si>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</si>
  <si>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</si>
  <si>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</si>
  <si>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</si>
  <si>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</si>
  <si>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</si>
  <si>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</si>
  <si>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</si>
  <si>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</si>
  <si>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</si>
  <si>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</si>
  <si>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</si>
  <si>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</si>
  <si>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</si>
  <si>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</si>
  <si>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</si>
  <si>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</si>
  <si>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</si>
  <si>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</si>
  <si>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</si>
  <si>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</si>
  <si>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</si>
  <si>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</si>
  <si>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</si>
  <si>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</si>
  <si>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</si>
  <si>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</si>
  <si>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</si>
  <si>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</si>
  <si>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</si>
  <si>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</si>
  <si>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</si>
  <si>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</si>
  <si>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</si>
  <si>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</si>
  <si>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</si>
  <si>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</si>
  <si>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</si>
  <si>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</si>
  <si>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</si>
  <si>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</si>
  <si>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</si>
  <si>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</si>
  <si>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</si>
  <si>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</si>
  <si>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</si>
  <si>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</si>
  <si>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</si>
  <si>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</si>
  <si>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</si>
  <si>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</si>
  <si>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</si>
  <si>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</si>
  <si>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</si>
  <si>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</si>
  <si>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</si>
  <si>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</si>
  <si>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</si>
  <si>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</si>
  <si>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</si>
  <si>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</si>
  <si>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</si>
  <si>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</si>
  <si>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</si>
  <si>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</si>
  <si>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</si>
  <si>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</si>
  <si>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</si>
  <si>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</si>
  <si>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</si>
  <si>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</si>
  <si>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</si>
  <si>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</si>
  <si>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</si>
  <si>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</si>
  <si>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</si>
  <si>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</si>
  <si>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</si>
  <si>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</si>
  <si>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</si>
  <si>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</si>
  <si>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</si>
  <si>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</si>
  <si>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</si>
  <si>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</si>
  <si>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</si>
  <si>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</si>
  <si>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</si>
  <si>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</si>
  <si>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</si>
  <si>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</si>
  <si>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</si>
  <si>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</si>
  <si>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</si>
  <si>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</si>
  <si>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</si>
  <si>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</si>
  <si>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</si>
  <si>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</si>
  <si>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</si>
  <si>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</si>
  <si>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</si>
  <si>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</si>
  <si>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</si>
  <si>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</si>
  <si>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</si>
  <si>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</si>
  <si>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</si>
  <si>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</si>
  <si>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</si>
  <si>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</si>
  <si>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</si>
  <si>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</si>
  <si>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</si>
  <si>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</si>
  <si>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</si>
  <si>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</si>
  <si>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</si>
  <si>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</si>
  <si>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</si>
  <si>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</si>
  <si>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</si>
  <si>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</si>
  <si>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</si>
  <si>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</si>
  <si>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</si>
  <si>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</si>
  <si>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</si>
  <si>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</si>
  <si>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</si>
  <si>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</si>
  <si>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</si>
  <si>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</si>
  <si>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</si>
  <si>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</si>
  <si>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</si>
  <si>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</si>
  <si>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</si>
  <si>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</si>
  <si>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</si>
  <si>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</si>
  <si>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</si>
  <si>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</si>
  <si>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</si>
  <si>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</si>
  <si>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</si>
  <si>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</si>
  <si>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</si>
  <si>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</si>
  <si>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</si>
  <si>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</si>
  <si>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</si>
  <si>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</si>
  <si>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</si>
  <si>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</si>
  <si>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</si>
  <si>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</si>
  <si>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</si>
  <si>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</si>
  <si>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</si>
  <si>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</si>
  <si>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</si>
  <si>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</si>
  <si>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</si>
  <si>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</si>
  <si>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</si>
  <si>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</si>
  <si>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</si>
  <si>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</si>
  <si>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</si>
  <si>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</si>
  <si>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</si>
  <si>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</si>
  <si>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</si>
  <si>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</si>
  <si>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</si>
  <si>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</si>
  <si>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</si>
  <si>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</si>
  <si>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</si>
  <si>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</si>
  <si>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</si>
  <si>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</si>
  <si>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</si>
  <si>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</si>
  <si>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</si>
  <si>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</si>
  <si>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</si>
  <si>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</si>
  <si>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</si>
  <si>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</si>
  <si>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</si>
  <si>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</si>
  <si>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</si>
  <si>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</si>
  <si>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</si>
  <si>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</si>
  <si>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</si>
  <si>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</si>
  <si>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</si>
  <si>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</si>
  <si>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</si>
  <si>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</si>
  <si>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</si>
  <si>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</si>
  <si>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</si>
  <si>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</si>
  <si>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</si>
  <si>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</si>
  <si>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</si>
  <si>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</si>
  <si>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</si>
  <si>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</si>
  <si>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</si>
  <si>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</si>
  <si>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</si>
  <si>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</si>
  <si>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</si>
  <si>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</si>
  <si>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</si>
  <si>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</si>
  <si>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</si>
  <si>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</si>
  <si>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</si>
  <si>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</si>
  <si>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</si>
  <si>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</si>
  <si>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</si>
  <si>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</si>
  <si>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</si>
  <si>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</si>
  <si>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</si>
  <si>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</si>
  <si>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</si>
  <si>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</si>
  <si>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</si>
  <si>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</si>
  <si>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</si>
  <si>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</si>
  <si>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</si>
  <si>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</si>
  <si>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</si>
  <si>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</si>
  <si>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</si>
  <si>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</si>
  <si>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</si>
  <si>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</si>
  <si>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</si>
  <si>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</si>
  <si>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</si>
  <si>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</si>
  <si>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</si>
  <si>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</si>
  <si>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</si>
  <si>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</si>
  <si>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</si>
  <si>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</si>
  <si>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</si>
  <si>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</si>
  <si>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</si>
  <si>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</si>
  <si>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</si>
  <si>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</si>
  <si>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</si>
  <si>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</si>
  <si>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</si>
  <si>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</si>
  <si>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</si>
  <si>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</si>
  <si>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</si>
  <si>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</si>
  <si>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</si>
  <si>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</si>
  <si>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</si>
  <si>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</si>
  <si>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</si>
  <si>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</si>
  <si>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</si>
  <si>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</si>
  <si>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</si>
  <si>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</si>
  <si>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</si>
  <si>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</si>
  <si>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</si>
  <si>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</si>
  <si>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</si>
  <si>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</si>
  <si>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</si>
  <si>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</si>
  <si>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</si>
  <si>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</si>
  <si>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</si>
  <si>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</si>
  <si>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</si>
  <si>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</si>
  <si>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</si>
  <si>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</si>
  <si>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</si>
  <si>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</si>
  <si>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</si>
  <si>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</si>
  <si>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</si>
  <si>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</si>
  <si>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</si>
  <si>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</si>
  <si>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</si>
  <si>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</si>
  <si>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</si>
  <si>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</si>
  <si>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</si>
  <si>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</si>
  <si>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</si>
  <si>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</si>
  <si>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</si>
  <si>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</si>
  <si>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</si>
  <si>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</si>
  <si>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</si>
  <si>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</si>
  <si>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</si>
  <si>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</si>
  <si>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</si>
  <si>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</si>
  <si>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</si>
  <si>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</si>
  <si>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</si>
  <si>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</si>
  <si>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</si>
  <si>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</si>
  <si>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</si>
  <si>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</si>
  <si>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</si>
  <si>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</si>
  <si>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</si>
  <si>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</si>
  <si>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</si>
  <si>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</si>
  <si>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</si>
  <si>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</si>
  <si>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</si>
  <si>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</si>
  <si>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</si>
  <si>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</si>
  <si>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</si>
  <si>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</si>
  <si>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</si>
  <si>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</si>
  <si>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</si>
  <si>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</si>
  <si>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</si>
  <si>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</si>
  <si>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</si>
  <si>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</si>
  <si>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</si>
  <si>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</si>
  <si>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</si>
  <si>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</si>
  <si>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</si>
  <si>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</si>
  <si>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</si>
  <si>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</si>
  <si>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</si>
  <si>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</si>
  <si>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</si>
  <si>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</si>
  <si>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</si>
  <si>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</si>
  <si>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</si>
  <si>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</si>
  <si>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</si>
  <si>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</si>
  <si>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</si>
  <si>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</si>
  <si>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</si>
  <si>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</si>
  <si>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</si>
  <si>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</si>
  <si>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</si>
  <si>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</si>
  <si>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</si>
  <si>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</si>
  <si>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</si>
  <si>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</si>
  <si>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</si>
  <si>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</si>
  <si>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</si>
  <si>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</si>
  <si>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</si>
  <si>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</si>
  <si>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</si>
  <si>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</si>
  <si>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</si>
  <si>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</si>
  <si>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</si>
  <si>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</si>
  <si>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</si>
  <si>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</si>
  <si>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</si>
  <si>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</si>
  <si>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</si>
  <si>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</si>
  <si>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</si>
  <si>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</si>
  <si>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</si>
  <si>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</si>
  <si>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</si>
  <si>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</si>
  <si>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</si>
  <si>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</si>
  <si>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</si>
  <si>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</si>
  <si>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</si>
  <si>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</si>
  <si>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</si>
  <si>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</si>
  <si>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</si>
  <si>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</si>
  <si>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</si>
  <si>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</si>
  <si>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</si>
  <si>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</si>
  <si>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</si>
  <si>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</si>
  <si>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</si>
  <si>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</si>
  <si>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</si>
  <si>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</si>
  <si>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</si>
  <si>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</si>
  <si>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</si>
  <si>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</si>
  <si>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</si>
  <si>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</si>
  <si>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</si>
  <si>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</si>
  <si>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</si>
  <si>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</si>
  <si>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</si>
  <si>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</si>
  <si>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</si>
  <si>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</si>
  <si>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</si>
  <si>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</si>
  <si>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</si>
  <si>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</si>
  <si>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</si>
  <si>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</si>
  <si>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</si>
  <si>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</si>
  <si>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</si>
  <si>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</si>
  <si>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</si>
  <si>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</si>
  <si>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</si>
  <si>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</si>
  <si>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</si>
  <si>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</si>
  <si>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</si>
  <si>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</si>
  <si>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</si>
  <si>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</si>
  <si>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</si>
  <si>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</si>
  <si>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</si>
  <si>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</si>
  <si>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</si>
  <si>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</si>
  <si>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</si>
  <si>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</si>
  <si>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</si>
  <si>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</si>
  <si>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</si>
  <si>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</si>
  <si>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</si>
  <si>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</si>
  <si>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</si>
  <si>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</si>
  <si>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</si>
  <si>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</si>
  <si>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</si>
  <si>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</si>
  <si>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</si>
  <si>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</si>
  <si>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</si>
  <si>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</si>
  <si>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</si>
  <si>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</si>
  <si>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</si>
  <si>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</si>
  <si>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</si>
  <si>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</si>
  <si>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</si>
  <si>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</si>
  <si>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</si>
  <si>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</si>
  <si>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</si>
  <si>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</si>
  <si>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</si>
  <si>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</si>
  <si>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</si>
  <si>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</si>
  <si>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</si>
  <si>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</si>
  <si>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</si>
  <si>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</si>
  <si>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</si>
  <si>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</si>
  <si>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</si>
  <si>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</si>
  <si>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</si>
  <si>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</si>
  <si>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</si>
  <si>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</si>
  <si>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</si>
  <si>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</si>
  <si>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</si>
  <si>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</si>
  <si>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</si>
  <si>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</si>
  <si>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</si>
  <si>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</si>
  <si>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</si>
  <si>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</si>
  <si>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</si>
  <si>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</si>
  <si>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</si>
  <si>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</si>
  <si>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</si>
  <si>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</si>
  <si>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</si>
  <si>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</si>
  <si>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</si>
  <si>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</si>
  <si>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</si>
  <si>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</si>
  <si>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</si>
  <si>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</si>
  <si>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</si>
  <si>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</si>
  <si>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</si>
  <si>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</si>
  <si>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</si>
  <si>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</si>
  <si>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</si>
  <si>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</si>
  <si>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</si>
  <si>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</si>
  <si>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</si>
  <si>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</si>
  <si>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</si>
  <si>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</si>
  <si>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</si>
  <si>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</si>
  <si>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</si>
  <si>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</si>
  <si>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</si>
  <si>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</si>
  <si>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</si>
  <si>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</si>
  <si>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</si>
  <si>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</si>
  <si>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</si>
  <si>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</si>
  <si>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</si>
  <si>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</si>
  <si>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</si>
  <si>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</si>
  <si>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</si>
  <si>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</si>
  <si>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</si>
  <si>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</si>
  <si>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</si>
  <si>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</si>
  <si>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</si>
  <si>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</si>
  <si>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</si>
  <si>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</si>
  <si>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</si>
  <si>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</si>
  <si>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</si>
  <si>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</si>
  <si>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</si>
  <si>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</si>
  <si>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</si>
  <si>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</si>
  <si>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</si>
  <si>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</si>
  <si>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</si>
  <si>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</si>
  <si>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</si>
  <si>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</si>
  <si>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</si>
  <si>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</si>
  <si>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</si>
  <si>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</si>
  <si>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</si>
  <si>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</si>
  <si>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</si>
  <si>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</si>
  <si>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</si>
  <si>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</si>
  <si>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</si>
  <si>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</si>
  <si>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</si>
  <si>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</si>
  <si>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</si>
  <si>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</si>
  <si>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</si>
  <si>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</si>
  <si>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</si>
  <si>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</si>
  <si>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</si>
  <si>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</si>
  <si>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</si>
  <si>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</si>
  <si>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</si>
  <si>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</si>
  <si>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</si>
  <si>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</si>
  <si>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</si>
  <si>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</si>
  <si>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</si>
  <si>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</si>
  <si>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</si>
  <si>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</si>
  <si>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</si>
  <si>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</si>
  <si>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</si>
  <si>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</si>
  <si>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</si>
  <si>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</si>
  <si>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</si>
  <si>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</si>
  <si>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</si>
  <si>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</si>
  <si>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</si>
  <si>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</si>
  <si>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</si>
  <si>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</si>
  <si>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</si>
  <si>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</si>
  <si>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</si>
  <si>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</si>
  <si>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</si>
  <si>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</si>
  <si>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</si>
  <si>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</si>
  <si>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</si>
  <si>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</si>
  <si>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</si>
  <si>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</si>
  <si>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</si>
  <si>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</si>
  <si>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</si>
  <si>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</si>
  <si>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</si>
  <si>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</si>
  <si>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</si>
  <si>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</si>
  <si>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</si>
  <si>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</si>
  <si>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</si>
  <si>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</si>
  <si>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</si>
  <si>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</si>
  <si>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</si>
  <si>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</si>
  <si>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</si>
  <si>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</si>
  <si>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</si>
  <si>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</si>
  <si>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</si>
  <si>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</si>
  <si>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</si>
  <si>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</si>
  <si>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</si>
  <si>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</si>
  <si>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</si>
  <si>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</si>
  <si>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</si>
  <si>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</si>
  <si>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</si>
  <si>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</si>
  <si>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</si>
  <si>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</si>
  <si>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</si>
  <si>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</si>
  <si>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</si>
  <si>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</si>
  <si>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</si>
  <si>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</si>
  <si>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</si>
  <si>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</si>
  <si>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</si>
  <si>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</si>
  <si>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</si>
  <si>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</si>
  <si>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</si>
  <si>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</si>
  <si>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</si>
  <si>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</si>
  <si>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</si>
  <si>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</si>
  <si>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</si>
  <si>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</si>
  <si>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</si>
  <si>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</si>
  <si>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</si>
  <si>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</si>
  <si>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</si>
  <si>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</si>
  <si>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</si>
  <si>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</si>
  <si>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</si>
  <si>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</si>
  <si>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</si>
  <si>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</si>
  <si>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</si>
  <si>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</si>
  <si>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</si>
  <si>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</si>
  <si>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</si>
  <si>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</si>
  <si>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</si>
  <si>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</si>
  <si>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</si>
  <si>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</si>
  <si>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</si>
  <si>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</si>
  <si>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</si>
  <si>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</si>
  <si>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</si>
  <si>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</si>
  <si>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</si>
  <si>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</si>
  <si>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</si>
  <si>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</si>
  <si>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</si>
  <si>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</si>
  <si>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</si>
  <si>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</si>
  <si>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</si>
  <si>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</si>
  <si>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</si>
  <si>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</si>
  <si>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</si>
  <si>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</si>
  <si>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</si>
  <si>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</si>
  <si>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</si>
  <si>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</si>
  <si>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</si>
  <si>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</si>
  <si>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</si>
  <si>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</si>
  <si>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</si>
  <si>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</si>
  <si>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</si>
  <si>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</si>
  <si>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</si>
  <si>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</si>
  <si>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</si>
  <si>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</si>
  <si>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</si>
  <si>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</si>
  <si>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</si>
  <si>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</si>
  <si>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</si>
  <si>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</si>
  <si>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</si>
  <si>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</si>
  <si>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</si>
  <si>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</si>
  <si>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</si>
  <si>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</si>
  <si>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</si>
  <si>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</si>
  <si>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</si>
  <si>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</si>
  <si>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</si>
  <si>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</si>
  <si>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</si>
  <si>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</si>
  <si>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</si>
  <si>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</si>
  <si>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</si>
  <si>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</si>
  <si>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</si>
  <si>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</si>
  <si>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</si>
  <si>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</si>
  <si>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</si>
  <si>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</si>
  <si>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</si>
  <si>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</si>
  <si>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</si>
  <si>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</si>
  <si>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</si>
  <si>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</si>
  <si>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</si>
  <si>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</si>
  <si>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</si>
  <si>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</si>
  <si>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</si>
  <si>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</si>
  <si>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</si>
  <si>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</si>
  <si>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</si>
  <si>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</si>
  <si>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</si>
  <si>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</si>
  <si>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</si>
  <si>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</si>
  <si>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</si>
  <si>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</si>
  <si>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</si>
  <si>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</si>
  <si>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</si>
  <si>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</si>
  <si>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</si>
  <si>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</si>
  <si>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</si>
  <si>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</si>
  <si>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</si>
  <si>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</si>
  <si>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</si>
  <si>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</si>
  <si>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</si>
  <si>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</si>
  <si>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</si>
  <si>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</si>
  <si>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</si>
  <si>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</si>
  <si>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</si>
  <si>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</si>
  <si>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</si>
  <si>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</si>
  <si>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</si>
  <si>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</si>
  <si>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</si>
  <si>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</si>
  <si>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</si>
  <si>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</si>
  <si>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</si>
  <si>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</si>
  <si>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</si>
  <si>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</si>
  <si>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</si>
  <si>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</si>
  <si>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</si>
  <si>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</si>
  <si>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</si>
  <si>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</si>
  <si>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</si>
  <si>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</si>
  <si>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</si>
  <si>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</si>
  <si>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</si>
  <si>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</si>
  <si>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</si>
  <si>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</si>
  <si>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</si>
  <si>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</si>
  <si>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</si>
  <si>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</si>
  <si>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</si>
  <si>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</si>
  <si>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</si>
  <si>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</si>
  <si>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</si>
  <si>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</si>
  <si>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</si>
  <si>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</si>
  <si>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</si>
  <si>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</si>
  <si>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</si>
  <si>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</si>
  <si>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</si>
  <si>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</si>
  <si>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</si>
  <si>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</si>
  <si>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</si>
  <si>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</si>
  <si>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</si>
  <si>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</si>
  <si>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</si>
  <si>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</si>
  <si>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</si>
  <si>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</si>
  <si>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</si>
  <si>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</si>
  <si>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</si>
  <si>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</si>
  <si>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</si>
  <si>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</si>
  <si>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</si>
  <si>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</si>
  <si>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</si>
  <si>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</si>
  <si>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</si>
  <si>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</si>
  <si>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</si>
  <si>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</si>
  <si>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</si>
  <si>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</si>
  <si>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</si>
  <si>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</si>
  <si>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</si>
  <si>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</si>
  <si>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</si>
  <si>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</si>
  <si>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</si>
  <si>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</si>
  <si>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</si>
  <si>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</si>
  <si>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</si>
  <si>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</si>
  <si>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</si>
  <si>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</si>
  <si>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</si>
  <si>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</si>
  <si>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</si>
  <si>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</si>
  <si>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</si>
  <si>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</si>
  <si>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</si>
  <si>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</si>
  <si>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</si>
  <si>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</si>
  <si>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</si>
  <si>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</si>
  <si>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</si>
  <si>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</si>
  <si>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</si>
  <si>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</si>
  <si>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</si>
  <si>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</si>
  <si>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</si>
  <si>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</si>
  <si>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</si>
  <si>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</si>
  <si>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</si>
  <si>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</si>
  <si>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</si>
  <si>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</si>
  <si>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</si>
  <si>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</si>
  <si>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</si>
  <si>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</si>
  <si>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</si>
  <si>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</si>
  <si>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</si>
  <si>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</si>
  <si>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</si>
  <si>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</si>
  <si>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</si>
  <si>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</si>
  <si>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</si>
  <si>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</si>
  <si>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</si>
  <si>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</si>
  <si>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</si>
  <si>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</si>
  <si>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</si>
  <si>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</si>
  <si>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</si>
  <si>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</si>
  <si>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</si>
  <si>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</si>
  <si>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</si>
  <si>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</si>
  <si>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</si>
  <si>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</si>
  <si>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</si>
  <si>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</si>
  <si>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</si>
  <si>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</si>
  <si>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</si>
  <si>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</si>
  <si>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</si>
  <si>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</si>
  <si>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</si>
  <si>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</si>
  <si>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</si>
  <si>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</si>
  <si>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</si>
  <si>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</si>
  <si>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</si>
  <si>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</si>
  <si>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</si>
  <si>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</si>
  <si>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</si>
  <si>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</si>
  <si>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</si>
  <si>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</si>
  <si>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</si>
  <si>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</si>
  <si>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</si>
  <si>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</si>
  <si>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</si>
  <si>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</si>
  <si>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</si>
  <si>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</si>
  <si>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</si>
  <si>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</si>
  <si>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</si>
  <si>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</si>
  <si>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</si>
  <si>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</si>
  <si>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</si>
  <si>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</si>
  <si>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</si>
  <si>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</si>
  <si>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</si>
  <si>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</si>
  <si>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</si>
  <si>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</si>
  <si>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</si>
  <si>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</si>
  <si>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</si>
  <si>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</si>
  <si>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</si>
  <si>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</si>
  <si>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</si>
  <si>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</si>
  <si>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</si>
  <si>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</si>
  <si>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</si>
  <si>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</si>
  <si>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</si>
  <si>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</si>
  <si>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</si>
  <si>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</si>
  <si>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</si>
  <si>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</si>
  <si>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</si>
  <si>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</si>
  <si>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</si>
  <si>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</si>
  <si>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</si>
  <si>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</si>
  <si>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</si>
  <si>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</si>
  <si>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</si>
  <si>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</si>
  <si>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</si>
  <si>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</si>
  <si>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</si>
  <si>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</si>
  <si>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</si>
  <si>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</si>
  <si>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</si>
  <si>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</si>
  <si>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</si>
  <si>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</si>
  <si>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</si>
  <si>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</si>
  <si>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</si>
  <si>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</si>
  <si>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</si>
  <si>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</si>
  <si>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</si>
  <si>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</si>
  <si>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</si>
  <si>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</si>
  <si>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</si>
  <si>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</si>
  <si>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</si>
  <si>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</si>
  <si>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</si>
  <si>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</si>
  <si>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</si>
  <si>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</si>
  <si>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</si>
  <si>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</si>
  <si>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</si>
  <si>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</si>
  <si>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</si>
  <si>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</si>
  <si>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</si>
  <si>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</si>
  <si>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</si>
  <si>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</si>
  <si>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</si>
  <si>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</si>
  <si>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</si>
  <si>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</si>
  <si>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</si>
  <si>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</si>
  <si>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</si>
  <si>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</si>
  <si>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</si>
  <si>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</si>
  <si>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</si>
  <si>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</si>
  <si>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</si>
  <si>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</si>
  <si>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</si>
  <si>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</si>
  <si>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</si>
  <si>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</si>
  <si>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</si>
  <si>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</si>
  <si>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</si>
  <si>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</si>
  <si>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</si>
  <si>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</si>
  <si>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</si>
  <si>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</si>
  <si>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</si>
  <si>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</si>
  <si>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</si>
  <si>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</si>
  <si>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</si>
  <si>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</si>
  <si>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</si>
  <si>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</si>
  <si>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</si>
  <si>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</si>
  <si>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</si>
  <si>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</si>
  <si>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</si>
  <si>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</si>
  <si>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</si>
  <si>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</si>
  <si>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</si>
  <si>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</si>
  <si>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</si>
  <si>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</si>
  <si>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</si>
  <si>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</si>
  <si>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</si>
  <si>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</si>
  <si>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</si>
  <si>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</si>
  <si>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</si>
  <si>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</si>
  <si>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</si>
  <si>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</si>
  <si>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</si>
  <si>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</si>
  <si>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</si>
  <si>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</si>
  <si>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</si>
  <si>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</si>
  <si>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</si>
  <si>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</si>
  <si>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</si>
  <si>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</si>
  <si>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</si>
  <si>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</si>
  <si>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</si>
  <si>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</si>
  <si>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</si>
  <si>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</si>
  <si>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</si>
  <si>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</si>
  <si>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</si>
  <si>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</si>
  <si>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</si>
  <si>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</si>
  <si>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</si>
  <si>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</si>
  <si>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</si>
  <si>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</si>
  <si>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</si>
  <si>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</si>
  <si>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</si>
  <si>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</si>
  <si>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</si>
  <si>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</si>
  <si>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</si>
  <si>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</si>
  <si>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</si>
  <si>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</si>
  <si>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</si>
  <si>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</si>
  <si>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</si>
  <si>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</si>
  <si>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</si>
  <si>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</si>
  <si>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</si>
  <si>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</si>
  <si>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</si>
  <si>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</si>
  <si>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</si>
  <si>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</si>
  <si>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</si>
  <si>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</si>
  <si>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</si>
  <si>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</si>
  <si>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</si>
  <si>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</si>
  <si>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</si>
  <si>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</si>
  <si>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</si>
  <si>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</si>
  <si>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</si>
  <si>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</si>
  <si>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</si>
  <si>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</si>
  <si>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</si>
  <si>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</si>
  <si>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</si>
  <si>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</si>
  <si>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</si>
  <si>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</si>
  <si>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</si>
  <si>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</si>
  <si>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</si>
  <si>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</si>
  <si>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</si>
  <si>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</si>
  <si>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</si>
  <si>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</si>
  <si>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</si>
  <si>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</si>
  <si>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</si>
  <si>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</si>
  <si>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</si>
  <si>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</si>
  <si>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</si>
  <si>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</si>
  <si>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</si>
  <si>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</si>
  <si>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</si>
  <si>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</si>
  <si>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</si>
  <si>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</si>
  <si>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</si>
  <si>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</si>
  <si>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</si>
  <si>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</si>
  <si>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</si>
  <si>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</si>
  <si>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</si>
  <si>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</si>
  <si>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</si>
  <si>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</si>
  <si>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</si>
  <si>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</si>
  <si>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</si>
  <si>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</si>
  <si>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</si>
  <si>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</si>
  <si>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</si>
  <si>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</si>
  <si>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</si>
  <si>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</si>
  <si>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</si>
  <si>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</si>
  <si>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</si>
  <si>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</si>
  <si>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</si>
  <si>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</si>
  <si>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</si>
  <si>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</si>
  <si>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</si>
  <si>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</si>
  <si>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</si>
  <si>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</si>
  <si>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</si>
  <si>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</si>
  <si>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</si>
  <si>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</si>
  <si>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</si>
  <si>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</si>
  <si>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</si>
  <si>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</si>
  <si>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</si>
  <si>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</si>
  <si>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</si>
  <si>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</si>
  <si>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</si>
  <si>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</si>
  <si>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</si>
  <si>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</si>
  <si>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</si>
  <si>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</si>
  <si>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</si>
  <si>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</si>
  <si>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</si>
  <si>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</si>
  <si>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</si>
  <si>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</si>
  <si>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</si>
  <si>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</si>
  <si>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</si>
  <si>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</si>
  <si>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</si>
  <si>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</si>
  <si>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</si>
  <si>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</si>
  <si>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</si>
  <si>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</si>
  <si>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</si>
  <si>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</si>
  <si>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</si>
  <si>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</si>
  <si>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</si>
  <si>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</si>
  <si>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</si>
  <si>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</si>
  <si>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</si>
  <si>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</si>
  <si>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</si>
  <si>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</si>
  <si>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</si>
  <si>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</si>
  <si>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</si>
  <si>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</si>
  <si>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</si>
  <si>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</si>
  <si>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</si>
  <si>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</si>
  <si>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</si>
  <si>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</si>
  <si>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</si>
  <si>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</si>
  <si>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</si>
  <si>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</si>
  <si>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</si>
  <si>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</si>
  <si>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</si>
  <si>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</si>
  <si>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</si>
  <si>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</si>
  <si>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</si>
  <si>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</si>
  <si>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</si>
  <si>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</si>
  <si>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</si>
  <si>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</si>
  <si>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</si>
  <si>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</si>
  <si>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</si>
  <si>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</si>
  <si>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</si>
  <si>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</si>
  <si>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</si>
  <si>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</si>
  <si>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</si>
  <si>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</si>
  <si>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</si>
  <si>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</si>
  <si>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</si>
  <si>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</si>
  <si>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</si>
  <si>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</si>
  <si>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</si>
  <si>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</si>
  <si>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</si>
  <si>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</si>
  <si>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</si>
  <si>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</si>
  <si>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</si>
  <si>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</si>
  <si>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</si>
  <si>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</si>
  <si>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</si>
  <si>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</si>
  <si>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</si>
  <si>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</si>
  <si>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</si>
  <si>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</si>
  <si>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</si>
  <si>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</si>
  <si>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</si>
  <si>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</si>
  <si>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</si>
  <si>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</si>
  <si>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</si>
  <si>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</si>
  <si>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</si>
  <si>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</si>
  <si>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</si>
  <si>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</si>
  <si>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</si>
  <si>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</si>
  <si>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</si>
  <si>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</si>
  <si>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</si>
  <si>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</si>
  <si>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</si>
  <si>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</si>
  <si>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</si>
  <si>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</si>
  <si>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</si>
  <si>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</si>
  <si>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</si>
  <si>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</si>
  <si>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</si>
  <si>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</si>
  <si>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</si>
  <si>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</si>
  <si>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</si>
  <si>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</si>
  <si>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</si>
  <si>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</si>
  <si>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</si>
  <si>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</si>
  <si>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</si>
  <si>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</si>
  <si>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</si>
  <si>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</si>
  <si>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</si>
  <si>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</si>
  <si>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</si>
  <si>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</si>
  <si>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</si>
  <si>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</si>
  <si>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</si>
  <si>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</si>
  <si>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</si>
  <si>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</si>
  <si>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</si>
  <si>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</si>
  <si>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</si>
  <si>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</si>
  <si>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</si>
  <si>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</si>
  <si>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</si>
  <si>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</si>
  <si>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</si>
  <si>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</si>
  <si>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</si>
  <si>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</si>
  <si>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</si>
  <si>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</si>
  <si>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</si>
  <si>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</si>
  <si>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</si>
  <si>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</si>
  <si>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</si>
  <si>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</si>
  <si>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</si>
  <si>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</si>
  <si>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</si>
  <si>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</si>
  <si>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</si>
  <si>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</si>
  <si>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</si>
  <si>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</si>
  <si>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</si>
  <si>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</si>
  <si>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</si>
  <si>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</si>
  <si>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</si>
  <si>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</si>
  <si>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</si>
  <si>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</si>
  <si>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</si>
  <si>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</si>
  <si>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</si>
  <si>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</si>
  <si>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</si>
  <si>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</si>
  <si>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</si>
  <si>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</si>
  <si>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</si>
  <si>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</si>
  <si>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</si>
  <si>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</si>
  <si>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</si>
  <si>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</si>
  <si>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</si>
  <si>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</si>
  <si>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</si>
  <si>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</si>
  <si>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</si>
  <si>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</si>
  <si>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</si>
  <si>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</si>
  <si>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</si>
  <si>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</si>
  <si>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</si>
  <si>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</si>
  <si>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</si>
  <si>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</si>
  <si>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</si>
  <si>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</si>
  <si>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</si>
  <si>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</si>
  <si>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</si>
  <si>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</si>
  <si>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</si>
  <si>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</si>
  <si>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</si>
  <si>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</si>
  <si>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</si>
  <si>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</si>
  <si>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</si>
  <si>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</si>
  <si>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</si>
  <si>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</si>
  <si>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</si>
  <si>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</si>
  <si>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</si>
  <si>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</si>
  <si>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</si>
  <si>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</si>
  <si>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</si>
  <si>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</si>
  <si>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</si>
  <si>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</si>
  <si>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</si>
  <si>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</si>
  <si>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</si>
  <si>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</si>
  <si>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</si>
  <si>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</si>
  <si>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</si>
  <si>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</si>
  <si>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</si>
  <si>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</si>
  <si>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</si>
  <si>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</si>
  <si>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</si>
  <si>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</si>
  <si>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</si>
  <si>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</si>
  <si>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</si>
  <si>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</si>
  <si>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</si>
  <si>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</si>
  <si>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</si>
  <si>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</si>
  <si>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</si>
  <si>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</si>
  <si>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</si>
  <si>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</si>
  <si>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</si>
  <si>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</si>
  <si>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</si>
  <si>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</si>
  <si>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</si>
  <si>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</si>
  <si>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</si>
  <si>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</si>
  <si>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</si>
  <si>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</si>
  <si>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</si>
  <si>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</si>
  <si>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</si>
  <si>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</si>
  <si>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</si>
  <si>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</si>
  <si>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</si>
  <si>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</si>
  <si>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</si>
  <si>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</si>
  <si>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</si>
  <si>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</si>
  <si>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</si>
  <si>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</si>
  <si>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</si>
  <si>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</si>
  <si>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</si>
  <si>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</si>
  <si>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</si>
  <si>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</si>
  <si>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</si>
  <si>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</si>
  <si>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</si>
  <si>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</si>
  <si>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</si>
  <si>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</si>
  <si>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</si>
  <si>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</si>
  <si>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</si>
  <si>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</si>
  <si>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</si>
  <si>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</si>
  <si>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</si>
  <si>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</si>
  <si>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</si>
  <si>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</si>
  <si>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</si>
  <si>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</si>
  <si>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</si>
  <si>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</si>
  <si>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</si>
  <si>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</si>
  <si>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</si>
  <si>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</si>
  <si>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</si>
  <si>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</si>
  <si>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</si>
  <si>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</si>
  <si>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</si>
  <si>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</si>
  <si>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</si>
  <si>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</si>
  <si>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</si>
  <si>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</si>
  <si>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</si>
  <si>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</si>
  <si>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</si>
  <si>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</si>
  <si>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</si>
  <si>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</si>
  <si>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</si>
  <si>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</si>
  <si>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</si>
  <si>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</si>
  <si>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</si>
  <si>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</si>
  <si>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</si>
  <si>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</si>
  <si>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</si>
  <si>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</si>
  <si>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</si>
  <si>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</si>
  <si>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</si>
  <si>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</si>
  <si>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</si>
  <si>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</si>
  <si>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</si>
  <si>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</si>
  <si>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</si>
  <si>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</si>
  <si>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</si>
  <si>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</si>
  <si>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</si>
  <si>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</si>
  <si>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</si>
  <si>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</si>
  <si>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</si>
  <si>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</si>
  <si>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</si>
  <si>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</si>
  <si>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</si>
  <si>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</si>
  <si>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</si>
  <si>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</si>
  <si>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</si>
  <si>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</si>
  <si>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</si>
  <si>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</si>
  <si>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</si>
  <si>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</si>
  <si>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</si>
  <si>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</si>
  <si>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</si>
  <si>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</si>
  <si>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</si>
  <si>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</si>
  <si>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</si>
  <si>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</si>
  <si>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</si>
  <si>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</si>
  <si>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</si>
  <si>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</si>
  <si>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</si>
  <si>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</si>
  <si>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</si>
  <si>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</si>
  <si>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</si>
  <si>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</si>
  <si>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</si>
  <si>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</si>
  <si>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</si>
  <si>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</si>
  <si>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</si>
  <si>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</si>
  <si>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</si>
  <si>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</si>
  <si>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</si>
  <si>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</si>
  <si>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</si>
  <si>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</si>
  <si>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</si>
  <si>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</si>
  <si>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</si>
  <si>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</si>
  <si>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</si>
  <si>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</si>
  <si>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</si>
  <si>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</si>
  <si>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</si>
  <si>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</si>
  <si>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</si>
  <si>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</si>
  <si>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</si>
  <si>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</si>
  <si>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</si>
  <si>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</si>
  <si>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</si>
  <si>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</si>
  <si>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</si>
  <si>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</si>
  <si>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</si>
  <si>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</si>
  <si>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</si>
  <si>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</si>
  <si>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</si>
  <si>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</si>
  <si>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</si>
  <si>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</si>
  <si>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</si>
  <si>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</si>
  <si>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</si>
  <si>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</si>
  <si>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</si>
  <si>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</si>
  <si>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</si>
  <si>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</si>
  <si>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</si>
  <si>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</si>
  <si>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</si>
  <si>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</si>
  <si>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</si>
  <si>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</si>
  <si>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</si>
  <si>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</si>
  <si>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</si>
  <si>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</si>
  <si>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</si>
  <si>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</si>
  <si>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</si>
  <si>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</si>
  <si>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</si>
  <si>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</si>
  <si>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</si>
  <si>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</si>
  <si>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</si>
  <si>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</si>
  <si>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t>地上</t>
  </si>
  <si>
    <t>是</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</si>
  <si>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</si>
  <si>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</si>
  <si>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</si>
  <si>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</si>
  <si>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</si>
  <si>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</si>
  <si>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</si>
  <si>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</si>
  <si>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</si>
  <si>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</si>
  <si>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</si>
  <si>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</si>
  <si>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</si>
  <si>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</si>
  <si>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</si>
  <si>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</si>
  <si>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</si>
  <si>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</si>
  <si>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</si>
  <si>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</si>
  <si>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</si>
  <si>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</si>
  <si>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</si>
  <si>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</si>
  <si>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</si>
  <si>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</si>
  <si>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</si>
  <si>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</si>
  <si>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</si>
  <si>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</si>
  <si>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</si>
  <si>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</si>
  <si>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</si>
  <si>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</si>
  <si>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</si>
  <si>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</si>
  <si>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</si>
  <si>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</si>
  <si>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</si>
  <si>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</si>
  <si>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</si>
  <si>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</si>
  <si>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</si>
  <si>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</si>
  <si>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</si>
  <si>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</si>
  <si>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</si>
  <si>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</si>
  <si>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</si>
  <si>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</si>
  <si>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</si>
  <si>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</si>
  <si>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</si>
  <si>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</si>
  <si>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</si>
  <si>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</si>
  <si>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</si>
  <si>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</si>
  <si>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</si>
  <si>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</si>
  <si>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</si>
  <si>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</si>
  <si>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</si>
  <si>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</si>
  <si>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</si>
  <si>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</si>
  <si>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</si>
  <si>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</si>
  <si>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</si>
  <si>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</si>
  <si>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</si>
  <si>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</si>
  <si>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</si>
  <si>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</si>
  <si>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</si>
  <si>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</si>
  <si>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</si>
  <si>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</si>
  <si>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</si>
  <si>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</si>
  <si>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</si>
  <si>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</si>
  <si>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</si>
  <si>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</si>
  <si>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</si>
  <si>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</si>
  <si>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</si>
  <si>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</si>
  <si>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</si>
  <si>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</si>
  <si>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</si>
  <si>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</si>
  <si>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</si>
  <si>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</si>
  <si>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</si>
  <si>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</si>
  <si>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</si>
  <si>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</si>
  <si>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</si>
  <si>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</si>
  <si>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</si>
  <si>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</si>
  <si>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</si>
  <si>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</si>
  <si>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</si>
  <si>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</si>
  <si>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</si>
  <si>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</si>
  <si>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</si>
  <si>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</si>
  <si>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</si>
  <si>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</si>
  <si>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</si>
  <si>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</si>
  <si>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</si>
  <si>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</si>
  <si>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</si>
  <si>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</si>
  <si>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</si>
  <si>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</si>
  <si>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</si>
  <si>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</si>
  <si>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</si>
  <si>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</si>
  <si>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</si>
  <si>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</si>
  <si>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</si>
  <si>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</si>
  <si>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</si>
  <si>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</si>
  <si>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</si>
  <si>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</si>
  <si>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</si>
  <si>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</si>
  <si>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</si>
  <si>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</si>
  <si>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</si>
  <si>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</si>
  <si>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</si>
  <si>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</si>
  <si>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</si>
  <si>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</si>
  <si>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</si>
  <si>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</si>
  <si>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</si>
  <si>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</si>
  <si>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</si>
  <si>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</si>
  <si>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</si>
  <si>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</si>
  <si>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</si>
  <si>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</si>
  <si>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</si>
  <si>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</si>
  <si>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</si>
  <si>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</si>
  <si>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</si>
  <si>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</si>
  <si>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</si>
  <si>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</si>
  <si>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</si>
  <si>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</si>
  <si>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</si>
  <si>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</si>
  <si>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</si>
  <si>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</si>
  <si>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</si>
  <si>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</si>
  <si>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</si>
  <si>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</si>
  <si>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</si>
  <si>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</si>
  <si>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</si>
  <si>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</si>
  <si>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</si>
  <si>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</si>
  <si>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</si>
  <si>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</si>
  <si>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</si>
  <si>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</si>
  <si>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</si>
  <si>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</si>
  <si>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</si>
  <si>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</si>
  <si>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</si>
  <si>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</si>
  <si>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</si>
  <si>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</si>
  <si>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</si>
  <si>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</si>
  <si>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</si>
  <si>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</si>
  <si>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</si>
  <si>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</si>
  <si>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</si>
  <si>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</si>
  <si>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</si>
  <si>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</si>
  <si>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</si>
  <si>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</si>
  <si>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</si>
  <si>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</si>
  <si>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</si>
  <si>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</si>
  <si>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</si>
  <si>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</si>
  <si>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</si>
  <si>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</si>
  <si>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</si>
  <si>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</si>
  <si>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</si>
  <si>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</si>
  <si>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</si>
  <si>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</si>
  <si>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</si>
  <si>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</si>
  <si>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</si>
  <si>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</si>
  <si>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</si>
  <si>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</si>
  <si>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</si>
  <si>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</si>
  <si>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</si>
  <si>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</si>
  <si>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</si>
  <si>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</si>
  <si>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</si>
  <si>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</si>
  <si>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</si>
  <si>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</si>
  <si>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</si>
  <si>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</si>
  <si>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</si>
  <si>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</si>
  <si>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</si>
  <si>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</si>
  <si>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</si>
  <si>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成本法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</si>
  <si>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</si>
  <si>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</si>
  <si>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</si>
  <si>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</si>
  <si>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</si>
  <si>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</si>
  <si>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</si>
  <si>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</si>
  <si>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</si>
  <si>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</si>
  <si>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</si>
  <si>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</si>
  <si>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</si>
  <si>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</si>
  <si>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</si>
  <si>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</si>
  <si>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</si>
  <si>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</si>
  <si>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</si>
  <si>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</si>
  <si>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</si>
  <si>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</si>
  <si>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工程进度</t>
    <phoneticPr fontId="3" type="noConversion"/>
  </si>
  <si>
    <t>密云区科技路77号院1号楼</t>
    <phoneticPr fontId="3" type="noConversion"/>
  </si>
  <si>
    <t>Ⅸ-密1</t>
  </si>
  <si>
    <r>
      <t>5</t>
    </r>
    <r>
      <rPr>
        <sz val="10"/>
        <color indexed="8"/>
        <rFont val="宋体"/>
        <family val="3"/>
        <charset val="134"/>
      </rPr>
      <t>层</t>
    </r>
    <phoneticPr fontId="3" type="noConversion"/>
  </si>
  <si>
    <r>
      <t>3</t>
    </r>
    <r>
      <rPr>
        <sz val="10"/>
        <color indexed="8"/>
        <rFont val="宋体"/>
        <family val="3"/>
        <charset val="134"/>
      </rPr>
      <t>层</t>
    </r>
    <phoneticPr fontId="3" type="noConversion"/>
  </si>
  <si>
    <r>
      <t>1</t>
    </r>
    <r>
      <rPr>
        <sz val="10"/>
        <color indexed="8"/>
        <rFont val="宋体"/>
        <family val="3"/>
        <charset val="134"/>
      </rPr>
      <t>层</t>
    </r>
    <phoneticPr fontId="3" type="noConversion"/>
  </si>
  <si>
    <r>
      <t>5</t>
    </r>
    <r>
      <rPr>
        <sz val="10"/>
        <color indexed="8"/>
        <rFont val="宋体"/>
        <family val="3"/>
        <charset val="134"/>
      </rPr>
      <t>号</t>
    </r>
    <phoneticPr fontId="3" type="noConversion"/>
  </si>
  <si>
    <r>
      <t>4</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</si>
  <si>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号</t>
    </r>
    <r>
      <rPr>
        <sz val="10"/>
        <color indexed="8"/>
        <rFont val="宋体"/>
        <family val="3"/>
        <charset val="134"/>
      </rPr>
      <t/>
    </r>
    <phoneticPr fontId="3" type="noConversion"/>
  </si>
  <si>
    <r>
      <t>2</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</si>
  <si>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号</t>
    </r>
    <phoneticPr fontId="3" type="noConversion"/>
  </si>
  <si>
    <t>工业</t>
    <phoneticPr fontId="7" type="noConversion"/>
  </si>
  <si>
    <t>宗地容积率</t>
  </si>
  <si>
    <t>不临65条商业街</t>
  </si>
  <si>
    <t>通路</t>
  </si>
  <si>
    <t>通电</t>
  </si>
  <si>
    <t>通讯</t>
  </si>
  <si>
    <t>通上水</t>
  </si>
  <si>
    <t>通下水</t>
  </si>
  <si>
    <t>平整</t>
  </si>
  <si>
    <t>中心城区以外</t>
  </si>
  <si>
    <t>地价指数</t>
  </si>
  <si>
    <t>收益法</t>
  </si>
  <si>
    <t>押一</t>
  </si>
  <si>
    <t>钢混</t>
  </si>
  <si>
    <t>非生产用房</t>
  </si>
  <si>
    <t>否</t>
  </si>
  <si>
    <t>现房</t>
  </si>
  <si>
    <t>成新度</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</si>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</sst>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0" fontId="77" fillId="0" borderId="0" xfId="0" applyFont="1" applyAlignment="1" applyProtection="1">
      <alignment vertical="center"/>
      <protection locked="0"/>
    </xf>
    <xf numFmtId="0" fontId="47" fillId="0" borderId="1" xfId="0" applyFont="1" applyBorder="1" applyAlignment="1" applyProtection="1">
      <alignment horizontal="left" vertical="center" wrapText="1"/>
      <protection locked="0"/>
    </xf>
    <xf numFmtId="176" fontId="47" fillId="5" borderId="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vertical="center"/>
      <protection locked="0"/>
    </xf>
    <xf numFmtId="0" fontId="47" fillId="5"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属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2024年1月19日（评估专业人员实地查勘之日）</v>
      </c>
    </row>
    <row r="13" spans="1:2" s="1194" customFormat="1">
      <c r="A13" s="1192" t="s">
        <v>529</v>
      </c>
      <c r="B13" s="1193"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20294</v>
      </c>
    </row>
    <row r="21" spans="1:2" s="1194" customFormat="1">
      <c r="A21" s="1192" t="s">
        <v>537</v>
      </c>
      <c r="B21" s="1193">
        <f ca="1">'预评函-2'!D7</f>
        <v>5905</v>
      </c>
    </row>
    <row r="22" spans="1:2" s="1194" customFormat="1">
      <c r="A22" s="1192" t="s">
        <v>538</v>
      </c>
      <c r="B22" s="1193" t="str">
        <f ca="1">'预评函-2'!D6</f>
        <v>贰亿零贰佰玖拾肆万元整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20294</v>
      </c>
    </row>
    <row r="31" spans="1:2" s="1194" customFormat="1">
      <c r="A31" s="1192" t="s">
        <v>576</v>
      </c>
      <c r="B31" s="1193">
        <f ca="1">'预评函-2'!D15</f>
        <v>5905</v>
      </c>
    </row>
    <row r="32" spans="1:2" s="1194" customFormat="1">
      <c r="A32" s="1192" t="s">
        <v>543</v>
      </c>
      <c r="B32" s="1193" t="str">
        <f ca="1">'预评函-2'!D14</f>
        <v>贰亿零贰佰玖拾肆万元整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北京市密云区科技路77号院1号楼房地产</v>
      </c>
    </row>
    <row r="42" spans="1:2" s="1194" customFormat="1">
      <c r="A42" s="1192" t="s">
        <v>590</v>
      </c>
      <c r="B42" s="1193" t="str">
        <f>'预评函-3'!B2</f>
        <v>建筑面积</v>
      </c>
    </row>
    <row r="43" spans="1:2" s="1194" customFormat="1">
      <c r="A43" s="1192" t="s">
        <v>591</v>
      </c>
      <c r="B43" s="1193">
        <f>'预评函-3'!B4</f>
        <v>34367.43</v>
      </c>
    </row>
    <row r="44" spans="1:2" s="1194" customFormat="1">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6068</v>
      </c>
    </row>
    <row r="48" spans="1:2" s="1194" customFormat="1">
      <c r="A48" s="1192" t="s">
        <v>549</v>
      </c>
      <c r="B48" s="1193">
        <f ca="1">'预评函-3'!E4</f>
        <v>1766</v>
      </c>
    </row>
    <row r="49" spans="1:2" s="1194" customFormat="1">
      <c r="A49" s="1192" t="s">
        <v>550</v>
      </c>
      <c r="B49" s="1193" t="str">
        <f ca="1">'预评函-3'!D5</f>
        <v>陆仟零陆拾捌万元整</v>
      </c>
    </row>
    <row r="50" spans="1:2" s="1194" customFormat="1">
      <c r="A50" s="1192" t="s">
        <v>574</v>
      </c>
      <c r="B50" s="1193" t="str">
        <f>'预评函-3'!F2</f>
        <v>在建建筑物价值</v>
      </c>
    </row>
    <row r="51" spans="1:2" s="1194" customFormat="1">
      <c r="A51" s="1192" t="s">
        <v>551</v>
      </c>
      <c r="B51" s="1193">
        <f ca="1">'预评函-3'!F4</f>
        <v>14226</v>
      </c>
    </row>
    <row r="52" spans="1:2" s="1194" customFormat="1">
      <c r="A52" s="1192" t="s">
        <v>552</v>
      </c>
      <c r="B52" s="1193">
        <f ca="1">'预评函-3'!G4</f>
        <v>4139</v>
      </c>
    </row>
    <row r="53" spans="1:2" s="1194" customFormat="1">
      <c r="A53" s="1192" t="s">
        <v>580</v>
      </c>
      <c r="B53" s="1193" t="str">
        <f ca="1">'预评函-3'!F5</f>
        <v>壹亿肆仟贰佰贰拾陆万元整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3349</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3335</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3336</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3337</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3338</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3339</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3340</v>
      </c>
    </row>
    <row r="8" spans="1:23">
      <c r="A8" s="1537" t="s">
        <v>1026</v>
      </c>
      <c r="B8" s="1537" t="s">
        <v>1027</v>
      </c>
      <c r="C8" s="1538" t="s">
        <v>319</v>
      </c>
      <c r="F8" s="1539" t="s">
        <v>1028</v>
      </c>
      <c r="H8" s="1539" t="s">
        <v>2577</v>
      </c>
      <c r="I8" s="1539" t="s">
        <v>3341</v>
      </c>
    </row>
    <row r="9" spans="1:23">
      <c r="A9" s="1537" t="s">
        <v>1029</v>
      </c>
      <c r="B9" s="1537" t="s">
        <v>1030</v>
      </c>
      <c r="C9" s="1538" t="s">
        <v>320</v>
      </c>
      <c r="F9" s="1539" t="s">
        <v>1031</v>
      </c>
      <c r="H9" s="1539"/>
      <c r="I9" s="1542" t="s">
        <v>3342</v>
      </c>
    </row>
    <row r="10" spans="1:23">
      <c r="A10" s="1537" t="s">
        <v>1032</v>
      </c>
      <c r="B10" s="1537" t="s">
        <v>1033</v>
      </c>
      <c r="C10" s="1538" t="s">
        <v>321</v>
      </c>
      <c r="F10" s="1539" t="s">
        <v>2578</v>
      </c>
      <c r="I10" s="1542" t="s">
        <v>3343</v>
      </c>
    </row>
    <row r="11" spans="1:23">
      <c r="A11" s="1537" t="s">
        <v>1034</v>
      </c>
      <c r="B11" s="1537" t="s">
        <v>1035</v>
      </c>
      <c r="C11" s="1538" t="s">
        <v>322</v>
      </c>
      <c r="F11" s="1539" t="s">
        <v>13</v>
      </c>
      <c r="I11" s="1542" t="s">
        <v>3344</v>
      </c>
    </row>
    <row r="12" spans="1:23">
      <c r="A12" s="1537" t="s">
        <v>1036</v>
      </c>
      <c r="B12" s="1537" t="s">
        <v>1037</v>
      </c>
      <c r="C12" s="1538" t="s">
        <v>323</v>
      </c>
      <c r="I12" s="1542" t="s">
        <v>3345</v>
      </c>
    </row>
    <row r="13" spans="1:23">
      <c r="A13" s="1537" t="s">
        <v>1038</v>
      </c>
      <c r="B13" s="1537" t="s">
        <v>1039</v>
      </c>
      <c r="C13" s="1538" t="s">
        <v>324</v>
      </c>
      <c r="I13" s="1542" t="s">
        <v>3346</v>
      </c>
    </row>
    <row r="14" spans="1:23">
      <c r="A14" s="1537" t="s">
        <v>1040</v>
      </c>
      <c r="B14" s="1537" t="s">
        <v>1041</v>
      </c>
      <c r="C14" s="1539" t="s">
        <v>13</v>
      </c>
      <c r="I14" s="1542" t="s">
        <v>3347</v>
      </c>
    </row>
    <row r="15" spans="1:23">
      <c r="A15" s="1537" t="s">
        <v>1042</v>
      </c>
      <c r="B15" s="1537" t="s">
        <v>1043</v>
      </c>
      <c r="C15" s="1538"/>
      <c r="I15" s="1542" t="s">
        <v>3348</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54"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45" t="s">
        <v>385</v>
      </c>
      <c r="C54" s="1542" t="s">
        <v>583</v>
      </c>
    </row>
    <row r="55" spans="1:4">
      <c r="A55" s="3554"/>
      <c r="B55" s="1545" t="s">
        <v>386</v>
      </c>
      <c r="C55" s="1542" t="s">
        <v>584</v>
      </c>
    </row>
    <row r="56" spans="1:4">
      <c r="A56" s="3554"/>
      <c r="B56" s="1545" t="s">
        <v>387</v>
      </c>
      <c r="C56" s="1542" t="s">
        <v>588</v>
      </c>
    </row>
    <row r="57" spans="1:4">
      <c r="A57" s="3554"/>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3" sqref="B3"/>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55" t="s">
        <v>2580</v>
      </c>
      <c r="J2" s="3555"/>
      <c r="K2" s="3555"/>
      <c r="L2" s="3555"/>
      <c r="M2" s="3555"/>
      <c r="N2" s="3555"/>
      <c r="O2" s="3555"/>
      <c r="P2" s="3555"/>
      <c r="Q2" s="3555"/>
      <c r="R2" s="3555"/>
    </row>
    <row r="3" spans="1:18">
      <c r="A3" s="3007" t="s">
        <v>2501</v>
      </c>
      <c r="B3" s="3008">
        <f>项目基本情况!D3</f>
        <v>45310</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2.91</v>
      </c>
      <c r="D5" s="3012">
        <f>IF(ISERROR(ROUND(POWER(1+E5,A5-C5)*(POWER(1+E5,C5)-1)/(POWER(1+E5,A5)-1),3)),0,ROUND(POWER(1+E5,A5-C5)*(POWER(1+E5,C5)-1)/(POWER(1+E5,A5)-1),4))</f>
        <v>0.13619999999999999</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12.92</v>
      </c>
      <c r="D6" s="3012">
        <f>IF(ISERROR(ROUND(POWER(1+E6,A6-C6)*(POWER(1+E6,C6)-1)/(POWER(1+E6,A6)-1),3)),0,ROUND(POWER(1+E6,A6-C6)*(POWER(1+E6,C6)-1)/(POWER(1+E6,A6)-1),4))</f>
        <v>0.46260000000000001</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32.93</v>
      </c>
      <c r="D7" s="3012">
        <f>IF(ISERROR(ROUND(POWER(1+E7,A7-C7)*(POWER(1+E7,C7)-1)/(POWER(1+E7,A7)-1),3)),0,ROUND(POWER(1+E7,A7-C7)*(POWER(1+E7,C7)-1)/(POWER(1+E7,A7)-1),4))</f>
        <v>0.77490000000000003</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4.25" thickBot="1">
      <c r="A18" s="3018" t="s">
        <v>2516</v>
      </c>
      <c r="B18" s="3019">
        <f>ROUND(B17*F11/F12,2)</f>
        <v>5541.87</v>
      </c>
      <c r="C18" s="3019">
        <f>ROUND(F11/F12,4)</f>
        <v>1.1521999999999999</v>
      </c>
      <c r="D18" s="3020"/>
      <c r="E18" s="3020"/>
      <c r="F18" s="3021"/>
    </row>
    <row r="19" spans="1:13" ht="14.25" thickBot="1"/>
    <row r="20" spans="1:13" s="3056" customFormat="1" ht="14.2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4.2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4" sqref="E4"/>
    </sheetView>
  </sheetViews>
  <sheetFormatPr defaultColWidth="10" defaultRowHeight="12.75"/>
  <cols>
    <col min="1" max="1" width="16.875" style="1736" customWidth="1"/>
    <col min="2" max="2" width="11.625" style="1736" bestFit="1"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64" t="str">
        <f>IF(B10="北京市","北京市",C10)&amp;F10&amp;IF(结果表!G1="在建","出让国有建设用地使用权及在建建筑物",IF(结果表!G1="土地","出让国有建设用地使用权",))&amp;B9&amp;"预评估"</f>
        <v>北京市密云区科技路77号院1号楼房地产抵押价值预评估</v>
      </c>
      <c r="C1" s="3565"/>
      <c r="D1" s="3565"/>
      <c r="E1" s="3565"/>
      <c r="F1" s="3565"/>
      <c r="G1" s="3565"/>
      <c r="H1" s="3565"/>
      <c r="I1" s="3566"/>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ht="14.25">
      <c r="A3" s="296" t="s">
        <v>2170</v>
      </c>
      <c r="B3" s="3436">
        <v>45310</v>
      </c>
      <c r="C3" s="2365" t="s">
        <v>2171</v>
      </c>
      <c r="D3" s="2364">
        <f>B3</f>
        <v>45310</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3718</v>
      </c>
      <c r="C4" s="2367">
        <f ca="1">SUMIF(注册房地产估价师,B4,估价师及机构信息!B3:B24)</f>
        <v>1120100036</v>
      </c>
      <c r="D4" s="2366" t="s">
        <v>3719</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3377</v>
      </c>
      <c r="C8" s="2381"/>
      <c r="D8" s="3567" t="s">
        <v>2177</v>
      </c>
      <c r="E8" s="2382" t="s">
        <v>3378</v>
      </c>
      <c r="F8" s="2383"/>
      <c r="G8" s="2651"/>
      <c r="H8" s="2651"/>
      <c r="I8" s="2651"/>
      <c r="J8" s="2430"/>
      <c r="K8" s="2602"/>
      <c r="L8" s="2601"/>
      <c r="M8" s="2601"/>
      <c r="N8" s="2430"/>
      <c r="O8" s="2441"/>
      <c r="P8" s="2430"/>
      <c r="Q8" s="2430"/>
      <c r="R8" s="2430"/>
    </row>
    <row r="9" spans="1:30" ht="13.5" thickBot="1">
      <c r="A9" s="2384" t="s">
        <v>2178</v>
      </c>
      <c r="B9" s="2385" t="s">
        <v>3378</v>
      </c>
      <c r="C9" s="2386"/>
      <c r="D9" s="3568"/>
      <c r="E9" s="2385" t="s">
        <v>43</v>
      </c>
      <c r="F9" s="2387"/>
      <c r="G9" s="2653"/>
      <c r="H9" s="2653"/>
      <c r="I9" s="2653"/>
      <c r="J9" s="2430"/>
      <c r="K9" s="2604"/>
      <c r="L9" s="2601"/>
      <c r="M9" s="2601"/>
      <c r="N9" s="2430"/>
      <c r="O9" s="2441"/>
      <c r="P9" s="2430"/>
      <c r="Q9" s="2430"/>
      <c r="R9" s="2430"/>
    </row>
    <row r="10" spans="1:30" ht="13.5" thickTop="1">
      <c r="A10" s="2388" t="s">
        <v>2179</v>
      </c>
      <c r="B10" s="2389" t="s">
        <v>3379</v>
      </c>
      <c r="C10" s="2390"/>
      <c r="D10" s="2373"/>
      <c r="E10" s="2391" t="s">
        <v>2180</v>
      </c>
      <c r="F10" s="3437" t="s">
        <v>3690</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4.25">
      <c r="A13" s="3410" t="s">
        <v>3330</v>
      </c>
      <c r="B13" s="2398" t="s">
        <v>2190</v>
      </c>
      <c r="C13" s="847"/>
      <c r="D13" s="3438"/>
      <c r="E13" s="3438"/>
      <c r="F13" s="3438"/>
      <c r="G13" s="3438"/>
      <c r="H13" s="847">
        <v>59663</v>
      </c>
      <c r="I13" s="847"/>
      <c r="J13" s="3049"/>
      <c r="K13" s="2601"/>
      <c r="L13" s="2601"/>
      <c r="M13" s="2430"/>
      <c r="N13" s="2441"/>
      <c r="O13" s="2430"/>
      <c r="P13" s="2430"/>
      <c r="Q13" s="2430"/>
      <c r="AD13" s="1736"/>
    </row>
    <row r="14" spans="1:30" ht="14.25">
      <c r="A14" s="1072"/>
      <c r="B14" s="2398" t="s">
        <v>2191</v>
      </c>
      <c r="C14" s="2399"/>
      <c r="D14" s="3439"/>
      <c r="E14" s="3439"/>
      <c r="F14" s="3439"/>
      <c r="G14" s="3439"/>
      <c r="H14" s="2399">
        <v>50</v>
      </c>
      <c r="I14" s="2399"/>
      <c r="J14" s="3050"/>
      <c r="K14" s="2601"/>
      <c r="L14" s="2601"/>
      <c r="M14" s="2430"/>
      <c r="N14" s="2441"/>
      <c r="O14" s="2430"/>
      <c r="P14" s="2430"/>
      <c r="Q14" s="2430"/>
      <c r="AD14" s="1736"/>
    </row>
    <row r="15" spans="1:30">
      <c r="A15" s="314"/>
      <c r="B15" s="2400" t="s">
        <v>2192</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39.32</v>
      </c>
      <c r="I15" s="2401" t="str">
        <f>IF(A13="出让",IF(I13="","",ROUNDDOWN(MIN((I13-$D$3)/365,I14),2)),I14)</f>
        <v/>
      </c>
      <c r="J15" s="3051"/>
      <c r="K15" s="2442"/>
      <c r="L15" s="2442"/>
      <c r="M15" s="2497"/>
      <c r="N15" s="2442"/>
      <c r="O15" s="2497"/>
      <c r="P15" s="2430"/>
      <c r="Q15" s="2430"/>
      <c r="AD15" s="1736"/>
    </row>
    <row r="16" spans="1:30">
      <c r="A16" s="2391" t="s">
        <v>2193</v>
      </c>
      <c r="B16" s="3574"/>
      <c r="C16" s="3575"/>
      <c r="D16" s="3576"/>
      <c r="E16" s="2404" t="s">
        <v>2194</v>
      </c>
      <c r="F16" s="3577"/>
      <c r="G16" s="3578"/>
      <c r="H16" s="3578"/>
      <c r="I16" s="3579"/>
      <c r="J16" s="2430"/>
      <c r="K16" s="2605"/>
      <c r="L16" s="2442"/>
      <c r="M16" s="2442"/>
      <c r="N16" s="2497"/>
      <c r="O16" s="2442"/>
      <c r="P16" s="2497"/>
      <c r="Q16" s="2430"/>
      <c r="R16" s="2430"/>
    </row>
    <row r="17" spans="1:28">
      <c r="A17" s="307" t="s">
        <v>2195</v>
      </c>
      <c r="B17" s="296" t="s">
        <v>2196</v>
      </c>
      <c r="C17" s="8">
        <f>'数据-汇总表'!E3</f>
        <v>34367.43</v>
      </c>
      <c r="D17" s="2313" t="s">
        <v>2197</v>
      </c>
      <c r="E17" s="3580" t="s">
        <v>2198</v>
      </c>
      <c r="F17" s="3581"/>
      <c r="G17" s="3581"/>
      <c r="H17" s="3581"/>
      <c r="I17" s="3582"/>
      <c r="J17" s="2430"/>
      <c r="K17" s="2606"/>
      <c r="L17" s="2442"/>
      <c r="M17" s="2442"/>
      <c r="N17" s="2497"/>
      <c r="O17" s="2442"/>
      <c r="P17" s="2497"/>
      <c r="Q17" s="2430"/>
      <c r="R17" s="2430"/>
      <c r="S17" s="2430"/>
      <c r="T17" s="2430"/>
      <c r="U17" s="2430"/>
      <c r="V17" s="2430"/>
    </row>
    <row r="18" spans="1:28" ht="24.75" thickBot="1">
      <c r="A18" s="2405" t="s">
        <v>2199</v>
      </c>
      <c r="B18" s="1081" t="s">
        <v>2200</v>
      </c>
      <c r="C18" s="2406">
        <f>'数据-汇总表'!D3</f>
        <v>33154.39</v>
      </c>
      <c r="D18" s="1083" t="s">
        <v>2201</v>
      </c>
      <c r="E18" s="3583" t="s">
        <v>2202</v>
      </c>
      <c r="F18" s="3584"/>
      <c r="G18" s="3584"/>
      <c r="H18" s="3584"/>
      <c r="I18" s="3585"/>
      <c r="J18" s="2430"/>
      <c r="K18" s="2606"/>
      <c r="L18" s="2442"/>
      <c r="M18" s="2442"/>
      <c r="N18" s="2497"/>
      <c r="O18" s="2442"/>
      <c r="P18" s="2497"/>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70" t="s">
        <v>2206</v>
      </c>
      <c r="C20" s="3571"/>
      <c r="D20" s="3572" t="s">
        <v>2207</v>
      </c>
      <c r="E20" s="3573"/>
      <c r="F20" s="2635" t="s">
        <v>1056</v>
      </c>
      <c r="G20" s="2652"/>
      <c r="H20" s="2652"/>
      <c r="I20" s="2652"/>
      <c r="J20" s="2430"/>
      <c r="K20" s="3569"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0"/>
      <c r="B21" s="2621" t="s">
        <v>2209</v>
      </c>
      <c r="C21" s="2622" t="s">
        <v>1057</v>
      </c>
      <c r="D21" s="1559" t="s">
        <v>2210</v>
      </c>
      <c r="E21" s="2623" t="s">
        <v>1057</v>
      </c>
      <c r="F21" s="2636"/>
      <c r="G21" s="2652"/>
      <c r="H21" s="2652"/>
      <c r="I21" s="2652"/>
      <c r="J21" s="2430"/>
      <c r="K21" s="3569"/>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0"/>
      <c r="B22" s="2624" t="s">
        <v>2211</v>
      </c>
      <c r="C22" s="2622" t="s">
        <v>1058</v>
      </c>
      <c r="D22" s="2651"/>
      <c r="E22" s="2651"/>
      <c r="F22" s="2651"/>
      <c r="G22" s="2652"/>
      <c r="H22" s="2652"/>
      <c r="I22" s="2652"/>
      <c r="J22" s="2430"/>
      <c r="K22" s="3569"/>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5"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5" thickTop="1">
      <c r="A27" s="3557"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57"/>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57"/>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58"/>
      <c r="B30" s="296" t="s">
        <v>2218</v>
      </c>
      <c r="C30" s="3559"/>
      <c r="D30" s="3560"/>
      <c r="E30" s="2652"/>
      <c r="F30" s="2652"/>
      <c r="G30" s="2652"/>
      <c r="H30" s="2652"/>
      <c r="I30" s="2652"/>
      <c r="J30" s="2430"/>
      <c r="K30" s="2604"/>
      <c r="L30" s="2601"/>
      <c r="M30" s="2601"/>
      <c r="N30" s="2430"/>
      <c r="O30" s="2441"/>
      <c r="P30" s="2430"/>
      <c r="Q30" s="2430"/>
      <c r="R30" s="2430"/>
      <c r="S30" s="2430"/>
      <c r="T30" s="2430"/>
      <c r="U30" s="2430"/>
      <c r="V30" s="2430"/>
    </row>
    <row r="31" spans="1:28">
      <c r="A31" s="3561"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62"/>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62"/>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56" t="s">
        <v>2228</v>
      </c>
      <c r="T34" s="2419" t="str">
        <f>NUMBERSTRING(7-K34,1)&amp;"通"</f>
        <v>七通</v>
      </c>
      <c r="U34" s="2430"/>
      <c r="V34" s="2430"/>
    </row>
    <row r="35" spans="1:30">
      <c r="A35" s="2420"/>
      <c r="B35" s="3563" t="s">
        <v>2229</v>
      </c>
      <c r="C35" s="3563"/>
      <c r="D35" s="3563"/>
      <c r="E35" s="3563"/>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56"/>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4.25">
      <c r="A37" s="2618" t="s">
        <v>2230</v>
      </c>
      <c r="B37" s="3440"/>
      <c r="C37" s="3440"/>
      <c r="D37" s="3440"/>
      <c r="E37" s="3440" t="s">
        <v>306</v>
      </c>
      <c r="F37" s="2422"/>
      <c r="G37" s="2652"/>
      <c r="H37" s="2652"/>
      <c r="I37" s="2652"/>
      <c r="J37" s="2430"/>
      <c r="K37" s="2604"/>
      <c r="L37" s="2601"/>
      <c r="M37" s="2601"/>
      <c r="N37" s="2430"/>
      <c r="O37" s="2441"/>
      <c r="P37" s="2430"/>
      <c r="Q37" s="2430"/>
      <c r="R37" s="2430"/>
      <c r="S37" s="2430"/>
      <c r="T37" s="2430"/>
      <c r="U37" s="2430"/>
      <c r="V37" s="2430"/>
    </row>
    <row r="38" spans="1:30" ht="15" thickBot="1">
      <c r="A38" s="2619" t="s">
        <v>2231</v>
      </c>
      <c r="B38" s="3440"/>
      <c r="C38" s="3440"/>
      <c r="D38" s="3440"/>
      <c r="E38" s="3440" t="s">
        <v>3691</v>
      </c>
      <c r="F38" s="2423"/>
      <c r="G38" s="2653"/>
      <c r="H38" s="2653"/>
      <c r="I38" s="2653"/>
      <c r="J38" s="2430"/>
      <c r="K38" s="2604"/>
      <c r="L38" s="2601"/>
      <c r="M38" s="2601"/>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P5" sqref="P5:P11"/>
    </sheetView>
  </sheetViews>
  <sheetFormatPr defaultColWidth="9" defaultRowHeight="16.5"/>
  <cols>
    <col min="1" max="1" width="16.625" style="3441" customWidth="1"/>
    <col min="2" max="2" width="11.75" style="3441" bestFit="1" customWidth="1"/>
    <col min="3" max="3" width="11.5" style="3441" customWidth="1"/>
    <col min="4" max="4" width="12.5" style="3441" customWidth="1"/>
    <col min="5" max="5" width="9.125" style="3441" bestFit="1" customWidth="1"/>
    <col min="6" max="6" width="9.125" style="3441" customWidth="1"/>
    <col min="7" max="7" width="11.125" style="3441" bestFit="1" customWidth="1"/>
    <col min="8" max="8" width="9.125" style="3441" bestFit="1" customWidth="1"/>
    <col min="9" max="9" width="11.125" style="3441" bestFit="1" customWidth="1"/>
    <col min="10" max="10" width="11.5" style="3441" bestFit="1" customWidth="1"/>
    <col min="11" max="12" width="9" style="3441" customWidth="1"/>
    <col min="13" max="14" width="9.625" style="3441" customWidth="1"/>
    <col min="15" max="15" width="9.5" style="3441" bestFit="1" customWidth="1"/>
    <col min="16" max="16" width="10.5" style="3441" bestFit="1" customWidth="1"/>
    <col min="17" max="17" width="9.5" style="3441" bestFit="1" customWidth="1"/>
    <col min="18" max="16384" width="9" style="3441"/>
  </cols>
  <sheetData>
    <row r="1" spans="1:17">
      <c r="A1" s="3441" t="s">
        <v>3380</v>
      </c>
      <c r="B1" s="3441">
        <f>[4]面积!$B$1</f>
        <v>59170.52</v>
      </c>
      <c r="D1" s="3441" t="s">
        <v>3381</v>
      </c>
      <c r="E1" s="3441">
        <f>B12/B1</f>
        <v>0.32397906930681025</v>
      </c>
    </row>
    <row r="2" spans="1:17">
      <c r="A2" s="3586" t="s">
        <v>3382</v>
      </c>
      <c r="B2" s="3586" t="s">
        <v>3383</v>
      </c>
      <c r="C2" s="3586"/>
      <c r="D2" s="3586"/>
      <c r="E2" s="3586"/>
      <c r="F2" s="3586"/>
      <c r="G2" s="3586"/>
      <c r="H2" s="3586"/>
      <c r="I2" s="3586"/>
      <c r="J2" s="3586"/>
      <c r="K2" s="3586"/>
      <c r="L2" s="3586"/>
      <c r="M2" s="3586"/>
      <c r="N2" s="3586"/>
      <c r="O2" s="3586"/>
    </row>
    <row r="3" spans="1:17">
      <c r="A3" s="3586"/>
      <c r="B3" s="3442" t="s">
        <v>3384</v>
      </c>
      <c r="C3" s="3587" t="s">
        <v>3385</v>
      </c>
      <c r="D3" s="3587"/>
      <c r="E3" s="3587"/>
      <c r="F3" s="3587"/>
      <c r="G3" s="3587"/>
      <c r="H3" s="3587"/>
      <c r="I3" s="3586" t="s">
        <v>3386</v>
      </c>
      <c r="J3" s="3586"/>
      <c r="K3" s="3586"/>
      <c r="L3" s="3586"/>
      <c r="M3" s="3586"/>
      <c r="N3" s="3586"/>
      <c r="O3" s="3586"/>
    </row>
    <row r="4" spans="1:17" s="3445" customFormat="1">
      <c r="A4" s="3586"/>
      <c r="B4" s="3442"/>
      <c r="C4" s="3443" t="s">
        <v>3387</v>
      </c>
      <c r="D4" s="3442" t="s">
        <v>3388</v>
      </c>
      <c r="E4" s="3443" t="s">
        <v>3389</v>
      </c>
      <c r="F4" s="3443"/>
      <c r="G4" s="3442" t="s">
        <v>3390</v>
      </c>
      <c r="H4" s="3442" t="s">
        <v>3391</v>
      </c>
      <c r="I4" s="3442" t="s">
        <v>3387</v>
      </c>
      <c r="J4" s="3442" t="s">
        <v>3392</v>
      </c>
      <c r="K4" s="3442" t="s">
        <v>3393</v>
      </c>
      <c r="L4" s="3442" t="s">
        <v>3389</v>
      </c>
      <c r="M4" s="3442" t="s">
        <v>3390</v>
      </c>
      <c r="N4" s="3442" t="s">
        <v>3394</v>
      </c>
      <c r="O4" s="3442" t="s">
        <v>3391</v>
      </c>
      <c r="P4" s="3444" t="s">
        <v>3395</v>
      </c>
      <c r="Q4" s="3445" t="s">
        <v>3671</v>
      </c>
    </row>
    <row r="5" spans="1:17" s="3445" customFormat="1">
      <c r="A5" s="3446" t="s">
        <v>3396</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0.65</v>
      </c>
    </row>
    <row r="6" spans="1:17" s="3445" customFormat="1">
      <c r="A6" s="3446" t="s">
        <v>3397</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3398</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3399</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3400</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3401</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3402</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3403</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0.55444718599520815</v>
      </c>
    </row>
    <row r="14" spans="1:17" s="3445" customFormat="1">
      <c r="A14" s="3441" t="s">
        <v>3404</v>
      </c>
      <c r="B14" s="3441">
        <f>[4]面积!$B$14</f>
        <v>42456.82</v>
      </c>
      <c r="C14" s="3441"/>
      <c r="D14" s="3441" t="s">
        <v>3381</v>
      </c>
      <c r="E14" s="3441">
        <f>B25/B14</f>
        <v>0.13290514927872599</v>
      </c>
      <c r="F14" s="3441"/>
      <c r="G14" s="3451"/>
      <c r="H14" s="3451"/>
      <c r="I14" s="3452"/>
      <c r="J14" s="3452"/>
      <c r="K14" s="3452"/>
      <c r="L14" s="3452"/>
      <c r="M14" s="3452"/>
      <c r="N14" s="3452"/>
      <c r="O14" s="3452"/>
      <c r="P14" s="3444"/>
    </row>
    <row r="15" spans="1:17">
      <c r="A15" s="3588" t="s">
        <v>3382</v>
      </c>
      <c r="B15" s="3588" t="s">
        <v>3383</v>
      </c>
      <c r="C15" s="3588"/>
      <c r="D15" s="3588"/>
      <c r="E15" s="3588"/>
      <c r="F15" s="3588"/>
      <c r="G15" s="3588"/>
      <c r="H15" s="3588"/>
      <c r="I15" s="3588"/>
      <c r="J15" s="3588"/>
      <c r="K15" s="3588"/>
      <c r="L15" s="3588"/>
      <c r="M15" s="3588"/>
      <c r="N15" s="3588"/>
      <c r="O15" s="3588"/>
      <c r="P15" s="3449"/>
    </row>
    <row r="16" spans="1:17">
      <c r="A16" s="3588"/>
      <c r="B16" s="3453" t="s">
        <v>3384</v>
      </c>
      <c r="C16" s="3589" t="s">
        <v>3385</v>
      </c>
      <c r="D16" s="3589"/>
      <c r="E16" s="3589"/>
      <c r="F16" s="3589"/>
      <c r="G16" s="3589"/>
      <c r="H16" s="3589"/>
      <c r="I16" s="3588" t="s">
        <v>3386</v>
      </c>
      <c r="J16" s="3588"/>
      <c r="K16" s="3588"/>
      <c r="L16" s="3588"/>
      <c r="M16" s="3588"/>
      <c r="N16" s="3588"/>
      <c r="O16" s="3588"/>
      <c r="P16" s="3449"/>
    </row>
    <row r="17" spans="1:17" s="3445" customFormat="1">
      <c r="A17" s="3588"/>
      <c r="B17" s="3453"/>
      <c r="C17" s="3454" t="s">
        <v>3387</v>
      </c>
      <c r="D17" s="3455" t="s">
        <v>3388</v>
      </c>
      <c r="E17" s="3453" t="s">
        <v>3405</v>
      </c>
      <c r="F17" s="3453" t="s">
        <v>3390</v>
      </c>
      <c r="G17" s="3454" t="s">
        <v>3389</v>
      </c>
      <c r="H17" s="3453" t="s">
        <v>3391</v>
      </c>
      <c r="I17" s="3453" t="s">
        <v>3387</v>
      </c>
      <c r="J17" s="3453" t="s">
        <v>3392</v>
      </c>
      <c r="K17" s="3453" t="s">
        <v>3393</v>
      </c>
      <c r="L17" s="3453" t="s">
        <v>3389</v>
      </c>
      <c r="M17" s="3453" t="s">
        <v>3390</v>
      </c>
      <c r="N17" s="3453" t="s">
        <v>3394</v>
      </c>
      <c r="O17" s="3453" t="s">
        <v>3391</v>
      </c>
      <c r="P17" s="3444"/>
    </row>
    <row r="18" spans="1:17" s="3445" customFormat="1">
      <c r="A18" s="3456" t="s">
        <v>3406</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3407</v>
      </c>
    </row>
    <row r="19" spans="1:17" s="3445" customFormat="1">
      <c r="A19" s="3456" t="s">
        <v>3408</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3409</v>
      </c>
    </row>
    <row r="20" spans="1:17" s="3445" customFormat="1">
      <c r="A20" s="3456" t="s">
        <v>3410</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3411</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3412</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3413</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3414</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3415</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3416</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3417</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3418</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3419</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3420</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3421</v>
      </c>
      <c r="F34" s="3441" t="s">
        <v>3422</v>
      </c>
      <c r="G34" s="3458">
        <f>E19</f>
        <v>641.80999999999995</v>
      </c>
      <c r="H34" s="3441">
        <f>E26/4</f>
        <v>875.42499999999995</v>
      </c>
      <c r="I34" s="3458">
        <f>SUM(G34:H34)</f>
        <v>1517.2349999999999</v>
      </c>
      <c r="J34" s="3441">
        <v>1</v>
      </c>
      <c r="K34" s="3441">
        <v>8</v>
      </c>
    </row>
    <row r="35" spans="5:11">
      <c r="F35" s="3441" t="s">
        <v>3423</v>
      </c>
      <c r="H35" s="3441">
        <f>H34</f>
        <v>875.42499999999995</v>
      </c>
      <c r="I35" s="3458">
        <f t="shared" ref="I35:I38" si="8">SUM(G35:H35)</f>
        <v>875.42499999999995</v>
      </c>
      <c r="J35" s="3441">
        <v>0.7</v>
      </c>
      <c r="K35" s="3441">
        <f>$K$34*J35</f>
        <v>5.6</v>
      </c>
    </row>
    <row r="36" spans="5:11">
      <c r="F36" s="3441" t="s">
        <v>3424</v>
      </c>
      <c r="H36" s="3441">
        <f>H35</f>
        <v>875.42499999999995</v>
      </c>
      <c r="I36" s="3458">
        <f t="shared" si="8"/>
        <v>875.42499999999995</v>
      </c>
      <c r="J36" s="3441">
        <v>0.6</v>
      </c>
      <c r="K36" s="3441">
        <f t="shared" ref="K36:K38" si="9">$K$34*J36</f>
        <v>4.8</v>
      </c>
    </row>
    <row r="37" spans="5:11">
      <c r="F37" s="3441" t="s">
        <v>3425</v>
      </c>
      <c r="H37" s="3441">
        <f>H36</f>
        <v>875.42499999999995</v>
      </c>
      <c r="I37" s="3458">
        <f t="shared" si="8"/>
        <v>875.42499999999995</v>
      </c>
      <c r="J37" s="3441">
        <v>0.5</v>
      </c>
      <c r="K37" s="3441">
        <f t="shared" si="9"/>
        <v>4</v>
      </c>
    </row>
    <row r="38" spans="5:11">
      <c r="F38" s="3441" t="s">
        <v>3426</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3427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t="s">
        <v>3692</v>
      </c>
      <c r="B13" s="1042">
        <v>33154.39</v>
      </c>
      <c r="C13" s="3510" t="s">
        <v>3699</v>
      </c>
      <c r="D13" s="1616" t="s">
        <v>3428</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t="s">
        <v>3693</v>
      </c>
      <c r="B14" s="1042"/>
      <c r="C14" s="3510" t="s">
        <v>3698</v>
      </c>
      <c r="D14" s="1616" t="s">
        <v>3428</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t="s">
        <v>3694</v>
      </c>
      <c r="B15" s="1042"/>
      <c r="C15" s="3510" t="s">
        <v>3697</v>
      </c>
      <c r="D15" s="1616" t="s">
        <v>3428</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3513" t="str">
        <f>A15</f>
        <v>1层</v>
      </c>
      <c r="B16" s="1042"/>
      <c r="C16" s="3510" t="s">
        <v>3696</v>
      </c>
      <c r="D16" s="1616" t="s">
        <v>3428</v>
      </c>
      <c r="E16" s="13">
        <f>IF($C$3="是",ROUND($A$3*G16/$B$3,2),ROUND($A$3*(G16-AT16)/$B$3,2))</f>
        <v>1531.1</v>
      </c>
      <c r="F16" s="29"/>
      <c r="G16" s="30">
        <f>H16+AC16+AT16</f>
        <v>1587.12</v>
      </c>
      <c r="H16" s="17">
        <f>SUMIF(I$12:AB$12,"总值",I16:AB16)</f>
        <v>1587.12</v>
      </c>
      <c r="I16" s="3511">
        <f>I15</f>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t="s">
        <v>3694</v>
      </c>
      <c r="B17" s="1042"/>
      <c r="C17" s="3510" t="s">
        <v>3695</v>
      </c>
      <c r="D17" s="1616" t="s">
        <v>3428</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M6" sqref="M6"/>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7"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99" t="s">
        <v>1131</v>
      </c>
      <c r="B2" s="3599"/>
      <c r="C2" s="3599"/>
      <c r="D2" s="787" t="s">
        <v>1107</v>
      </c>
      <c r="E2" s="1630" t="s">
        <v>1108</v>
      </c>
      <c r="F2" s="2647"/>
      <c r="G2" s="2638"/>
      <c r="H2" s="2639"/>
      <c r="I2" s="2316" t="s">
        <v>1132</v>
      </c>
      <c r="J2" s="2647"/>
      <c r="K2" s="2647"/>
      <c r="L2" s="2647"/>
      <c r="M2" s="2647"/>
      <c r="N2" s="2649"/>
      <c r="O2" s="2647"/>
      <c r="P2" s="2647"/>
    </row>
    <row r="3" spans="1:16" ht="15.75" thickBot="1">
      <c r="A3" s="3600" t="s">
        <v>1105</v>
      </c>
      <c r="B3" s="3600"/>
      <c r="C3" s="3600"/>
      <c r="D3" s="43">
        <f>'数据-基础表'!AY6</f>
        <v>33154.39</v>
      </c>
      <c r="E3" s="43">
        <f>'数据-基础表'!AZ5</f>
        <v>34367.43</v>
      </c>
      <c r="F3" s="2647"/>
      <c r="G3" s="1136"/>
      <c r="H3" s="1017" t="s">
        <v>1106</v>
      </c>
      <c r="I3" s="846">
        <f>ROUND('数据-基础表'!B3/'数据-基础表'!A3,2)</f>
        <v>1.04</v>
      </c>
      <c r="J3" s="2647"/>
      <c r="K3" s="2647"/>
      <c r="L3" s="2647"/>
      <c r="M3" s="2647"/>
      <c r="N3" s="2649"/>
      <c r="O3" s="2647"/>
      <c r="P3" s="2647"/>
    </row>
    <row r="4" spans="1:16" ht="15">
      <c r="A4" s="3601"/>
      <c r="B4" s="3602"/>
      <c r="C4" s="3603"/>
      <c r="D4" s="1632" t="s">
        <v>1107</v>
      </c>
      <c r="E4" s="1633" t="s">
        <v>1108</v>
      </c>
      <c r="F4" s="2647"/>
      <c r="G4" s="2640" t="s">
        <v>1133</v>
      </c>
      <c r="H4" s="1017" t="s">
        <v>1113</v>
      </c>
      <c r="I4" s="846">
        <f>ROUND(SUMIF('数据-基础表'!I9:AS9,"地上",'数据-基础表'!I5:AS5)/'数据-基础表'!A3,2)</f>
        <v>1.04</v>
      </c>
      <c r="J4" s="2647"/>
      <c r="K4" s="2647"/>
      <c r="L4" s="2647"/>
      <c r="M4" s="2647"/>
      <c r="N4" s="2649"/>
      <c r="O4" s="2647"/>
      <c r="P4" s="2647"/>
    </row>
    <row r="5" spans="1:16">
      <c r="A5" s="44" t="s">
        <v>1109</v>
      </c>
      <c r="B5" s="3604" t="s">
        <v>1110</v>
      </c>
      <c r="C5" s="3604"/>
      <c r="D5" s="45">
        <f>ROUND($D$3*E5/$E$3,2)</f>
        <v>0</v>
      </c>
      <c r="E5" s="46">
        <f>SUMIF('数据-基础表'!$11:$11,"住宅",'数据-基础表'!$5:$5)</f>
        <v>0</v>
      </c>
      <c r="F5" s="2647"/>
      <c r="G5" s="1136"/>
      <c r="H5" s="1017" t="s">
        <v>1106</v>
      </c>
      <c r="I5" s="846">
        <f>ROUND(E31/D31,2)</f>
        <v>1.04</v>
      </c>
      <c r="J5" s="2647"/>
      <c r="K5" s="2647"/>
      <c r="L5" s="2647"/>
      <c r="M5" s="2647"/>
      <c r="N5" s="2647"/>
      <c r="O5" s="2647"/>
      <c r="P5" s="2647"/>
    </row>
    <row r="6" spans="1:16" ht="15" thickBot="1">
      <c r="A6" s="1635"/>
      <c r="B6" s="3604" t="s">
        <v>1111</v>
      </c>
      <c r="C6" s="3604"/>
      <c r="D6" s="45">
        <f>ROUND($D$3*E6/$E$3,2)</f>
        <v>33154.39</v>
      </c>
      <c r="E6" s="46">
        <f>E3-E5</f>
        <v>34367.43</v>
      </c>
      <c r="F6" s="2647"/>
      <c r="G6" s="2641" t="s">
        <v>1112</v>
      </c>
      <c r="H6" s="1137" t="s">
        <v>1113</v>
      </c>
      <c r="I6" s="2642">
        <f>ROUND(F31/D31,2)</f>
        <v>1.04</v>
      </c>
      <c r="J6" s="2647"/>
      <c r="K6" s="2647"/>
      <c r="L6" s="2647"/>
      <c r="M6" s="2647"/>
      <c r="N6" s="2647"/>
      <c r="O6" s="2647"/>
      <c r="P6" s="2647"/>
    </row>
    <row r="7" spans="1:16" ht="15.75" thickBot="1">
      <c r="A7" s="3596"/>
      <c r="B7" s="3597"/>
      <c r="C7" s="3598"/>
      <c r="D7" s="1632" t="s">
        <v>1107</v>
      </c>
      <c r="E7" s="1636" t="s">
        <v>1114</v>
      </c>
      <c r="F7" s="2647"/>
      <c r="G7" s="2643" t="s">
        <v>1115</v>
      </c>
      <c r="H7" s="2644"/>
      <c r="I7" s="2645">
        <f>I4</f>
        <v>1.04</v>
      </c>
      <c r="J7" s="2647"/>
      <c r="K7" s="2647"/>
      <c r="L7" s="2647"/>
      <c r="M7" s="2647"/>
      <c r="N7" s="2647"/>
      <c r="O7" s="2647"/>
      <c r="P7" s="2647"/>
    </row>
    <row r="8" spans="1:16">
      <c r="A8" s="44" t="s">
        <v>1116</v>
      </c>
      <c r="B8" s="47" t="s">
        <v>1117</v>
      </c>
      <c r="C8" s="45" t="s">
        <v>1118</v>
      </c>
      <c r="D8" s="45">
        <f t="shared" ref="D8:D15" si="0">ROUND($D$3*E8/$E$3,2)</f>
        <v>33154.39</v>
      </c>
      <c r="E8" s="48">
        <f>SUMIF('数据-基础表'!BB10:BK10,"地上",'数据-基础表'!BB5:BK5)</f>
        <v>34367.43</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33154.39</v>
      </c>
      <c r="E16" s="50">
        <f>SUM(E8:E15)</f>
        <v>34367.43</v>
      </c>
      <c r="F16" s="2647"/>
      <c r="G16" s="2648"/>
      <c r="H16" s="1639" t="s">
        <v>1135</v>
      </c>
      <c r="I16" s="1640"/>
      <c r="J16" s="1130"/>
      <c r="K16" s="3593" t="s">
        <v>1135</v>
      </c>
      <c r="L16" s="3594"/>
      <c r="M16" s="3594"/>
      <c r="N16" s="3594"/>
      <c r="O16" s="3594"/>
      <c r="P16" s="3595"/>
    </row>
    <row r="17" spans="1:19" ht="15">
      <c r="A17" s="1641" t="s">
        <v>1136</v>
      </c>
      <c r="B17" s="1642" t="s">
        <v>1137</v>
      </c>
      <c r="C17" s="1643" t="s">
        <v>1138</v>
      </c>
      <c r="D17" s="1644" t="s">
        <v>1126</v>
      </c>
      <c r="E17" s="1645" t="s">
        <v>1127</v>
      </c>
      <c r="F17" s="1646"/>
      <c r="G17" s="1647"/>
      <c r="H17" s="1648" t="s">
        <v>1139</v>
      </c>
      <c r="I17" s="1649" t="s">
        <v>1124</v>
      </c>
      <c r="J17" s="1130"/>
      <c r="K17" s="3590" t="s">
        <v>1140</v>
      </c>
      <c r="L17" s="3591"/>
      <c r="M17" s="3592"/>
      <c r="N17" s="3590" t="s">
        <v>1141</v>
      </c>
      <c r="O17" s="3591"/>
      <c r="P17" s="3592"/>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3700</v>
      </c>
      <c r="D19" s="45">
        <f>ROUND($D$3*E19/$E$3,2)</f>
        <v>33154.39</v>
      </c>
      <c r="E19" s="53">
        <f t="shared" ref="E19:E26" si="1">SUM(F19:G19)</f>
        <v>34367.43</v>
      </c>
      <c r="F19" s="2782">
        <f>'数据-基础表'!I5</f>
        <v>34367.43</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75" thickBot="1">
      <c r="A31" s="1667"/>
      <c r="B31" s="1668"/>
      <c r="C31" s="826" t="s">
        <v>1158</v>
      </c>
      <c r="D31" s="667">
        <f>D27+D30</f>
        <v>33154.39</v>
      </c>
      <c r="E31" s="667">
        <f>E27+E30</f>
        <v>34367.43</v>
      </c>
      <c r="F31" s="668">
        <f>F27+F30</f>
        <v>34367.43</v>
      </c>
      <c r="G31" s="669">
        <f>G27+G30</f>
        <v>0</v>
      </c>
      <c r="H31" s="2647"/>
      <c r="I31" s="2647"/>
      <c r="J31" s="2647"/>
      <c r="K31" s="2647"/>
      <c r="L31" s="2647"/>
      <c r="M31" s="2647"/>
      <c r="N31" s="2647"/>
      <c r="O31" s="2647"/>
      <c r="P31" s="2647"/>
    </row>
    <row r="32" spans="1:19">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75" thickBot="1">
      <c r="A2" s="1674" t="s">
        <v>1161</v>
      </c>
      <c r="B2" s="1036">
        <f>项目基本情况!D3</f>
        <v>45310</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3717</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39.32</v>
      </c>
      <c r="G6" s="65">
        <f>IF(ISERROR(ROUND(POWER(1+H6,D6-F6)*(POWER(1+H6,F6)-1)/(POWER(1+H6,D6)-1),3)),0,ROUND(POWER(1+H6,D6-F6)*(POWER(1+H6,F6)-1)/(POWER(1+H6,D6)-1),3))</f>
        <v>0.92500000000000004</v>
      </c>
      <c r="H6" s="3460">
        <v>4.4999999999999998E-2</v>
      </c>
      <c r="I6" s="3460">
        <v>5.5E-2</v>
      </c>
      <c r="J6" s="3461">
        <v>7.0000000000000007E-2</v>
      </c>
      <c r="K6" s="1021">
        <f>SUMIF('数据-汇总表'!C$19:C$33,A6,'数据-汇总表'!E$19:E$33)</f>
        <v>34367.43</v>
      </c>
      <c r="L6" s="724">
        <v>2800</v>
      </c>
      <c r="M6" s="67">
        <f t="shared" ref="M6:M14" si="0">ROUND(K6*L6/10000,0)</f>
        <v>9623</v>
      </c>
      <c r="N6" s="722">
        <v>0.8</v>
      </c>
      <c r="O6" s="67" t="str">
        <f>IF($N$5="成新度","——",ROUND(M6*N6,0))</f>
        <v>——</v>
      </c>
      <c r="P6" s="68" t="str">
        <f>IF($N$5="成新度","——",M6-O6)</f>
        <v>——</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5">
        <v>1.35</v>
      </c>
      <c r="V6" s="70">
        <v>0.02</v>
      </c>
      <c r="W6" s="70">
        <v>0.1</v>
      </c>
      <c r="X6" s="1031"/>
      <c r="Y6" s="71">
        <f>N6</f>
        <v>0.8</v>
      </c>
      <c r="Z6" s="72"/>
      <c r="AA6" s="66"/>
      <c r="AB6" s="66"/>
      <c r="AC6" s="1031"/>
      <c r="AD6" s="73"/>
      <c r="AE6" s="1032">
        <f ca="1">IF(AN6="",0,SUMIF(INDIRECT("'"&amp;AN6&amp;"'"&amp;"!E:E"),$AE$5,INDIRECT("'"&amp;AN6&amp;"'"&amp;"!F:F")))</f>
        <v>39.32</v>
      </c>
      <c r="AF6" s="1339"/>
      <c r="AG6" s="132">
        <f>IF(AF6="",0,AE6-AF6)</f>
        <v>0</v>
      </c>
      <c r="AH6" s="74"/>
      <c r="AI6" s="76">
        <v>365</v>
      </c>
      <c r="AJ6" s="77"/>
      <c r="AK6" s="78">
        <v>8.0000000000000002E-3</v>
      </c>
      <c r="AL6" s="79">
        <v>1E-3</v>
      </c>
      <c r="AM6" s="80">
        <f>AK6</f>
        <v>8.0000000000000002E-3</v>
      </c>
      <c r="AN6" s="1706" t="s">
        <v>3711</v>
      </c>
      <c r="AO6" s="52">
        <f ca="1">SUMIF(INDIRECT("'"&amp;AN6&amp;"'"&amp;"!A:A"),"总价",INDIRECT("'"&amp;AN6&amp;"'"&amp;"!B:B"))</f>
        <v>24323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0.92500000000000004</v>
      </c>
      <c r="H16" s="90">
        <f>ROUND(SUMPRODUCT(H6:H13,K6:K13)/SUMPRODUCT((H6:H13&gt;0)*(K6:K13)),3)</f>
        <v>4.4999999999999998E-2</v>
      </c>
      <c r="I16" s="91"/>
      <c r="J16" s="91"/>
      <c r="K16" s="92">
        <f>SUM(K6:K15)</f>
        <v>34367.43</v>
      </c>
      <c r="L16" s="93">
        <f>ROUND(M16*10000/SUM(K6:K14),0)</f>
        <v>2800</v>
      </c>
      <c r="M16" s="93">
        <f>SUM(M6:M14)</f>
        <v>9623</v>
      </c>
      <c r="N16" s="94">
        <f>ROUND(SUMPRODUCT(M6:M14,N6:N14)/M16,3)</f>
        <v>0.8</v>
      </c>
      <c r="O16" s="93">
        <f>SUM(O6:O14)</f>
        <v>0</v>
      </c>
      <c r="P16" s="93">
        <f>SUM(P6:P14)</f>
        <v>0</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500" t="s">
        <v>3679</v>
      </c>
      <c r="M18" s="3501" t="s">
        <v>3680</v>
      </c>
      <c r="N18" s="3501" t="s">
        <v>3681</v>
      </c>
      <c r="O18" s="2658"/>
      <c r="P18" s="3509" t="s">
        <v>3689</v>
      </c>
      <c r="Q18" s="2659"/>
      <c r="R18" s="3502"/>
      <c r="S18" s="3502"/>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3" t="s">
        <v>1211</v>
      </c>
      <c r="B19" s="103">
        <v>0</v>
      </c>
      <c r="C19" s="2786" t="s">
        <v>2301</v>
      </c>
      <c r="D19" s="2663"/>
      <c r="E19" s="2660"/>
      <c r="F19" s="2660"/>
      <c r="G19" s="2660"/>
      <c r="H19" s="2660"/>
      <c r="I19" s="2660"/>
      <c r="J19" s="2660"/>
      <c r="K19" s="3506" t="s">
        <v>3682</v>
      </c>
      <c r="L19" s="3507">
        <f>L20+L21</f>
        <v>34367.43</v>
      </c>
      <c r="M19" s="3508">
        <f>N19/L19</f>
        <v>1500</v>
      </c>
      <c r="N19" s="3508">
        <f>N20+N21</f>
        <v>51551145</v>
      </c>
      <c r="O19" s="2658"/>
      <c r="P19" s="3503">
        <v>0.8</v>
      </c>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4" t="s">
        <v>1212</v>
      </c>
      <c r="B20" s="104">
        <v>1</v>
      </c>
      <c r="C20" s="2787" t="s">
        <v>2299</v>
      </c>
      <c r="D20" s="2663"/>
      <c r="E20" s="2660"/>
      <c r="F20" s="2660"/>
      <c r="G20" s="2660"/>
      <c r="H20" s="2660"/>
      <c r="I20" s="2660"/>
      <c r="J20" s="2660"/>
      <c r="K20" s="3504" t="s">
        <v>3683</v>
      </c>
      <c r="L20" s="3505">
        <f>'数据-汇总表'!F31</f>
        <v>34367.43</v>
      </c>
      <c r="M20" s="3505">
        <v>1500</v>
      </c>
      <c r="N20" s="3505">
        <f>M20*L20</f>
        <v>51551145</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5" t="s">
        <v>1213</v>
      </c>
      <c r="B21" s="104">
        <v>1</v>
      </c>
      <c r="C21" s="2660"/>
      <c r="D21" s="2663"/>
      <c r="E21" s="2660"/>
      <c r="F21" s="2660"/>
      <c r="G21" s="2660"/>
      <c r="H21" s="2660"/>
      <c r="I21" s="2660"/>
      <c r="J21" s="2660"/>
      <c r="K21" s="3504" t="s">
        <v>3684</v>
      </c>
      <c r="L21" s="3505">
        <v>0</v>
      </c>
      <c r="M21" s="3505">
        <v>0</v>
      </c>
      <c r="N21" s="3505">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4" t="s">
        <v>1214</v>
      </c>
      <c r="B22" s="105">
        <f>B19+B20</f>
        <v>1</v>
      </c>
      <c r="C22" s="2660"/>
      <c r="D22" s="2663"/>
      <c r="E22" s="2660"/>
      <c r="F22" s="2660"/>
      <c r="G22" s="2660"/>
      <c r="H22" s="2660"/>
      <c r="I22" s="2660"/>
      <c r="J22" s="2660"/>
      <c r="K22" s="3506" t="s">
        <v>3685</v>
      </c>
      <c r="L22" s="3507">
        <f>L19</f>
        <v>34367.43</v>
      </c>
      <c r="M22" s="3508">
        <v>500</v>
      </c>
      <c r="N22" s="3508">
        <f>M22*L22</f>
        <v>17183715</v>
      </c>
      <c r="O22" s="2658"/>
      <c r="P22" s="2658">
        <v>0</v>
      </c>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5" t="s">
        <v>1215</v>
      </c>
      <c r="B23" s="105">
        <f>B19+B21</f>
        <v>1</v>
      </c>
      <c r="C23" s="2660"/>
      <c r="D23" s="2663"/>
      <c r="E23" s="2660"/>
      <c r="F23" s="2660"/>
      <c r="G23" s="2660"/>
      <c r="H23" s="2660"/>
      <c r="I23" s="2660"/>
      <c r="J23" s="2660"/>
      <c r="K23" s="3506" t="s">
        <v>3686</v>
      </c>
      <c r="L23" s="3507">
        <f>L19</f>
        <v>34367.43</v>
      </c>
      <c r="M23" s="3508">
        <v>1000</v>
      </c>
      <c r="N23" s="3508">
        <f>M23*L23</f>
        <v>34367430</v>
      </c>
      <c r="O23" s="2658"/>
      <c r="P23" s="3503">
        <v>0.4</v>
      </c>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v>
      </c>
      <c r="C24" s="2660"/>
      <c r="D24" s="2663"/>
      <c r="E24" s="2660"/>
      <c r="F24" s="2660"/>
      <c r="G24" s="2660"/>
      <c r="H24" s="2660"/>
      <c r="I24" s="2660"/>
      <c r="J24" s="2660"/>
      <c r="K24" s="3506" t="s">
        <v>3687</v>
      </c>
      <c r="L24" s="3507">
        <v>0</v>
      </c>
      <c r="M24" s="3508">
        <f>M21</f>
        <v>0</v>
      </c>
      <c r="N24" s="3508">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8"/>
      <c r="B25" s="1678"/>
      <c r="C25" s="2660"/>
      <c r="D25" s="2663"/>
      <c r="E25" s="2660"/>
      <c r="F25" s="2660"/>
      <c r="G25" s="2660"/>
      <c r="H25" s="2660"/>
      <c r="I25" s="2660"/>
      <c r="J25" s="2660"/>
      <c r="K25" s="3500" t="s">
        <v>3688</v>
      </c>
      <c r="L25" s="2659">
        <f>L19</f>
        <v>34367.43</v>
      </c>
      <c r="M25" s="3502">
        <f>N25/L25</f>
        <v>3000</v>
      </c>
      <c r="N25" s="3502">
        <f>N19+N22+N23+N24</f>
        <v>103102290</v>
      </c>
      <c r="O25" s="2658"/>
      <c r="P25" s="3506">
        <f>(P19*N19+P22*N22+P23*N23)/N25</f>
        <v>0.53333333333333333</v>
      </c>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7.75">
      <c r="A27" s="1718" t="s">
        <v>1220</v>
      </c>
      <c r="B27" s="107">
        <v>150</v>
      </c>
      <c r="C27" s="2788" t="s">
        <v>2303</v>
      </c>
      <c r="D27" s="2666"/>
      <c r="E27" s="2649"/>
      <c r="F27" s="2649"/>
      <c r="G27" s="2660"/>
      <c r="H27" s="2660"/>
      <c r="I27" s="2660"/>
      <c r="J27" s="2660"/>
      <c r="K27" s="3510" t="s">
        <v>3699</v>
      </c>
      <c r="L27" s="1042" t="s">
        <v>3692</v>
      </c>
      <c r="M27" s="1617">
        <f>'数据-基础表'!I13</f>
        <v>21793.200000000001</v>
      </c>
      <c r="N27" s="1042">
        <v>3000</v>
      </c>
      <c r="O27" s="1042">
        <v>1.4</v>
      </c>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7"/>
      <c r="D28" s="2666"/>
      <c r="E28" s="2649"/>
      <c r="F28" s="2649"/>
      <c r="G28" s="2660"/>
      <c r="H28" s="2660"/>
      <c r="I28" s="2660"/>
      <c r="J28" s="2660"/>
      <c r="K28" s="3510" t="s">
        <v>3698</v>
      </c>
      <c r="L28" s="1042" t="s">
        <v>3693</v>
      </c>
      <c r="M28" s="1617">
        <f>'数据-基础表'!I14</f>
        <v>9368.6200000000008</v>
      </c>
      <c r="N28" s="1042">
        <v>2300</v>
      </c>
      <c r="O28" s="1042">
        <v>1.4</v>
      </c>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653</v>
      </c>
      <c r="C29" s="2789" t="s">
        <v>2290</v>
      </c>
      <c r="D29" s="2666"/>
      <c r="E29" s="2649"/>
      <c r="F29" s="2649"/>
      <c r="G29" s="2660"/>
      <c r="H29" s="2660"/>
      <c r="I29" s="2660"/>
      <c r="J29" s="2660"/>
      <c r="K29" s="3510" t="s">
        <v>3697</v>
      </c>
      <c r="L29" s="1042" t="s">
        <v>3694</v>
      </c>
      <c r="M29" s="1617">
        <f>'数据-基础表'!I15</f>
        <v>1587.12</v>
      </c>
      <c r="N29" s="1042">
        <v>2500</v>
      </c>
      <c r="O29" s="1042">
        <v>1</v>
      </c>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62">
        <v>200</v>
      </c>
      <c r="C30" s="2667"/>
      <c r="D30" s="2666"/>
      <c r="E30" s="2649"/>
      <c r="F30" s="2649"/>
      <c r="G30" s="2660"/>
      <c r="H30" s="2660"/>
      <c r="I30" s="2660"/>
      <c r="J30" s="2660"/>
      <c r="K30" s="3510" t="s">
        <v>3696</v>
      </c>
      <c r="L30" s="1042" t="str">
        <f>L29</f>
        <v>1层</v>
      </c>
      <c r="M30" s="1617">
        <f>'数据-基础表'!I16</f>
        <v>1587.12</v>
      </c>
      <c r="N30" s="1042">
        <v>2500</v>
      </c>
      <c r="O30" s="1042">
        <v>1</v>
      </c>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5"/>
      <c r="D31" s="2666"/>
      <c r="E31" s="2649"/>
      <c r="F31" s="2649"/>
      <c r="G31" s="2660"/>
      <c r="H31" s="2660"/>
      <c r="I31" s="2660"/>
      <c r="J31" s="2660"/>
      <c r="K31" s="3510" t="s">
        <v>3695</v>
      </c>
      <c r="L31" s="1042" t="s">
        <v>3694</v>
      </c>
      <c r="M31" s="1617">
        <v>31.37</v>
      </c>
      <c r="N31" s="1042">
        <v>1000</v>
      </c>
      <c r="O31" s="1042"/>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63">
        <v>0</v>
      </c>
      <c r="C32" s="2667"/>
      <c r="D32" s="2663"/>
      <c r="E32" s="2660"/>
      <c r="F32" s="2660"/>
      <c r="G32" s="2660"/>
      <c r="H32" s="2660"/>
      <c r="I32" s="2660"/>
      <c r="J32" s="2660"/>
      <c r="K32" s="2659"/>
      <c r="L32" s="2659"/>
      <c r="M32" s="3512">
        <f>M27+M28+M29+M30+M31</f>
        <v>34367.43</v>
      </c>
      <c r="N32" s="2658">
        <f>SUMPRODUCT(N27:N31,M27:M31)/M32</f>
        <v>2761.1723076179974</v>
      </c>
      <c r="O32" s="2658">
        <f>SUMPRODUCT(O27:O31,M27:M31)/M32</f>
        <v>1.3617773572245584</v>
      </c>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8" t="s">
        <v>1233</v>
      </c>
      <c r="B41" s="112">
        <f>B42+B43</f>
        <v>5.5000000000000007E-2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4" t="s">
        <v>1235</v>
      </c>
      <c r="B43" s="114">
        <f>B42*(B44+B45+B46)+B47</f>
        <v>5.000000000000001E-3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5" t="s">
        <v>1236</v>
      </c>
      <c r="B44" s="115">
        <v>0.05</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8" t="s">
        <v>1244</v>
      </c>
      <c r="B52" s="118">
        <f>SUMIF(A54:A63,B53,B54:B63)</f>
        <v>1.5</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0" t="s">
        <v>1245</v>
      </c>
      <c r="B53" s="1729" t="s">
        <v>29</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4.25"/>
  <cols>
    <col min="1" max="1" width="9.5" style="1677" customWidth="1"/>
    <col min="2" max="2" width="24.5" style="1563" customWidth="1"/>
    <col min="3" max="3" width="24.5" style="2498" customWidth="1"/>
    <col min="4" max="4" width="2.625" style="2498" customWidth="1"/>
    <col min="5" max="5" width="5.875" style="2498" customWidth="1"/>
    <col min="6" max="6" width="27" style="1563"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0"/>
    <col min="30" max="16384" width="9" style="1677"/>
  </cols>
  <sheetData>
    <row r="1" spans="1:29" s="2448" customFormat="1" ht="18.75" thickBot="1">
      <c r="A1" s="3605" t="s">
        <v>2282</v>
      </c>
      <c r="B1" s="3606"/>
      <c r="C1" s="3606"/>
      <c r="D1" s="3606"/>
      <c r="E1" s="3606"/>
      <c r="F1" s="3606"/>
      <c r="G1" s="3606"/>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36">
      <c r="A5" s="2433"/>
      <c r="B5" s="317" t="s">
        <v>2257</v>
      </c>
      <c r="C5" s="3483" t="s">
        <v>3653</v>
      </c>
      <c r="D5" s="2455"/>
      <c r="E5" s="2458"/>
      <c r="F5" s="317" t="s">
        <v>2258</v>
      </c>
      <c r="G5" s="2459" t="s">
        <v>2259</v>
      </c>
      <c r="H5" s="790"/>
      <c r="I5" s="790"/>
      <c r="J5" s="790"/>
      <c r="K5" s="790"/>
      <c r="L5" s="790"/>
      <c r="M5" s="790"/>
      <c r="N5" s="790"/>
      <c r="O5" s="790"/>
      <c r="P5" s="790"/>
      <c r="Q5" s="790"/>
      <c r="R5" s="790"/>
    </row>
    <row r="6" spans="1:29" ht="72">
      <c r="A6" s="2433"/>
      <c r="B6" s="317" t="s">
        <v>2260</v>
      </c>
      <c r="C6" s="3484" t="s">
        <v>3654</v>
      </c>
      <c r="D6" s="2455"/>
      <c r="E6" s="2458"/>
      <c r="F6" s="317" t="s">
        <v>2261</v>
      </c>
      <c r="G6" s="2459" t="s">
        <v>2262</v>
      </c>
      <c r="H6" s="790"/>
      <c r="I6" s="790"/>
      <c r="J6" s="790"/>
      <c r="K6" s="790"/>
      <c r="L6" s="790"/>
      <c r="M6" s="790"/>
      <c r="N6" s="790"/>
      <c r="O6" s="790"/>
      <c r="P6" s="790"/>
      <c r="Q6" s="790"/>
      <c r="R6" s="790"/>
    </row>
    <row r="7" spans="1:29" ht="84.75" thickBot="1">
      <c r="A7" s="2433"/>
      <c r="B7" s="317" t="s">
        <v>2258</v>
      </c>
      <c r="C7" s="3484" t="s">
        <v>3655</v>
      </c>
      <c r="D7" s="2460"/>
      <c r="E7" s="2461"/>
      <c r="F7" s="2462" t="s">
        <v>2263</v>
      </c>
      <c r="G7" s="2463" t="s">
        <v>2264</v>
      </c>
      <c r="H7" s="790"/>
      <c r="I7" s="790"/>
      <c r="J7" s="790"/>
      <c r="K7" s="790"/>
      <c r="L7" s="790"/>
      <c r="M7" s="790"/>
      <c r="N7" s="790"/>
      <c r="O7" s="790"/>
      <c r="P7" s="790"/>
      <c r="Q7" s="790"/>
      <c r="R7" s="790"/>
    </row>
    <row r="8" spans="1:29">
      <c r="A8" s="2433"/>
      <c r="B8" s="317" t="s">
        <v>2261</v>
      </c>
      <c r="C8" s="2459" t="s">
        <v>3656</v>
      </c>
      <c r="D8" s="2460"/>
      <c r="E8" s="2460"/>
      <c r="F8" s="2464"/>
      <c r="G8" s="2464"/>
      <c r="H8" s="790"/>
      <c r="I8" s="790"/>
      <c r="J8" s="790"/>
      <c r="K8" s="790"/>
      <c r="L8" s="790"/>
      <c r="M8" s="790"/>
      <c r="N8" s="790"/>
      <c r="O8" s="790"/>
      <c r="P8" s="790"/>
      <c r="Q8" s="790"/>
      <c r="R8" s="790"/>
    </row>
    <row r="9" spans="1:29" ht="36">
      <c r="A9" s="2433"/>
      <c r="B9" s="317" t="s">
        <v>2265</v>
      </c>
      <c r="C9" s="3484" t="s">
        <v>3657</v>
      </c>
      <c r="D9" s="2455"/>
      <c r="E9" s="2460"/>
      <c r="F9" s="2464"/>
      <c r="G9" s="2464"/>
      <c r="H9" s="790"/>
      <c r="I9" s="790"/>
      <c r="J9" s="790"/>
      <c r="K9" s="790"/>
      <c r="L9" s="790"/>
      <c r="M9" s="790"/>
      <c r="N9" s="790"/>
      <c r="O9" s="790"/>
      <c r="P9" s="790"/>
      <c r="Q9" s="790"/>
      <c r="R9" s="790"/>
    </row>
    <row r="10" spans="1:29" s="2469" customFormat="1" ht="15" thickBot="1">
      <c r="A10" s="2434"/>
      <c r="B10" s="2465" t="s">
        <v>2266</v>
      </c>
      <c r="C10" s="3485" t="s">
        <v>3658</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8">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75" thickBot="1">
      <c r="A13" s="2478" t="s">
        <v>2283</v>
      </c>
      <c r="B13" s="2472"/>
      <c r="C13" s="2472"/>
      <c r="D13" s="2470"/>
      <c r="E13" s="2472"/>
      <c r="F13" s="2472"/>
      <c r="G13" s="2472"/>
    </row>
    <row r="14" spans="1:29" ht="15" thickBot="1">
      <c r="A14" s="2482"/>
      <c r="B14" s="2482"/>
      <c r="C14" s="2483" t="s">
        <v>2267</v>
      </c>
      <c r="D14" s="2455"/>
      <c r="E14" s="2484"/>
      <c r="F14" s="2484"/>
      <c r="G14" s="2451" t="s">
        <v>2268</v>
      </c>
    </row>
    <row r="15" spans="1:29" ht="25.5">
      <c r="A15" s="2435" t="s">
        <v>2269</v>
      </c>
      <c r="B15" s="2485" t="s">
        <v>2252</v>
      </c>
      <c r="C15" s="2486">
        <f>C3</f>
        <v>0</v>
      </c>
      <c r="D15" s="2455"/>
      <c r="E15" s="2436" t="s">
        <v>2270</v>
      </c>
      <c r="F15" s="2485" t="s">
        <v>2271</v>
      </c>
      <c r="G15" s="2487" t="str">
        <f>G3</f>
        <v>估价对象位于XX开发区，园区建设成熟度XX，产业集聚程度XX</v>
      </c>
    </row>
    <row r="16" spans="1:29" ht="38.25">
      <c r="A16" s="2437"/>
      <c r="B16" s="2488" t="s">
        <v>2254</v>
      </c>
      <c r="C16" s="2489">
        <f>C4</f>
        <v>0</v>
      </c>
      <c r="D16" s="2455"/>
      <c r="E16" s="2438"/>
      <c r="F16" s="2490" t="s">
        <v>2255</v>
      </c>
      <c r="G16" s="2491" t="str">
        <f>G4</f>
        <v>估价对象周边道路状况、公共交通通达情况、停车便捷程度，综合评价交通便捷度较好</v>
      </c>
    </row>
    <row r="17" spans="1:18" ht="38.25">
      <c r="A17" s="2437"/>
      <c r="B17" s="2488" t="s">
        <v>2257</v>
      </c>
      <c r="C17" s="2489" t="str">
        <f>C5</f>
        <v>估价对象为北安河地铁上盖项目，周边办公楼项目较少，入驻率低，办公集聚程度较差</v>
      </c>
      <c r="D17" s="2460"/>
      <c r="E17" s="2438"/>
      <c r="F17" s="2490" t="s">
        <v>2272</v>
      </c>
      <c r="G17" s="2492"/>
    </row>
    <row r="18" spans="1:18" ht="76.5">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5.5">
      <c r="A19" s="2437"/>
      <c r="B19" s="2490" t="s">
        <v>2273</v>
      </c>
      <c r="C19" s="2492"/>
      <c r="D19" s="2455"/>
      <c r="E19" s="2438"/>
      <c r="F19" s="317" t="s">
        <v>2258</v>
      </c>
      <c r="G19" s="2491" t="str">
        <f>G5</f>
        <v>估价对象所在区域公共配套设施齐备情况</v>
      </c>
    </row>
    <row r="20" spans="1:18" ht="38.25">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89.25">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5"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5"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K20" sqref="K20"/>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34367.43</v>
      </c>
      <c r="C1" s="2673"/>
      <c r="D1" s="2673"/>
      <c r="E1" s="2673"/>
      <c r="F1" s="2673"/>
      <c r="G1" s="2674"/>
      <c r="H1" s="2675"/>
      <c r="I1" s="2675"/>
      <c r="J1" s="2675"/>
      <c r="K1" s="2675"/>
    </row>
    <row r="2" spans="1:11" ht="16.5">
      <c r="A2" s="2500" t="s">
        <v>653</v>
      </c>
      <c r="B2" s="2500">
        <f>SUM(C14:C23)</f>
        <v>33154.39</v>
      </c>
      <c r="C2" s="2673"/>
      <c r="D2" s="2673"/>
      <c r="E2" s="2673"/>
      <c r="F2" s="2673"/>
      <c r="G2" s="2674"/>
      <c r="H2" s="2675"/>
      <c r="I2" s="2675"/>
      <c r="J2" s="2675"/>
      <c r="K2" s="2675"/>
    </row>
    <row r="3" spans="1:11" ht="16.5">
      <c r="A3" s="2500" t="s">
        <v>662</v>
      </c>
      <c r="B3" s="2502">
        <f>项目基本情况!D3</f>
        <v>45310</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20294</v>
      </c>
      <c r="C5" s="2500">
        <f ca="1">IF(B5=D14,结果表!H102,ROUND(B5*10000/$B$1,0))</f>
        <v>5905</v>
      </c>
      <c r="D5" s="2500">
        <f ca="1">ROUND(B5*10000/$B$2,0)</f>
        <v>6121</v>
      </c>
      <c r="E5" s="2673"/>
      <c r="F5" s="2674"/>
      <c r="G5" s="2674"/>
      <c r="H5" s="2675"/>
      <c r="I5" s="2675"/>
      <c r="J5" s="2675"/>
      <c r="K5" s="2675"/>
    </row>
    <row r="6" spans="1:11" ht="16.5">
      <c r="A6" s="2500" t="s">
        <v>656</v>
      </c>
      <c r="B6" s="2500">
        <f ca="1">SUM(G14:G23)</f>
        <v>20294</v>
      </c>
      <c r="C6" s="2500">
        <f ca="1">IF(B6=G14,结果表!H108,ROUND(B6*10000/$B$1,0))</f>
        <v>5905</v>
      </c>
      <c r="D6" s="2500">
        <f ca="1">ROUND(B6*10000/$B$2,0)</f>
        <v>6121</v>
      </c>
      <c r="E6" s="2673"/>
      <c r="F6" s="2674"/>
      <c r="G6" s="2674"/>
      <c r="H6" s="2675"/>
      <c r="I6" s="2675"/>
      <c r="J6" s="2675"/>
      <c r="K6" s="2675"/>
    </row>
    <row r="7" spans="1:11" ht="16.5">
      <c r="A7" s="2500" t="s">
        <v>664</v>
      </c>
      <c r="B7" s="2500">
        <f>SUM(H14:H23)</f>
        <v>0</v>
      </c>
      <c r="C7" s="2500" t="str">
        <f>IF(B7=H14,结果表!H110,ROUND(B7*10000/$B$1,0))</f>
        <v>——</v>
      </c>
      <c r="D7" s="2500">
        <f>ROUND(B7*10000/$B$2,0)</f>
        <v>0</v>
      </c>
      <c r="E7" s="2673"/>
      <c r="F7" s="2674"/>
      <c r="G7" s="2674"/>
      <c r="H7" s="2675"/>
      <c r="I7" s="2675"/>
      <c r="J7" s="2675"/>
      <c r="K7" s="2675"/>
    </row>
    <row r="8" spans="1:11" ht="16.5">
      <c r="A8" s="2500" t="s">
        <v>587</v>
      </c>
      <c r="B8" s="2500">
        <f>SUM(I14:I23)</f>
        <v>0</v>
      </c>
      <c r="C8" s="2500" t="str">
        <f>IF(B8=I14,结果表!H112,ROUND(B8*10000/$B$1,0))</f>
        <v>——</v>
      </c>
      <c r="D8" s="2500">
        <f>ROUND(B8*10000/$B$2,0)</f>
        <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3354</v>
      </c>
      <c r="D10" s="2500" t="s">
        <v>3355</v>
      </c>
      <c r="E10" s="3428"/>
      <c r="F10" s="3432" t="s">
        <v>3356</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结果表!B118</f>
        <v>34367.43</v>
      </c>
      <c r="C14" s="2506">
        <f>结果表!C118</f>
        <v>33154.39</v>
      </c>
      <c r="D14" s="2506">
        <f ca="1">结果表!H118</f>
        <v>20294</v>
      </c>
      <c r="E14" s="2506">
        <f ca="1">ROUND(D14*10000/B14,0)</f>
        <v>5905</v>
      </c>
      <c r="F14" s="2506">
        <f ca="1">ROUND(D14*10000/C14,0)</f>
        <v>6121</v>
      </c>
      <c r="G14" s="2506">
        <f ca="1">D14</f>
        <v>20294</v>
      </c>
      <c r="H14" s="2506"/>
      <c r="I14" s="2506"/>
      <c r="J14" s="2674"/>
      <c r="K14" s="2675"/>
    </row>
    <row r="15" spans="1:11" ht="16.5">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6.5">
      <c r="A16" s="2505" t="s">
        <v>648</v>
      </c>
      <c r="B16" s="2507"/>
      <c r="C16" s="2507"/>
      <c r="D16" s="2507"/>
      <c r="E16" s="2506" t="e">
        <f t="shared" si="0"/>
        <v>#DIV/0!</v>
      </c>
      <c r="F16" s="2506" t="e">
        <f t="shared" si="1"/>
        <v>#DIV/0!</v>
      </c>
      <c r="G16" s="1322"/>
      <c r="H16" s="1322"/>
      <c r="I16" s="2507"/>
      <c r="J16" s="2675"/>
      <c r="K16" s="2675"/>
    </row>
    <row r="17" spans="1:11" ht="16.5">
      <c r="A17" s="2505" t="s">
        <v>647</v>
      </c>
      <c r="B17" s="2507"/>
      <c r="C17" s="2507"/>
      <c r="D17" s="2507"/>
      <c r="E17" s="2506" t="e">
        <f t="shared" si="0"/>
        <v>#DIV/0!</v>
      </c>
      <c r="F17" s="2506" t="e">
        <f t="shared" si="1"/>
        <v>#DIV/0!</v>
      </c>
      <c r="G17" s="1322"/>
      <c r="H17" s="1322"/>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D120" sqref="D120:I123"/>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c r="D1" s="1738"/>
      <c r="E1" s="1738"/>
      <c r="F1" s="1740" t="s">
        <v>1263</v>
      </c>
      <c r="G1" s="1552" t="s">
        <v>3716</v>
      </c>
      <c r="H1" s="1741" t="str">
        <f>IF(G1="现房","——","估价对象范围")</f>
        <v>——</v>
      </c>
      <c r="I1" s="1742"/>
    </row>
    <row r="2" spans="1:12" ht="21.75" customHeight="1" thickBot="1">
      <c r="A2" s="3641" t="str">
        <f>项目基本情况!S2</f>
        <v>北京市密云区科技路77号院1号楼房地产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45" t="s">
        <v>1265</v>
      </c>
      <c r="B4" s="1746" t="s">
        <v>1266</v>
      </c>
      <c r="C4" s="1747" t="s">
        <v>3666</v>
      </c>
      <c r="D4" s="1747" t="s">
        <v>3711</v>
      </c>
      <c r="E4" s="3647" t="s">
        <v>1267</v>
      </c>
      <c r="F4" s="3648"/>
      <c r="G4" s="3648"/>
      <c r="H4" s="3648"/>
      <c r="I4" s="3649"/>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08">
        <v>25</v>
      </c>
      <c r="C5" s="3624"/>
      <c r="D5" s="3644"/>
      <c r="E5" s="125" t="s">
        <v>1269</v>
      </c>
      <c r="F5" s="1748"/>
      <c r="G5" s="1748"/>
      <c r="H5" s="1748"/>
      <c r="I5" s="1364"/>
    </row>
    <row r="6" spans="1:12" ht="12.75">
      <c r="A6" s="3621"/>
      <c r="B6" s="3608"/>
      <c r="C6" s="3625"/>
      <c r="D6" s="3644"/>
      <c r="E6" s="125" t="s">
        <v>1270</v>
      </c>
      <c r="F6" s="1748"/>
      <c r="G6" s="1748"/>
      <c r="H6" s="1748"/>
      <c r="I6" s="1364"/>
    </row>
    <row r="7" spans="1:12" ht="12.75">
      <c r="A7" s="3621"/>
      <c r="B7" s="3608"/>
      <c r="C7" s="3626"/>
      <c r="D7" s="3644"/>
      <c r="E7" s="125" t="s">
        <v>1271</v>
      </c>
      <c r="F7" s="1748"/>
      <c r="G7" s="1748"/>
      <c r="H7" s="1748"/>
      <c r="I7" s="1364"/>
    </row>
    <row r="8" spans="1:12" ht="12.75">
      <c r="A8" s="3621" t="s">
        <v>1272</v>
      </c>
      <c r="B8" s="3608">
        <v>15</v>
      </c>
      <c r="C8" s="3624"/>
      <c r="D8" s="3644"/>
      <c r="E8" s="125" t="s">
        <v>1273</v>
      </c>
      <c r="F8" s="1748"/>
      <c r="G8" s="1748"/>
      <c r="H8" s="1748"/>
      <c r="I8" s="1364"/>
    </row>
    <row r="9" spans="1:12" ht="12.75">
      <c r="A9" s="3621"/>
      <c r="B9" s="3608"/>
      <c r="C9" s="3626"/>
      <c r="D9" s="3644"/>
      <c r="E9" s="125" t="s">
        <v>1274</v>
      </c>
      <c r="F9" s="1748"/>
      <c r="G9" s="1748"/>
      <c r="H9" s="1748"/>
      <c r="I9" s="1364"/>
    </row>
    <row r="10" spans="1:12" ht="12.75">
      <c r="A10" s="3621" t="s">
        <v>1275</v>
      </c>
      <c r="B10" s="3608">
        <v>15</v>
      </c>
      <c r="C10" s="3624"/>
      <c r="D10" s="3644"/>
      <c r="E10" s="125" t="s">
        <v>1276</v>
      </c>
      <c r="F10" s="1748"/>
      <c r="G10" s="1748"/>
      <c r="H10" s="1748"/>
      <c r="I10" s="1364"/>
    </row>
    <row r="11" spans="1:12" ht="12.75">
      <c r="A11" s="3621"/>
      <c r="B11" s="3608"/>
      <c r="C11" s="3626"/>
      <c r="D11" s="3644"/>
      <c r="E11" s="125" t="s">
        <v>1277</v>
      </c>
      <c r="F11" s="1748"/>
      <c r="G11" s="1748"/>
      <c r="H11" s="1748"/>
      <c r="I11" s="1364"/>
    </row>
    <row r="12" spans="1:12" ht="12.75">
      <c r="A12" s="3621" t="s">
        <v>1278</v>
      </c>
      <c r="B12" s="3608">
        <v>15</v>
      </c>
      <c r="C12" s="3624"/>
      <c r="D12" s="3644"/>
      <c r="E12" s="125" t="s">
        <v>1279</v>
      </c>
      <c r="F12" s="1748"/>
      <c r="G12" s="1748"/>
      <c r="H12" s="1748"/>
      <c r="I12" s="1364"/>
    </row>
    <row r="13" spans="1:12" ht="12.75">
      <c r="A13" s="3621"/>
      <c r="B13" s="3608"/>
      <c r="C13" s="3626"/>
      <c r="D13" s="3644"/>
      <c r="E13" s="125" t="s">
        <v>1280</v>
      </c>
      <c r="F13" s="1748"/>
      <c r="G13" s="1748"/>
      <c r="H13" s="1748"/>
      <c r="I13" s="1364"/>
    </row>
    <row r="14" spans="1:12" ht="12.75">
      <c r="A14" s="3621" t="s">
        <v>1281</v>
      </c>
      <c r="B14" s="3608">
        <v>30</v>
      </c>
      <c r="C14" s="3624">
        <v>4</v>
      </c>
      <c r="D14" s="3644">
        <v>6</v>
      </c>
      <c r="E14" s="125" t="s">
        <v>1282</v>
      </c>
      <c r="F14" s="1748"/>
      <c r="G14" s="1748"/>
      <c r="H14" s="1748"/>
      <c r="I14" s="1364"/>
    </row>
    <row r="15" spans="1:12" ht="12.75">
      <c r="A15" s="3621"/>
      <c r="B15" s="3608"/>
      <c r="C15" s="3625"/>
      <c r="D15" s="3644"/>
      <c r="E15" s="125" t="s">
        <v>1283</v>
      </c>
      <c r="F15" s="1748"/>
      <c r="G15" s="1748"/>
      <c r="H15" s="1748"/>
      <c r="I15" s="1364"/>
    </row>
    <row r="16" spans="1:12" ht="12.75">
      <c r="A16" s="3621"/>
      <c r="B16" s="3608"/>
      <c r="C16" s="3626"/>
      <c r="D16" s="3644"/>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31" t="s">
        <v>2131</v>
      </c>
      <c r="F18" s="3632"/>
      <c r="G18" s="3632"/>
      <c r="H18" s="3632"/>
      <c r="I18" s="3632"/>
      <c r="K18" s="296" t="s">
        <v>1289</v>
      </c>
      <c r="L18" s="296">
        <f>IF(C1="",'数据-汇总表'!E3,SUMIF(项目类型,C1,'数据-汇总表'!E17:E26)+SUMIF(项目类型,C1,'数据-汇总表'!I17:I26))</f>
        <v>34367.43</v>
      </c>
      <c r="M18" s="296">
        <f>IF(C1="",'数据-汇总表'!E3,SUMIF(项目类型,C1,'数据-汇总表'!E17:E26))</f>
        <v>34367.43</v>
      </c>
    </row>
    <row r="19" spans="1:36" ht="15">
      <c r="A19" s="1752" t="s">
        <v>1290</v>
      </c>
      <c r="B19" s="1753" t="s">
        <v>1291</v>
      </c>
      <c r="C19" s="128">
        <f ca="1">SUMIF(INDIRECT("'"&amp;C4&amp;"'"&amp;"!A:A"),结果表!B19,INDIRECT("'"&amp;C4&amp;"'"&amp;"!B:B"))</f>
        <v>14251</v>
      </c>
      <c r="D19" s="129">
        <f ca="1">SUMIF(INDIRECT("'"&amp;D4&amp;"'"&amp;"!A:A"),结果表!B19,INDIRECT("'"&amp;D4&amp;"'"&amp;"!B:B"))</f>
        <v>24323</v>
      </c>
      <c r="E19" s="1752" t="s">
        <v>1292</v>
      </c>
      <c r="F19" s="1753" t="s">
        <v>1291</v>
      </c>
      <c r="G19" s="130">
        <f ca="1">ROUND(C19*$C$18+D19*$D$18,0)</f>
        <v>20294</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5">
      <c r="A20" s="1755"/>
      <c r="B20" s="1017" t="s">
        <v>1295</v>
      </c>
      <c r="C20" s="131">
        <f ca="1">SUMIF(INDIRECT("'"&amp;C4&amp;"'"&amp;"!A:A"),结果表!B20,INDIRECT("'"&amp;C4&amp;"'"&amp;"!B:B"))</f>
        <v>4147</v>
      </c>
      <c r="D20" s="132">
        <f ca="1">SUMIF(INDIRECT("'"&amp;D4&amp;"'"&amp;"!A:A"),结果表!B20,INDIRECT("'"&amp;D4&amp;"'"&amp;"!B:B"))</f>
        <v>7077</v>
      </c>
      <c r="E20" s="1755"/>
      <c r="F20" s="1017" t="s">
        <v>1295</v>
      </c>
      <c r="G20" s="133">
        <f ca="1">ROUND(C20*$C$18+D20*$D$18,0)</f>
        <v>5905</v>
      </c>
      <c r="H20" s="799" t="s">
        <v>1296</v>
      </c>
      <c r="I20" s="123"/>
    </row>
    <row r="21" spans="1:36" ht="15" customHeight="1" thickBot="1">
      <c r="A21" s="819"/>
      <c r="B21" s="1756" t="s">
        <v>1297</v>
      </c>
      <c r="C21" s="710">
        <f ca="1">ROUND(C19*10000/L19,0)</f>
        <v>4298</v>
      </c>
      <c r="D21" s="711">
        <f ca="1">ROUND(D19*10000/L19,0)</f>
        <v>7336</v>
      </c>
      <c r="E21" s="819"/>
      <c r="F21" s="1756" t="s">
        <v>1297</v>
      </c>
      <c r="G21" s="134">
        <f ca="1">ROUND(G19*10000/L19,0)</f>
        <v>6121</v>
      </c>
      <c r="H21" s="1757" t="s">
        <v>1296</v>
      </c>
      <c r="I21" s="123"/>
    </row>
    <row r="22" spans="1:36" ht="15" thickBot="1">
      <c r="A22" s="1679" t="s">
        <v>1298</v>
      </c>
      <c r="B22" s="1758"/>
      <c r="C22" s="1759"/>
      <c r="D22" s="712">
        <f ca="1">IF(C19&lt;D19,D19/C19-1,C19/D19-1)</f>
        <v>0.7067574205318925</v>
      </c>
      <c r="E22" s="123"/>
      <c r="F22" s="123"/>
      <c r="G22" s="123"/>
      <c r="H22" s="123"/>
      <c r="I22" s="123"/>
      <c r="K22" s="716">
        <v>19000</v>
      </c>
      <c r="L22" s="716">
        <f>K22/L18*10000</f>
        <v>5528.4902013330639</v>
      </c>
    </row>
    <row r="23" spans="1:36" ht="13.5" thickBot="1">
      <c r="A23" s="1738"/>
      <c r="B23" s="1738"/>
      <c r="C23" s="1738"/>
      <c r="D23" s="1738"/>
      <c r="E23" s="123"/>
      <c r="F23" s="123"/>
      <c r="G23" s="123"/>
      <c r="H23" s="123"/>
      <c r="I23" s="123"/>
      <c r="K23" s="716">
        <v>20000</v>
      </c>
      <c r="L23" s="716">
        <f>K23/L18*10000</f>
        <v>5819.4633698242778</v>
      </c>
    </row>
    <row r="24" spans="1:36" ht="14.25">
      <c r="A24" s="3615" t="s">
        <v>1299</v>
      </c>
      <c r="B24" s="1753" t="s">
        <v>1291</v>
      </c>
      <c r="C24" s="130">
        <f>IF(B30=0,0,D30)</f>
        <v>0</v>
      </c>
      <c r="D24" s="1760"/>
      <c r="E24" s="123"/>
      <c r="F24" s="123"/>
      <c r="G24" s="123"/>
      <c r="H24" s="123"/>
      <c r="I24" s="123"/>
    </row>
    <row r="25" spans="1:36" ht="14.25">
      <c r="A25" s="3616"/>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20294</v>
      </c>
      <c r="D32" s="1766" t="s">
        <v>3673</v>
      </c>
      <c r="E32" s="123"/>
      <c r="F32" s="123"/>
      <c r="G32" s="123"/>
      <c r="H32" s="123"/>
      <c r="I32" s="123"/>
    </row>
    <row r="33" spans="1:15" ht="15">
      <c r="A33" s="777" t="s">
        <v>1306</v>
      </c>
      <c r="B33" s="1767"/>
      <c r="C33" s="1768" t="s">
        <v>3672</v>
      </c>
      <c r="D33" s="1769" t="s">
        <v>3666</v>
      </c>
      <c r="E33" s="1770" t="s">
        <v>1307</v>
      </c>
      <c r="F33" s="1771" t="str">
        <f>IF(D32="楼面单价","取值（单价）","取值（总价）")</f>
        <v>取值（总价）</v>
      </c>
      <c r="G33" s="123"/>
      <c r="H33" s="123"/>
      <c r="I33" s="123"/>
    </row>
    <row r="34" spans="1:15" ht="15">
      <c r="A34" s="1772"/>
      <c r="B34" s="1773" t="s">
        <v>1308</v>
      </c>
      <c r="C34" s="142">
        <f ca="1">IF(C33="自定义",F34,C32-C35)</f>
        <v>6068</v>
      </c>
      <c r="D34" s="852">
        <f ca="1">IF(C33="自定义",ROUND(C34/C32,3),IF(C33="收益比率",SUMIF(INDIRECT("'"&amp;D33&amp;"'"&amp;"!b:b"),"土地收益比率",INDIRECT("'"&amp;D33&amp;"'"&amp;"!c:c")),SUMIF(INDIRECT("'"&amp;D33&amp;"'"&amp;"!b:b"),"土地成本比率",INDIRECT("'"&amp;D33&amp;"'"&amp;"!c:c"))))</f>
        <v>0.29900000000000004</v>
      </c>
      <c r="E34" s="1774" t="s">
        <v>1309</v>
      </c>
      <c r="F34" s="1321"/>
      <c r="G34" s="123"/>
      <c r="H34" s="123"/>
      <c r="I34" s="123"/>
    </row>
    <row r="35" spans="1:15" ht="15.75" thickBot="1">
      <c r="A35" s="1775"/>
      <c r="B35" s="1776" t="s">
        <v>1310</v>
      </c>
      <c r="C35" s="1161">
        <f ca="1">IF(C33="自定义",F35,ROUND(C32*D35,0))</f>
        <v>14226</v>
      </c>
      <c r="D35" s="1162">
        <f ca="1">IF(C33="自定义",ROUND(C35/C32,3),IF(C33="收益比率",SUMIF(INDIRECT("'"&amp;D33&amp;"'"&amp;"!b:b"),"建筑物收益比率",INDIRECT("'"&amp;D33&amp;"'"&amp;"!c:c")),SUMIF(INDIRECT("'"&amp;D33&amp;"'"&amp;"!b:b"),"建筑物成本比率",INDIRECT("'"&amp;D33&amp;"'"&amp;"!c:c"))))</f>
        <v>0.70099999999999996</v>
      </c>
      <c r="E35" s="1777" t="s">
        <v>1311</v>
      </c>
      <c r="F35" s="148"/>
      <c r="G35" s="123"/>
      <c r="H35" s="123"/>
      <c r="I35" s="123"/>
    </row>
    <row r="36" spans="1:15" ht="15.75" thickBot="1">
      <c r="A36" s="3635" t="s">
        <v>1312</v>
      </c>
      <c r="B36" s="1778" t="s">
        <v>1313</v>
      </c>
      <c r="C36" s="139"/>
      <c r="D36" s="1779"/>
      <c r="E36" s="1780"/>
      <c r="F36" s="1781"/>
      <c r="G36" s="123"/>
      <c r="H36" s="123"/>
      <c r="I36" s="123"/>
    </row>
    <row r="37" spans="1:15" ht="15.75" thickBot="1">
      <c r="A37" s="3636"/>
      <c r="B37" s="1665" t="s">
        <v>1314</v>
      </c>
      <c r="C37" s="141"/>
      <c r="D37" s="1130"/>
      <c r="E37" s="1130"/>
      <c r="F37" s="1781"/>
      <c r="G37" s="123"/>
      <c r="H37" s="123"/>
      <c r="I37" s="123"/>
    </row>
    <row r="38" spans="1:15" ht="15.75" thickBot="1">
      <c r="A38" s="3637"/>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12" t="s">
        <v>1326</v>
      </c>
      <c r="B45" s="3613"/>
      <c r="C45" s="3614"/>
      <c r="D45" s="149">
        <f ca="1">ROUND(H101*F45,0)</f>
        <v>11365</v>
      </c>
      <c r="E45" s="150" t="s">
        <v>1327</v>
      </c>
      <c r="F45" s="151">
        <v>0.56000000000000005</v>
      </c>
      <c r="G45" s="152" t="s">
        <v>1328</v>
      </c>
      <c r="H45" s="123"/>
      <c r="I45" s="123"/>
      <c r="J45" s="3690" t="s">
        <v>1329</v>
      </c>
      <c r="K45" s="3690"/>
      <c r="L45" s="3690"/>
      <c r="M45" s="3690"/>
      <c r="N45" s="3690"/>
      <c r="O45" s="3690"/>
    </row>
    <row r="46" spans="1:15" ht="14.25" customHeight="1">
      <c r="A46" s="3609" t="s">
        <v>1330</v>
      </c>
      <c r="B46" s="3610"/>
      <c r="C46" s="3610"/>
      <c r="D46" s="3610"/>
      <c r="E46" s="3610"/>
      <c r="F46" s="3610"/>
      <c r="G46" s="3611"/>
      <c r="H46" s="1797"/>
      <c r="I46" s="153"/>
      <c r="J46" s="2511">
        <v>1</v>
      </c>
      <c r="K46" s="3671" t="s">
        <v>1331</v>
      </c>
      <c r="L46" s="3671"/>
      <c r="M46" s="3691"/>
      <c r="N46" s="3691"/>
      <c r="O46" s="3691"/>
    </row>
    <row r="47" spans="1:15" ht="12" customHeight="1">
      <c r="A47" s="154" t="s">
        <v>1332</v>
      </c>
      <c r="B47" s="155"/>
      <c r="C47" s="156"/>
      <c r="D47" s="1078" t="s">
        <v>1333</v>
      </c>
      <c r="E47" s="296" t="s">
        <v>1334</v>
      </c>
      <c r="F47" s="157" t="s">
        <v>1335</v>
      </c>
      <c r="G47" s="2534" t="s">
        <v>1336</v>
      </c>
      <c r="H47" s="2535"/>
      <c r="I47" s="153"/>
      <c r="J47" s="2511">
        <v>2</v>
      </c>
      <c r="K47" s="3671" t="s">
        <v>1337</v>
      </c>
      <c r="L47" s="3671"/>
      <c r="M47" s="3692">
        <f>'数据-取费表'!B2</f>
        <v>45310</v>
      </c>
      <c r="N47" s="3692"/>
      <c r="O47" s="3692"/>
    </row>
    <row r="48" spans="1:15" ht="25.5">
      <c r="A48" s="3640" t="s">
        <v>1338</v>
      </c>
      <c r="B48" s="3623"/>
      <c r="C48" s="3623"/>
      <c r="D48" s="2315">
        <f ca="1">IF(H48="情况1",0,IF(H48="情况2",D52,IF(H48="情况3",D53,IF(H48="情况4",D54))))</f>
        <v>595</v>
      </c>
      <c r="E48" s="2325" t="str">
        <f>IF(H48="情况4","(销售额-原购置价)×税（费）率","销售额×税（费）率")</f>
        <v>销售额×税（费）率</v>
      </c>
      <c r="F48" s="2536">
        <f>IF(H48="情况1","免征",'数据-取费表'!B41)</f>
        <v>5.5000000000000007E-2</v>
      </c>
      <c r="G48" s="2537" t="s">
        <v>1339</v>
      </c>
      <c r="H48" s="2538" t="s">
        <v>3674</v>
      </c>
      <c r="I48" s="1797"/>
      <c r="J48" s="2511">
        <v>3</v>
      </c>
      <c r="K48" s="3671" t="s">
        <v>1340</v>
      </c>
      <c r="L48" s="3671"/>
      <c r="M48" s="3693">
        <f ca="1">H101</f>
        <v>20294</v>
      </c>
      <c r="N48" s="3693"/>
      <c r="O48" s="3693"/>
    </row>
    <row r="49" spans="1:35" ht="25.5" customHeight="1">
      <c r="A49" s="2324" t="s">
        <v>1341</v>
      </c>
      <c r="B49" s="3607" t="s">
        <v>1342</v>
      </c>
      <c r="C49" s="3607"/>
      <c r="D49" s="1581">
        <v>0</v>
      </c>
      <c r="E49" s="318" t="s">
        <v>1343</v>
      </c>
      <c r="F49" s="2415" t="s">
        <v>28</v>
      </c>
      <c r="G49" s="3677"/>
      <c r="H49" s="2301" t="s">
        <v>2134</v>
      </c>
      <c r="I49" s="2302"/>
      <c r="J49" s="2511">
        <v>4</v>
      </c>
      <c r="K49" s="3671" t="str">
        <f>IF(项目基本情况!E8="房地产抵押价值","房地产抵押价值","抵押担保权已注销时的房地产抵押价值")</f>
        <v>房地产抵押价值</v>
      </c>
      <c r="L49" s="3671"/>
      <c r="M49" s="3693">
        <f ca="1">IF(项目基本情况!E8="房地产抵押价值",H107,H109)</f>
        <v>20294</v>
      </c>
      <c r="N49" s="3693"/>
      <c r="O49" s="3693"/>
    </row>
    <row r="50" spans="1:35" ht="25.5" customHeight="1">
      <c r="A50" s="2539"/>
      <c r="B50" s="3607" t="s">
        <v>1344</v>
      </c>
      <c r="C50" s="3607"/>
      <c r="D50" s="2540"/>
      <c r="E50" s="326"/>
      <c r="F50" s="2415"/>
      <c r="G50" s="3678"/>
      <c r="H50" s="2303" t="s">
        <v>2135</v>
      </c>
      <c r="I50" s="2302"/>
      <c r="J50" s="3690" t="s">
        <v>1345</v>
      </c>
      <c r="K50" s="3690"/>
      <c r="L50" s="3690"/>
      <c r="M50" s="3690"/>
      <c r="N50" s="3690"/>
      <c r="O50" s="3690"/>
    </row>
    <row r="51" spans="1:35" ht="20.45" customHeight="1">
      <c r="A51" s="2541"/>
      <c r="B51" s="3607" t="s">
        <v>1346</v>
      </c>
      <c r="C51" s="3607"/>
      <c r="D51" s="1078"/>
      <c r="E51" s="321"/>
      <c r="F51" s="2415"/>
      <c r="G51" s="3679"/>
      <c r="H51" s="2303" t="s">
        <v>2136</v>
      </c>
      <c r="I51" s="2302"/>
      <c r="J51" s="2512" t="s">
        <v>1347</v>
      </c>
      <c r="K51" s="3671" t="s">
        <v>1348</v>
      </c>
      <c r="L51" s="3671"/>
      <c r="M51" s="2512" t="s">
        <v>1349</v>
      </c>
      <c r="N51" s="2512" t="s">
        <v>1350</v>
      </c>
      <c r="O51" s="2512" t="s">
        <v>1351</v>
      </c>
    </row>
    <row r="52" spans="1:35" ht="24" customHeight="1">
      <c r="A52" s="2326" t="s">
        <v>1352</v>
      </c>
      <c r="B52" s="3607" t="s">
        <v>1353</v>
      </c>
      <c r="C52" s="3607"/>
      <c r="D52" s="1078">
        <f ca="1">ROUND(D45*'数据-取费表'!B41/(1+'数据-取费表'!C42),0)</f>
        <v>595</v>
      </c>
      <c r="E52" s="2325" t="s">
        <v>1354</v>
      </c>
      <c r="F52" s="2542">
        <f>'数据-取费表'!B41</f>
        <v>5.5000000000000007E-2</v>
      </c>
      <c r="G52" s="2543"/>
      <c r="H52" s="2532"/>
      <c r="I52" s="1798"/>
      <c r="J52" s="2511">
        <v>1</v>
      </c>
      <c r="K52" s="3672" t="s">
        <v>1355</v>
      </c>
      <c r="L52" s="3672"/>
      <c r="M52" s="2513">
        <f ca="1">D48</f>
        <v>595</v>
      </c>
      <c r="N52" s="2511" t="str">
        <f>E48</f>
        <v>销售额×税（费）率</v>
      </c>
      <c r="O52" s="2514">
        <f>F48</f>
        <v>5.5000000000000007E-2</v>
      </c>
    </row>
    <row r="53" spans="1:35" ht="12" customHeight="1">
      <c r="A53" s="2326" t="s">
        <v>1356</v>
      </c>
      <c r="B53" s="3633" t="s">
        <v>2287</v>
      </c>
      <c r="C53" s="3634"/>
      <c r="D53" s="1078">
        <f ca="1">ROUND(D45*'数据-取费表'!B41/(1+'数据-取费表'!C42),0)</f>
        <v>595</v>
      </c>
      <c r="E53" s="2325" t="s">
        <v>1354</v>
      </c>
      <c r="F53" s="2542">
        <f>'数据-取费表'!B41</f>
        <v>5.5000000000000007E-2</v>
      </c>
      <c r="G53" s="2543"/>
      <c r="H53" s="2532"/>
      <c r="I53" s="1798"/>
      <c r="J53" s="2511">
        <v>2</v>
      </c>
      <c r="K53" s="3672" t="s">
        <v>1357</v>
      </c>
      <c r="L53" s="3672"/>
      <c r="M53" s="2513">
        <f t="shared" ref="M53:O54" ca="1" si="0">D55</f>
        <v>6</v>
      </c>
      <c r="N53" s="2511" t="str">
        <f t="shared" si="0"/>
        <v>销售额×税（费）率</v>
      </c>
      <c r="O53" s="2514">
        <f t="shared" si="0"/>
        <v>5.0000000000000001E-4</v>
      </c>
    </row>
    <row r="54" spans="1:35" ht="12" customHeight="1">
      <c r="A54" s="2326" t="s">
        <v>1358</v>
      </c>
      <c r="B54" s="3633" t="s">
        <v>2288</v>
      </c>
      <c r="C54" s="3634"/>
      <c r="D54" s="1078">
        <f ca="1">C68</f>
        <v>595</v>
      </c>
      <c r="E54" s="321" t="s">
        <v>1359</v>
      </c>
      <c r="F54" s="2542">
        <f>'数据-取费表'!B41</f>
        <v>5.5000000000000007E-2</v>
      </c>
      <c r="G54" s="2543"/>
      <c r="H54" s="2544"/>
      <c r="I54" s="1798"/>
      <c r="J54" s="2511">
        <v>3</v>
      </c>
      <c r="K54" s="3672" t="s">
        <v>1360</v>
      </c>
      <c r="L54" s="3672"/>
      <c r="M54" s="2513">
        <f t="shared" ca="1" si="0"/>
        <v>0</v>
      </c>
      <c r="N54" s="2511" t="str">
        <f t="shared" si="0"/>
        <v>增值额×税（费）率</v>
      </c>
      <c r="O54" s="2515" t="str">
        <f t="shared" si="0"/>
        <v>——</v>
      </c>
    </row>
    <row r="55" spans="1:35" ht="24" customHeight="1">
      <c r="A55" s="3622" t="s">
        <v>1361</v>
      </c>
      <c r="B55" s="3623"/>
      <c r="C55" s="3623"/>
      <c r="D55" s="2315">
        <f ca="1">IF(H55="个人住宅",0,ROUND(D45*I55,0))</f>
        <v>6</v>
      </c>
      <c r="E55" s="2325" t="s">
        <v>1362</v>
      </c>
      <c r="F55" s="2542">
        <f>IF(H55="正常",I55,"免征")</f>
        <v>5.0000000000000001E-4</v>
      </c>
      <c r="G55" s="2543"/>
      <c r="H55" s="2538" t="s">
        <v>3675</v>
      </c>
      <c r="I55" s="159">
        <f>'数据-取费表'!B49</f>
        <v>5.0000000000000001E-4</v>
      </c>
      <c r="J55" s="2511" t="str">
        <f>IF(H59="非个人房产","",4)</f>
        <v/>
      </c>
      <c r="K55" s="3672" t="str">
        <f>IF(H59="非个人房产","——","个人所得税")</f>
        <v>——</v>
      </c>
      <c r="L55" s="3672"/>
      <c r="M55" s="2516" t="str">
        <f>D59</f>
        <v>——</v>
      </c>
      <c r="N55" s="2031" t="str">
        <f>E59</f>
        <v>——</v>
      </c>
      <c r="O55" s="2517" t="str">
        <f>F59</f>
        <v>——</v>
      </c>
    </row>
    <row r="56" spans="1:35" ht="24.75">
      <c r="A56" s="3622" t="s">
        <v>1363</v>
      </c>
      <c r="B56" s="3623"/>
      <c r="C56" s="3623"/>
      <c r="D56" s="2315">
        <f ca="1">IF(H56="个人住宅",D57,D58)</f>
        <v>0</v>
      </c>
      <c r="E56" s="2325" t="s">
        <v>1364</v>
      </c>
      <c r="F56" s="2542" t="str">
        <f>IF(H56="正常",F58,"免征")</f>
        <v>——</v>
      </c>
      <c r="G56" s="2545" t="s">
        <v>1365</v>
      </c>
      <c r="H56" s="2546" t="s">
        <v>3675</v>
      </c>
      <c r="I56" s="1799"/>
      <c r="J56" s="2511" t="str">
        <f>IF(项目基本情况!K6="上海银行",IF(J55="",4,J55+1),"")</f>
        <v/>
      </c>
      <c r="K56" s="3695" t="str">
        <f>IF(项目基本情况!K6="上海银行","其他处置费用","")</f>
        <v/>
      </c>
      <c r="L56" s="3696"/>
      <c r="M56" s="2513" t="str">
        <f>IF(项目基本情况!K6="上海银行",M69,"")</f>
        <v/>
      </c>
      <c r="N56" s="3695" t="str">
        <f>IF(项目基本情况!K6="上海银行","包含处置中涉及的律师、诉讼、拍卖、评估等费用","")</f>
        <v/>
      </c>
      <c r="O56" s="3698"/>
    </row>
    <row r="57" spans="1:35" ht="12.75">
      <c r="A57" s="2326" t="s">
        <v>1341</v>
      </c>
      <c r="B57" s="3633" t="s">
        <v>1366</v>
      </c>
      <c r="C57" s="3634"/>
      <c r="D57" s="1581">
        <v>0</v>
      </c>
      <c r="E57" s="318" t="s">
        <v>1343</v>
      </c>
      <c r="F57" s="296"/>
      <c r="G57" s="2543"/>
      <c r="H57" s="2547"/>
      <c r="I57" s="1799"/>
      <c r="J57" s="3672">
        <f>IF(AND(J55="",J56=""),4,IF(项目基本情况!K6="上海银行",结果表!J56+1,结果表!J55+1))</f>
        <v>4</v>
      </c>
      <c r="K57" s="3672" t="s">
        <v>1367</v>
      </c>
      <c r="L57" s="2518" t="s">
        <v>1368</v>
      </c>
      <c r="M57" s="2519"/>
      <c r="N57" s="2520">
        <f ca="1">SUMIF(M52:M56,"&lt;9e307")</f>
        <v>601</v>
      </c>
      <c r="O57" s="2521"/>
      <c r="P57" s="2677">
        <f ca="1">N57/M49</f>
        <v>2.9614664432837293E-2</v>
      </c>
    </row>
    <row r="58" spans="1:35" ht="24.75">
      <c r="A58" s="2326" t="s">
        <v>1352</v>
      </c>
      <c r="B58" s="3633" t="s">
        <v>1369</v>
      </c>
      <c r="C58" s="3607"/>
      <c r="D58" s="2315">
        <f ca="1">IF(H58="转让取得",C81,C97)</f>
        <v>0</v>
      </c>
      <c r="E58" s="2325" t="s">
        <v>1364</v>
      </c>
      <c r="F58" s="296" t="s">
        <v>28</v>
      </c>
      <c r="G58" s="2543"/>
      <c r="H58" s="2546" t="s">
        <v>3676</v>
      </c>
      <c r="I58" s="1799"/>
      <c r="J58" s="3672"/>
      <c r="K58" s="3672"/>
      <c r="L58" s="2518" t="s">
        <v>1370</v>
      </c>
      <c r="M58" s="2522"/>
      <c r="N58" s="2523" t="str">
        <f ca="1">NUMBERSTRING(INT(N57*10000),2)&amp;"元整"</f>
        <v>陆佰零壹万元整</v>
      </c>
      <c r="O58" s="2524"/>
    </row>
    <row r="59" spans="1:35" ht="24.75" thickBot="1">
      <c r="A59" s="3675" t="s">
        <v>1371</v>
      </c>
      <c r="B59" s="3676"/>
      <c r="C59" s="3676"/>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3677</v>
      </c>
      <c r="I59" s="2304" t="s">
        <v>2137</v>
      </c>
      <c r="J59" s="3673">
        <f>J57+1</f>
        <v>5</v>
      </c>
      <c r="K59" s="3672" t="s">
        <v>1372</v>
      </c>
      <c r="L59" s="2511" t="s">
        <v>1368</v>
      </c>
      <c r="M59" s="2525"/>
      <c r="N59" s="2526">
        <f ca="1">M49-N57</f>
        <v>19693</v>
      </c>
      <c r="O59" s="2527"/>
    </row>
    <row r="60" spans="1:35" ht="12" customHeight="1">
      <c r="A60" s="1800"/>
      <c r="B60" s="1738"/>
      <c r="C60" s="1738"/>
      <c r="D60" s="1738"/>
      <c r="E60" s="1569"/>
      <c r="F60" s="1799"/>
      <c r="G60" s="1799"/>
      <c r="H60" s="1801"/>
      <c r="I60" s="123"/>
      <c r="J60" s="3674"/>
      <c r="K60" s="3672"/>
      <c r="L60" s="2518" t="s">
        <v>1370</v>
      </c>
      <c r="M60" s="2522"/>
      <c r="N60" s="2523" t="str">
        <f ca="1">NUMBERSTRING(INT(N59*10000),2)&amp;"元整"</f>
        <v>壹亿玖仟陆佰玖拾叁万元整</v>
      </c>
      <c r="O60" s="2524"/>
    </row>
    <row r="61" spans="1:35" ht="13.5" thickBot="1">
      <c r="A61" s="3620" t="s">
        <v>1373</v>
      </c>
      <c r="B61" s="3620"/>
      <c r="C61" s="3620"/>
      <c r="D61" s="3620"/>
      <c r="E61" s="3620"/>
      <c r="F61" s="1799"/>
      <c r="G61" s="1799"/>
      <c r="H61" s="1801"/>
      <c r="I61" s="123"/>
      <c r="J61" s="2511">
        <f>J59+1</f>
        <v>6</v>
      </c>
      <c r="K61" s="3672" t="s">
        <v>1374</v>
      </c>
      <c r="L61" s="3672"/>
      <c r="M61" s="2528"/>
      <c r="N61" s="2529">
        <f ca="1">ROUND(N59*10000/'数据-汇总表'!E3,0)</f>
        <v>5730</v>
      </c>
      <c r="O61" s="2530"/>
    </row>
    <row r="62" spans="1:35" ht="12.75">
      <c r="A62" s="3638" t="s">
        <v>1375</v>
      </c>
      <c r="B62" s="3639"/>
      <c r="C62" s="2012"/>
      <c r="D62" s="2012" t="s">
        <v>1376</v>
      </c>
      <c r="E62" s="160" t="s">
        <v>1377</v>
      </c>
      <c r="F62" s="1799"/>
      <c r="G62" s="1799"/>
      <c r="H62" s="1801"/>
      <c r="I62" s="123"/>
    </row>
    <row r="63" spans="1:35" ht="12.75">
      <c r="A63" s="167" t="s">
        <v>330</v>
      </c>
      <c r="B63" s="161" t="s">
        <v>1378</v>
      </c>
      <c r="C63" s="2552">
        <f ca="1">ROUND((C64+C65)/(1+'数据-取费表'!C42),0)</f>
        <v>10824</v>
      </c>
      <c r="D63" s="161"/>
      <c r="E63" s="162"/>
      <c r="F63" s="1799"/>
      <c r="G63" s="1799"/>
      <c r="H63" s="1801"/>
      <c r="I63" s="123"/>
      <c r="J63" s="3697" t="s">
        <v>1379</v>
      </c>
      <c r="K63" s="1323" t="s">
        <v>1380</v>
      </c>
      <c r="L63" s="1323">
        <f ca="1">IF(M49&gt;10000,M49*0.5%,IF(AND(M49&gt;1000,M49&lt;=10000),M49*1%,IF(AND(M49&gt;100,M49&lt;=1000),M49*3%,IF(AND(M49&gt;10,M49&lt;=100),M49*5%,M49*8%))))</f>
        <v>101.47</v>
      </c>
      <c r="M63" s="296">
        <f ca="1">ROUND(L63,1)</f>
        <v>101.5</v>
      </c>
      <c r="N63" s="2531"/>
      <c r="Z63" s="1743"/>
      <c r="AI63" s="1744"/>
    </row>
    <row r="64" spans="1:35" ht="14.25" customHeight="1">
      <c r="A64" s="163" t="s">
        <v>325</v>
      </c>
      <c r="B64" s="164" t="s">
        <v>1381</v>
      </c>
      <c r="C64" s="2553">
        <f ca="1">D45</f>
        <v>11365</v>
      </c>
      <c r="D64" s="164" t="s">
        <v>26</v>
      </c>
      <c r="E64" s="166"/>
      <c r="F64" s="1799"/>
      <c r="G64" s="1799"/>
      <c r="H64" s="1801"/>
      <c r="I64" s="123"/>
      <c r="J64" s="3697"/>
      <c r="K64" s="1323" t="s">
        <v>1382</v>
      </c>
      <c r="L64" s="1323">
        <f ca="1">IF(M49&gt;2000,M49*0.5%,IF(AND(M49&gt;1000,M49&lt;=2000),M49*0.6%,IF(AND(M49&gt;500,M49&lt;=1000),M49*0.7%,IF(AND(M49&gt;200,M49&lt;=500),M49*0.8%,IF(AND(M49&gt;100,M49&lt;=200),M49*0.9%,IF(AND(M49&gt;50,M49&lt;=100),M49*1%,IF(AND(M49&gt;20,M49&lt;=50),M49*1.5%,IF(AND(M49&gt;10,M49&lt;=20),M49*2%,IF(AND(M49&gt;1,M49&lt;=10),M49*2.5%)))))))))</f>
        <v>101.47</v>
      </c>
      <c r="M64" s="296">
        <f t="shared" ref="M64:M65" ca="1" si="1">ROUND(L64,1)</f>
        <v>101.5</v>
      </c>
      <c r="N64" s="2532" t="s">
        <v>1383</v>
      </c>
      <c r="Z64" s="1743"/>
      <c r="AI64" s="1744"/>
    </row>
    <row r="65" spans="1:35" ht="14.25" customHeight="1">
      <c r="A65" s="163" t="s">
        <v>326</v>
      </c>
      <c r="B65" s="164" t="s">
        <v>1384</v>
      </c>
      <c r="C65" s="2554"/>
      <c r="D65" s="164"/>
      <c r="E65" s="166"/>
      <c r="F65" s="1799"/>
      <c r="G65" s="1799"/>
      <c r="H65" s="1801"/>
      <c r="I65" s="123"/>
      <c r="J65" s="3697"/>
      <c r="K65" s="1323" t="s">
        <v>1385</v>
      </c>
      <c r="L65" s="1323">
        <f ca="1">IF(M49&gt;1000,M49*0.1%,IF(AND(M49&gt;500,M49&lt;=1000),M49*0.5%,IF(AND(M49&gt;50,M49&lt;=500),M49*1%,IF(AND(M49&gt;1,M49&lt;=50),M49*1.5%))))</f>
        <v>20.294</v>
      </c>
      <c r="M65" s="296">
        <f t="shared" ca="1" si="1"/>
        <v>20.3</v>
      </c>
      <c r="N65" s="2532" t="s">
        <v>1383</v>
      </c>
      <c r="Z65" s="1743"/>
      <c r="AI65" s="1744"/>
    </row>
    <row r="66" spans="1:35" ht="14.25" customHeight="1">
      <c r="A66" s="167" t="s">
        <v>327</v>
      </c>
      <c r="B66" s="168" t="s">
        <v>1386</v>
      </c>
      <c r="C66" s="2555"/>
      <c r="D66" s="168" t="s">
        <v>26</v>
      </c>
      <c r="E66" s="1329" t="s">
        <v>671</v>
      </c>
      <c r="F66" s="1799"/>
      <c r="G66" s="1799"/>
      <c r="H66" s="1801"/>
      <c r="I66" s="123"/>
      <c r="J66" s="3697"/>
      <c r="K66" s="1323" t="s">
        <v>1387</v>
      </c>
      <c r="L66" s="1323">
        <f ca="1">M49*0.5%</f>
        <v>101.47</v>
      </c>
      <c r="M66" s="296">
        <f ca="1">IF(L66&gt;0.5,0.5,ROUND(L66,0))</f>
        <v>0.5</v>
      </c>
      <c r="N66" s="2532" t="s">
        <v>1388</v>
      </c>
      <c r="Z66" s="1743"/>
      <c r="AI66" s="1744"/>
    </row>
    <row r="67" spans="1:35" ht="14.25" customHeight="1">
      <c r="A67" s="167" t="s">
        <v>328</v>
      </c>
      <c r="B67" s="168" t="s">
        <v>1389</v>
      </c>
      <c r="C67" s="2556">
        <f ca="1">C63-C66</f>
        <v>10824</v>
      </c>
      <c r="D67" s="164" t="s">
        <v>26</v>
      </c>
      <c r="E67" s="166"/>
      <c r="F67" s="1799"/>
      <c r="G67" s="1799"/>
      <c r="H67" s="1801"/>
      <c r="I67" s="123"/>
      <c r="J67" s="3697"/>
      <c r="K67" s="1323" t="s">
        <v>1390</v>
      </c>
      <c r="L67" s="1323">
        <f ca="1">IF(M49&gt;=10000,(8.25+(M49-10000)*0.01%),IF(AND(M49&gt;=8000,M49&lt;10000),(7.85+(M49-8000)*0.02%),IF(AND(M49&gt;=5000,M49&lt;8000),(6.65+(M49-5000)*0.04%),IF(AND(M49&gt;=2000,M49&lt;5000),(4.25+(PM49-2000)*0.08%),IF(AND(M49&gt;=1000,M49&lt;2000),(2.75+(M49-1000)*0.15%),IF(AND(M49&gt;=100,M49&lt;1000),(0.5+(M49-100)*0.25%),IF(AND(M49&gt;0,M49&lt;100),M49*0.5%)))))))</f>
        <v>9.2794000000000008</v>
      </c>
      <c r="M67" s="296">
        <f ca="1">ROUND(L67*0.9,1)</f>
        <v>8.4</v>
      </c>
      <c r="N67" s="2531"/>
      <c r="Z67" s="1743"/>
      <c r="AI67" s="1744"/>
    </row>
    <row r="68" spans="1:35" ht="14.25" customHeight="1" thickBot="1">
      <c r="A68" s="170" t="s">
        <v>329</v>
      </c>
      <c r="B68" s="171" t="s">
        <v>1391</v>
      </c>
      <c r="C68" s="2557">
        <f ca="1">IF(C67&lt;=0,0,ROUND(C67*D68,0))</f>
        <v>595</v>
      </c>
      <c r="D68" s="2558">
        <f>'数据-取费表'!B41</f>
        <v>5.5000000000000007E-2</v>
      </c>
      <c r="E68" s="172"/>
      <c r="F68" s="1799"/>
      <c r="G68" s="1799"/>
      <c r="H68" s="1801"/>
      <c r="I68" s="123"/>
      <c r="J68" s="3697"/>
      <c r="K68" s="1323" t="s">
        <v>1392</v>
      </c>
      <c r="L68" s="1323">
        <f ca="1">IF(M49&gt;10000,M49*0.5%,IF(AND(M49&gt;5000,M49&lt;=10000),M49*1%,IF(AND(M49&gt;1000,M49&lt;=5000),M49*2%,IF(AND(M49&gt;200,M49&lt;=1000),M49*3%,M49*5%))))</f>
        <v>101.47</v>
      </c>
      <c r="M68" s="296">
        <f ca="1">ROUND(L68,1)</f>
        <v>101.5</v>
      </c>
      <c r="N68" s="2531"/>
      <c r="Z68" s="1743"/>
      <c r="AI68" s="1744"/>
    </row>
    <row r="69" spans="1:35" s="1763" customFormat="1" ht="16.5" customHeight="1">
      <c r="A69" s="1802"/>
      <c r="B69" s="1803"/>
      <c r="C69" s="1804"/>
      <c r="D69" s="1805"/>
      <c r="E69" s="1806"/>
      <c r="F69" s="1569"/>
      <c r="G69" s="1569"/>
      <c r="H69" s="1568"/>
      <c r="I69" s="1738"/>
      <c r="J69" s="3697"/>
      <c r="K69" s="1323" t="s">
        <v>1393</v>
      </c>
      <c r="L69" s="1323"/>
      <c r="M69" s="296">
        <f ca="1">ROUND(SUM(M63:M68),0)</f>
        <v>334</v>
      </c>
      <c r="N69" s="2533">
        <f ca="1">M69/M49</f>
        <v>1.6458066423573468E-2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59" t="s">
        <v>1394</v>
      </c>
      <c r="B70" s="3660"/>
      <c r="C70" s="3660"/>
      <c r="D70" s="3660"/>
      <c r="E70" s="3660"/>
      <c r="F70" s="3660"/>
      <c r="G70" s="3660"/>
      <c r="H70" s="3660"/>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38" t="s">
        <v>1375</v>
      </c>
      <c r="B71" s="3639"/>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6">
        <f ca="1">ROUND(D45/(1+'数据-取费表'!C42),0)</f>
        <v>10824</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6">
        <f ca="1">C74+C78</f>
        <v>54</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33" t="s">
        <v>1402</v>
      </c>
      <c r="F76" s="3607"/>
      <c r="G76" s="3607"/>
      <c r="H76" s="365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54</v>
      </c>
      <c r="D78" s="2565">
        <f>'数据-取费表'!B43</f>
        <v>5.000000000000001E-3</v>
      </c>
      <c r="E78" s="3617" t="s">
        <v>1406</v>
      </c>
      <c r="F78" s="3618"/>
      <c r="G78" s="3618"/>
      <c r="H78" s="362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6">
        <f ca="1">C72-C73</f>
        <v>10770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199.44444444444446</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7">
        <f ca="1">ROUND(IF(C79&lt;=0,0,IF(C80&gt;=200%,C79*60%-C73*35%,IF(C80&gt;=100%,C79*50%-C73*15%,IF(C80&gt;=50%,C79*40%-C73*5%,IF(C80&lt;50%,C79*30%,0))))),0)</f>
        <v>6443</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59" t="s">
        <v>1410</v>
      </c>
      <c r="B83" s="3660"/>
      <c r="C83" s="3660"/>
      <c r="D83" s="3660"/>
      <c r="E83" s="3660"/>
      <c r="F83" s="3660"/>
      <c r="G83" s="3660"/>
      <c r="H83" s="366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38" t="s">
        <v>1375</v>
      </c>
      <c r="B84" s="3639"/>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6">
        <f ca="1">ROUND(D45/(1+'数据-取费表'!C42),0)</f>
        <v>10824</v>
      </c>
      <c r="D85" s="164" t="s">
        <v>26</v>
      </c>
      <c r="E85" s="2322"/>
      <c r="F85" s="2321"/>
      <c r="G85" s="2321"/>
      <c r="H85" s="186"/>
      <c r="I85" s="1812"/>
      <c r="J85" s="1809"/>
      <c r="K85" s="1812">
        <f>ROUND(K84*L18/10000,0)</f>
        <v>71656</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6">
        <f ca="1">IF(H88="仅含出让金",C87+C90+C91+C92+C93+C94,C87+C91+C92+C93+C94)</f>
        <v>110015</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4">
        <f>C88+C89</f>
        <v>73842</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0">
        <f>K85</f>
        <v>71656</v>
      </c>
      <c r="D88" s="2565"/>
      <c r="E88" s="187" t="s">
        <v>1413</v>
      </c>
      <c r="F88" s="2318"/>
      <c r="G88" s="188" t="s">
        <v>1414</v>
      </c>
      <c r="H88" s="1815" t="s">
        <v>3678</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4">
        <f>ROUND(C88*D89,0)</f>
        <v>2186</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0"/>
      <c r="D90" s="2565"/>
      <c r="E90" s="187" t="str">
        <f>IF(H88="-","土地取得成本中已包含该笔费用"," ")</f>
        <v xml:space="preserve"> </v>
      </c>
      <c r="F90" s="2318"/>
      <c r="G90" s="3699" t="s">
        <v>2129</v>
      </c>
      <c r="H90" s="3700"/>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10743</v>
      </c>
      <c r="D91" s="2565"/>
      <c r="E91" s="3617" t="s">
        <v>1419</v>
      </c>
      <c r="F91" s="3618"/>
      <c r="G91" s="3618"/>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8459</v>
      </c>
      <c r="D92" s="2571">
        <v>0.1</v>
      </c>
      <c r="E92" s="3617" t="s">
        <v>1422</v>
      </c>
      <c r="F92" s="3618"/>
      <c r="G92" s="3618"/>
      <c r="H92" s="3627"/>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54</v>
      </c>
      <c r="D93" s="2565">
        <f>'数据-取费表'!B43</f>
        <v>5.000000000000001E-3</v>
      </c>
      <c r="E93" s="3617" t="s">
        <v>1406</v>
      </c>
      <c r="F93" s="3618"/>
      <c r="G93" s="3618"/>
      <c r="H93" s="362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16917</v>
      </c>
      <c r="D94" s="2565">
        <v>0.2</v>
      </c>
      <c r="E94" s="3628" t="s">
        <v>1426</v>
      </c>
      <c r="F94" s="3629"/>
      <c r="G94" s="3629"/>
      <c r="H94" s="3630"/>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6">
        <f ca="1">ROUND(C85-C86,0)</f>
        <v>-99191</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601" t="s">
        <v>1428</v>
      </c>
      <c r="B100" s="3602"/>
      <c r="C100" s="3602"/>
      <c r="D100" s="3619"/>
      <c r="E100" s="3602" t="s">
        <v>1429</v>
      </c>
      <c r="F100" s="3602"/>
      <c r="G100" s="3602"/>
      <c r="H100" s="3619"/>
      <c r="I100" s="123"/>
    </row>
    <row r="101" spans="1:35" ht="18.75" customHeight="1">
      <c r="A101" s="3680" t="s">
        <v>1430</v>
      </c>
      <c r="B101" s="3681"/>
      <c r="C101" s="2573" t="str">
        <f>C4</f>
        <v>成本法</v>
      </c>
      <c r="D101" s="2574" t="str">
        <f>D4</f>
        <v>收益法</v>
      </c>
      <c r="E101" s="3694" t="s">
        <v>1431</v>
      </c>
      <c r="F101" s="3651"/>
      <c r="G101" s="1818" t="s">
        <v>1432</v>
      </c>
      <c r="H101" s="2583">
        <f ca="1">H118</f>
        <v>20294</v>
      </c>
      <c r="I101" s="123"/>
    </row>
    <row r="102" spans="1:35" ht="18.75" customHeight="1">
      <c r="A102" s="3653" t="s">
        <v>1433</v>
      </c>
      <c r="B102" s="2572" t="s">
        <v>1432</v>
      </c>
      <c r="C102" s="2573">
        <f ca="1">IF(D32="楼面单价",ROUND(C19,0),C19)</f>
        <v>14251</v>
      </c>
      <c r="D102" s="2574">
        <f ca="1">IF(D32="楼面单价",ROUND(D19,0),D19)</f>
        <v>24323</v>
      </c>
      <c r="E102" s="3694"/>
      <c r="F102" s="3651"/>
      <c r="G102" s="1818" t="s">
        <v>1434</v>
      </c>
      <c r="H102" s="2543">
        <f ca="1">I118</f>
        <v>5905</v>
      </c>
      <c r="I102" s="123"/>
    </row>
    <row r="103" spans="1:35" ht="42.75" customHeight="1">
      <c r="A103" s="3653"/>
      <c r="B103" s="2572" t="s">
        <v>1434</v>
      </c>
      <c r="C103" s="2575">
        <f ca="1">C20</f>
        <v>4147</v>
      </c>
      <c r="D103" s="2576">
        <f ca="1">D20</f>
        <v>7077</v>
      </c>
      <c r="E103" s="3688" t="s">
        <v>1435</v>
      </c>
      <c r="F103" s="3689"/>
      <c r="G103" s="1819" t="s">
        <v>1436</v>
      </c>
      <c r="H103" s="2583">
        <f>IF(D36="正常操作",H104+H105+H106,H105+H106)</f>
        <v>0</v>
      </c>
      <c r="I103" s="123"/>
    </row>
    <row r="104" spans="1:35" ht="18.75" customHeight="1">
      <c r="A104" s="3653" t="s">
        <v>1437</v>
      </c>
      <c r="B104" s="2577" t="s">
        <v>1432</v>
      </c>
      <c r="C104" s="2578">
        <f ca="1">H118</f>
        <v>20294</v>
      </c>
      <c r="D104" s="2579"/>
      <c r="E104" s="1665" t="s">
        <v>1438</v>
      </c>
      <c r="F104" s="1657"/>
      <c r="G104" s="1819" t="s">
        <v>1436</v>
      </c>
      <c r="H104" s="2584">
        <f>IF(D36="同一抵押权人同一抵押物续贷",C36&amp;"（续贷，未扣减，详见特别提示）",C36)</f>
        <v>0</v>
      </c>
      <c r="I104" s="123"/>
    </row>
    <row r="105" spans="1:35" ht="18.75" customHeight="1" thickBot="1">
      <c r="A105" s="3654"/>
      <c r="B105" s="2580" t="s">
        <v>1434</v>
      </c>
      <c r="C105" s="2581">
        <f ca="1">I118</f>
        <v>5905</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50" t="str">
        <f>IF(项目基本情况!E8="已注销","——","3.房地产抵押价值")</f>
        <v>3.房地产抵押价值</v>
      </c>
      <c r="F107" s="3651"/>
      <c r="G107" s="1818" t="s">
        <v>1432</v>
      </c>
      <c r="H107" s="2583">
        <f ca="1">IF(E107="——","——",H101-H103)</f>
        <v>20294</v>
      </c>
      <c r="I107" s="123"/>
    </row>
    <row r="108" spans="1:35" ht="18.75" customHeight="1">
      <c r="A108" s="123"/>
      <c r="B108" s="123"/>
      <c r="C108" s="123"/>
      <c r="D108" s="123"/>
      <c r="E108" s="3650"/>
      <c r="F108" s="3651"/>
      <c r="G108" s="1818" t="s">
        <v>1434</v>
      </c>
      <c r="H108" s="2543">
        <f ca="1">IF(H107=H101,H102,ROUND(H107*10000/'数据-汇总表'!E3,0))</f>
        <v>5905</v>
      </c>
      <c r="I108" s="123"/>
    </row>
    <row r="109" spans="1:35" ht="18.75" customHeight="1">
      <c r="A109" s="123"/>
      <c r="B109" s="123"/>
      <c r="C109" s="123"/>
      <c r="D109" s="123"/>
      <c r="E109" s="3650" t="str">
        <f>IF(项目基本情况!E8="已注销及未注销","4.抵押担保权已注销时的房地产抵押价值",IF(项目基本情况!E8="已注销","3.抵押担保权已注销时的房地产抵押价值","——"))</f>
        <v>——</v>
      </c>
      <c r="F109" s="3651"/>
      <c r="G109" s="1818" t="s">
        <v>1432</v>
      </c>
      <c r="H109" s="2586" t="str">
        <f>IF(E109="——","——",H101-H105-H106)</f>
        <v>——</v>
      </c>
      <c r="I109" s="123"/>
    </row>
    <row r="110" spans="1:35" ht="18.75" customHeight="1">
      <c r="A110" s="123"/>
      <c r="B110" s="123"/>
      <c r="C110" s="123"/>
      <c r="D110" s="123"/>
      <c r="E110" s="3650"/>
      <c r="F110" s="3651"/>
      <c r="G110" s="1818" t="s">
        <v>1434</v>
      </c>
      <c r="H110" s="2543" t="str">
        <f>IF(H109="——","——",ROUND(H109*10000/'数据-汇总表'!E3,0))</f>
        <v>——</v>
      </c>
      <c r="I110" s="123"/>
    </row>
    <row r="111" spans="1:35" ht="18.75" customHeight="1">
      <c r="A111" s="123"/>
      <c r="B111" s="123"/>
      <c r="C111" s="123"/>
      <c r="D111" s="123"/>
      <c r="E111" s="3682" t="str">
        <f>IF(项目基本情况!E9="抵押净值",IF(OR(项目基本情况!E8="已注销",项目基本情况!E8="房地产抵押价值"),"4.抵押净值","5.抵押净值"),"——")</f>
        <v>——</v>
      </c>
      <c r="F111" s="3652"/>
      <c r="G111" s="1818" t="s">
        <v>1432</v>
      </c>
      <c r="H111" s="2583" t="str">
        <f>IF(E111="——","——",N59)</f>
        <v>——</v>
      </c>
      <c r="I111" s="123"/>
    </row>
    <row r="112" spans="1:35" ht="18.75" customHeight="1" thickBot="1">
      <c r="A112" s="123"/>
      <c r="B112" s="123"/>
      <c r="C112" s="123"/>
      <c r="D112" s="123"/>
      <c r="E112" s="3683"/>
      <c r="F112" s="3684"/>
      <c r="G112" s="1821" t="s">
        <v>1434</v>
      </c>
      <c r="H112" s="2587" t="str">
        <f>IF(E111="——","——",N61)</f>
        <v>——</v>
      </c>
      <c r="I112" s="123"/>
    </row>
    <row r="113" spans="1:27" ht="18.75" customHeight="1">
      <c r="A113" s="123"/>
      <c r="B113" s="123"/>
      <c r="C113" s="123"/>
      <c r="D113" s="123"/>
      <c r="E113" s="3655" t="s">
        <v>1440</v>
      </c>
      <c r="F113" s="3655"/>
      <c r="G113" s="3655"/>
      <c r="H113" s="3655"/>
      <c r="I113" s="123"/>
    </row>
    <row r="114" spans="1:27" ht="3.75" customHeight="1">
      <c r="A114" s="1738"/>
      <c r="B114" s="1738"/>
      <c r="C114" s="1738"/>
      <c r="D114" s="1738"/>
      <c r="E114" s="1800"/>
      <c r="F114" s="1800"/>
      <c r="G114" s="1800"/>
      <c r="H114" s="1800"/>
      <c r="I114" s="1738"/>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20" t="s">
        <v>1449</v>
      </c>
      <c r="E117" s="2320" t="s">
        <v>1450</v>
      </c>
      <c r="F117" s="2320" t="s">
        <v>1449</v>
      </c>
      <c r="G117" s="2320" t="s">
        <v>1451</v>
      </c>
      <c r="H117" s="2320" t="s">
        <v>1449</v>
      </c>
      <c r="I117" s="2320" t="s">
        <v>1451</v>
      </c>
    </row>
    <row r="118" spans="1:27" ht="24.75" customHeight="1">
      <c r="A118" s="2588" t="str">
        <f>项目基本情况!S2</f>
        <v>北京市密云区科技路77号院1号楼房地产</v>
      </c>
      <c r="B118" s="2320">
        <f>M18</f>
        <v>34367.43</v>
      </c>
      <c r="C118" s="2320">
        <f>M19</f>
        <v>33154.39</v>
      </c>
      <c r="D118" s="2320">
        <f ca="1">ROUND(IF(D32="总价",C34,E118*B118/10000),0)</f>
        <v>6068</v>
      </c>
      <c r="E118" s="2320">
        <f ca="1">ROUND(IF(C33="自定义",IF(D32="楼面单价",C34,D118*10000/B118),I118-G118),0)</f>
        <v>1766</v>
      </c>
      <c r="F118" s="2320">
        <f ca="1">ROUND(IF(D32="总价",C35,G118*B118/10000),0)</f>
        <v>14226</v>
      </c>
      <c r="G118" s="2320">
        <f ca="1">ROUND(IF(D32="楼面单价",C35,F118*10000/B118),0)</f>
        <v>4139</v>
      </c>
      <c r="H118" s="2320">
        <f ca="1">ROUND(IF(D32="总价",C32,I118*B118/10000),0)</f>
        <v>20294</v>
      </c>
      <c r="I118" s="2320">
        <f ca="1">ROUND(IF(D32="楼面单价",C32,H118*10000/B118),0)</f>
        <v>5905</v>
      </c>
    </row>
    <row r="119" spans="1:27" ht="18.75" customHeight="1">
      <c r="A119" s="3621" t="s">
        <v>1452</v>
      </c>
      <c r="B119" s="3621"/>
      <c r="C119" s="3621"/>
      <c r="D119" s="3661" t="str">
        <f ca="1">NUMBERSTRING(INT(D118*10000),2)&amp;"元整"</f>
        <v>陆仟零陆拾捌万元整</v>
      </c>
      <c r="E119" s="3663"/>
      <c r="F119" s="3661" t="str">
        <f ca="1">NUMBERSTRING(INT(F118*10000),2)&amp;"元整"</f>
        <v>壹亿肆仟贰佰贰拾陆万元整</v>
      </c>
      <c r="G119" s="3663"/>
      <c r="H119" s="3661" t="str">
        <f ca="1">NUMBERSTRING(INT(H118*10000),2)&amp;"元整"</f>
        <v>贰亿零贰佰玖拾肆万元整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61" t="s">
        <v>1452</v>
      </c>
      <c r="B121" s="3662"/>
      <c r="C121" s="3663"/>
      <c r="D121" s="3661" t="str">
        <f>IF(D120=0,"零元整",NUMBERSTRING(INT(D120*10000),2)&amp;"元整")</f>
        <v>零元整</v>
      </c>
      <c r="E121" s="3662"/>
      <c r="F121" s="3662"/>
      <c r="G121" s="3662"/>
      <c r="H121" s="3662"/>
      <c r="I121" s="3663"/>
      <c r="AA121" s="716"/>
    </row>
    <row r="122" spans="1:27" ht="18.75" customHeight="1">
      <c r="A122" s="3652" t="str">
        <f>IF(项目基本情况!B9="房地产市场价值","",MID(E107,3,LEN(E107)-2))</f>
        <v>房地产抵押价值</v>
      </c>
      <c r="B122" s="3652"/>
      <c r="C122" s="3652"/>
      <c r="D122" s="3685">
        <f ca="1">H107</f>
        <v>20294</v>
      </c>
      <c r="E122" s="3686"/>
      <c r="F122" s="3686"/>
      <c r="G122" s="3686"/>
      <c r="H122" s="3686"/>
      <c r="I122" s="3687"/>
      <c r="AA122" s="716"/>
    </row>
    <row r="123" spans="1:27" ht="18.75" customHeight="1">
      <c r="A123" s="3621" t="s">
        <v>1452</v>
      </c>
      <c r="B123" s="3621"/>
      <c r="C123" s="3621"/>
      <c r="D123" s="3661" t="str">
        <f ca="1">NUMBERSTRING(INT(D122*10000),2)&amp;"元整"</f>
        <v>贰亿零贰佰玖拾肆万元整</v>
      </c>
      <c r="E123" s="3662"/>
      <c r="F123" s="3662"/>
      <c r="G123" s="3662"/>
      <c r="H123" s="3662"/>
      <c r="I123" s="3663"/>
      <c r="AA123" s="716"/>
    </row>
    <row r="124" spans="1:27" ht="18.75" customHeight="1">
      <c r="A124" s="3652" t="str">
        <f>IF(项目基本情况!B9="房地产市场价值","",MID(E109,3,LEN(E109)-2))</f>
        <v/>
      </c>
      <c r="B124" s="3652"/>
      <c r="C124" s="3652"/>
      <c r="D124" s="3685" t="str">
        <f>H109</f>
        <v>——</v>
      </c>
      <c r="E124" s="3686"/>
      <c r="F124" s="3686"/>
      <c r="G124" s="3686"/>
      <c r="H124" s="3686"/>
      <c r="I124" s="3687"/>
      <c r="AA124" s="716"/>
    </row>
    <row r="125" spans="1:27" ht="18.75" customHeight="1">
      <c r="A125" s="3621" t="s">
        <v>1452</v>
      </c>
      <c r="B125" s="3621"/>
      <c r="C125" s="3621"/>
      <c r="D125" s="3661" t="e">
        <f>NUMBERSTRING(INT(D124*10000),2)&amp;"元整"</f>
        <v>#VALUE!</v>
      </c>
      <c r="E125" s="3662"/>
      <c r="F125" s="3662"/>
      <c r="G125" s="3662"/>
      <c r="H125" s="3662"/>
      <c r="I125" s="3663"/>
      <c r="AA125" s="716"/>
    </row>
    <row r="126" spans="1:27" ht="18.75" customHeight="1">
      <c r="A126" s="3652" t="str">
        <f>IF(项目基本情况!B9="房地产市场价值","",MID(E111,3,LEN(E111)-2))</f>
        <v/>
      </c>
      <c r="B126" s="3652"/>
      <c r="C126" s="3652"/>
      <c r="D126" s="3685" t="str">
        <f>H111</f>
        <v>——</v>
      </c>
      <c r="E126" s="3686"/>
      <c r="F126" s="3686"/>
      <c r="G126" s="3686"/>
      <c r="H126" s="3686"/>
      <c r="I126" s="3687"/>
      <c r="AA126" s="716"/>
    </row>
    <row r="127" spans="1:27" ht="18.75" customHeight="1">
      <c r="A127" s="3621" t="s">
        <v>1452</v>
      </c>
      <c r="B127" s="3621"/>
      <c r="C127" s="3621"/>
      <c r="D127" s="3661" t="e">
        <f>NUMBERSTRING(INT(D126*10000),2)&amp;"元整"</f>
        <v>#VALUE!</v>
      </c>
      <c r="E127" s="3662"/>
      <c r="F127" s="3662"/>
      <c r="G127" s="3662"/>
      <c r="H127" s="3662"/>
      <c r="I127" s="3663"/>
      <c r="AA127" s="716"/>
    </row>
    <row r="128" spans="1:27" ht="21.75" customHeight="1">
      <c r="A128" s="3668" t="s">
        <v>1453</v>
      </c>
      <c r="B128" s="3668"/>
      <c r="C128" s="3668"/>
      <c r="D128" s="3668"/>
      <c r="E128" s="3668"/>
      <c r="F128" s="3668"/>
      <c r="G128" s="3668"/>
      <c r="H128" s="3668"/>
      <c r="I128" s="3668"/>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514" t="str">
        <f>项目基本情况!B1</f>
        <v>北京市密云区科技路77号院1号楼房地产抵押价值预评估</v>
      </c>
      <c r="C37" s="3514"/>
      <c r="D37" s="3514"/>
      <c r="E37" s="3514"/>
      <c r="F37" s="3514"/>
      <c r="G37" s="3514"/>
      <c r="H37" s="3514"/>
      <c r="I37" s="3514"/>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41" sqref="E41"/>
    </sheetView>
  </sheetViews>
  <sheetFormatPr defaultColWidth="9" defaultRowHeight="14.25"/>
  <cols>
    <col min="1" max="1" width="14.375" style="351" customWidth="1"/>
    <col min="2" max="2" width="15.75" style="351" customWidth="1"/>
    <col min="3" max="3" width="20.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67587</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19666</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30" ht="51.75" customHeight="1">
      <c r="A5" s="352"/>
      <c r="B5" s="353"/>
      <c r="C5" s="3734" t="s">
        <v>1673</v>
      </c>
      <c r="D5" s="3735"/>
      <c r="E5" s="3741" t="str">
        <f>土地案例!A2</f>
        <v>北京市海淀区西北旺镇永丰产业基地(新)HD00-0403-004地块F3其他类多功能用地</v>
      </c>
      <c r="F5" s="3742"/>
      <c r="G5" s="3734" t="str">
        <f>土地案例!A5</f>
        <v>北京市海淀区西北旺镇永丰产业基地(新)HD00-0403-009地块F3其他类多功能用地</v>
      </c>
      <c r="H5" s="3735"/>
      <c r="I5" s="3734" t="str">
        <f>土地案例!A7</f>
        <v>北京市海淀区西北旺镇永丰产业基地(新)HD00-0403-024地块F3其他类多功能用地</v>
      </c>
      <c r="J5" s="3735"/>
      <c r="K5" s="553"/>
      <c r="L5" s="2702"/>
      <c r="M5" s="2703"/>
      <c r="N5" s="2703"/>
      <c r="O5" s="2703"/>
      <c r="P5" s="3722"/>
      <c r="Q5" s="3723"/>
      <c r="R5" s="3728"/>
      <c r="S5" s="3729"/>
      <c r="T5" s="3728"/>
      <c r="U5" s="3729"/>
      <c r="V5" s="3713"/>
      <c r="W5" s="3713"/>
      <c r="X5" s="1346"/>
      <c r="Y5" s="3728"/>
      <c r="Z5" s="3729"/>
      <c r="AA5" s="3715"/>
      <c r="AB5" s="3715"/>
      <c r="AC5" s="3715"/>
    </row>
    <row r="6" spans="1:30"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30" s="108" customFormat="1" ht="15.75" thickBot="1">
      <c r="A7" s="356" t="s">
        <v>1679</v>
      </c>
      <c r="B7" s="357"/>
      <c r="C7" s="358">
        <f>'数据-取费表'!B2</f>
        <v>45310</v>
      </c>
      <c r="D7" s="359">
        <v>100</v>
      </c>
      <c r="E7" s="360">
        <f>土地案例!AD2</f>
        <v>45141.000497685185</v>
      </c>
      <c r="F7" s="361">
        <f>SUMIF(69:69,YEAR(E7)&amp;"-"&amp;INT((MONTH(E7)+2)/3),70:70)</f>
        <v>99.6</v>
      </c>
      <c r="G7" s="1965">
        <f>土地案例!AD5</f>
        <v>44865.000497685185</v>
      </c>
      <c r="H7" s="359">
        <f>SUMIF(69:69,YEAR(G7)&amp;"-"&amp;INT((MONTH(G7)+2)/3),70:70)</f>
        <v>98.999999999999986</v>
      </c>
      <c r="I7" s="1965">
        <f>土地案例!AD7</f>
        <v>44495.000497685185</v>
      </c>
      <c r="J7" s="359">
        <f>SUMIF(69:69,YEAR(I7)&amp;"-"&amp;INT((MONTH(I7)+2)/3),70:70)</f>
        <v>98.199999999999974</v>
      </c>
      <c r="K7" s="554"/>
      <c r="L7" s="2704"/>
      <c r="M7" s="2705"/>
      <c r="N7" s="2705"/>
      <c r="O7" s="2705"/>
      <c r="P7" s="3736" t="s">
        <v>1680</v>
      </c>
      <c r="Q7" s="3738"/>
      <c r="R7" s="692" t="s">
        <v>14</v>
      </c>
      <c r="S7" s="693">
        <f t="shared" ref="S7:S15" si="0">F7</f>
        <v>99.6</v>
      </c>
      <c r="T7" s="692" t="s">
        <v>14</v>
      </c>
      <c r="U7" s="693">
        <f t="shared" ref="U7:U15" si="1">H7</f>
        <v>98.999999999999986</v>
      </c>
      <c r="V7" s="692" t="s">
        <v>14</v>
      </c>
      <c r="W7" s="693">
        <f t="shared" ref="W7:W15" si="2">J7</f>
        <v>98.199999999999974</v>
      </c>
      <c r="X7" s="694"/>
      <c r="Y7" s="3736" t="s">
        <v>1680</v>
      </c>
      <c r="Z7" s="3737"/>
      <c r="AA7" s="695">
        <f>D7/F7</f>
        <v>1.0040160642570282</v>
      </c>
      <c r="AB7" s="695">
        <f>D7/H7</f>
        <v>1.0101010101010102</v>
      </c>
      <c r="AC7" s="695">
        <f>D7/J7</f>
        <v>1.0183299389002038</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45" si="3">D8/F8</f>
        <v>1</v>
      </c>
      <c r="AB8" s="695">
        <f t="shared" ref="AB8:AB45" si="4">D8/H8</f>
        <v>1</v>
      </c>
      <c r="AC8" s="695">
        <f t="shared" ref="AC8:AC45" si="5">D8/J8</f>
        <v>1</v>
      </c>
    </row>
    <row r="9" spans="1:30" s="108" customFormat="1" ht="28.5">
      <c r="A9" s="363" t="s">
        <v>1684</v>
      </c>
      <c r="B9" s="63" t="s">
        <v>1685</v>
      </c>
      <c r="C9" s="1968" t="s">
        <v>3494</v>
      </c>
      <c r="D9" s="120">
        <v>100</v>
      </c>
      <c r="E9" s="1968" t="s">
        <v>3494</v>
      </c>
      <c r="F9" s="120">
        <f>SUMIF(74:74,E9,75:75)-SUMIF(74:74,C9,75:75)+100</f>
        <v>100</v>
      </c>
      <c r="G9" s="1968" t="s">
        <v>3494</v>
      </c>
      <c r="H9" s="120">
        <f>SUMIF(74:74,G9,75:75)-SUMIF(74:74,C9,75:75)+100</f>
        <v>100</v>
      </c>
      <c r="I9" s="1968" t="s">
        <v>3494</v>
      </c>
      <c r="J9" s="120">
        <f>SUMIF(74:74,I9,75:75)-SUMIF(74:74,C9,75:75)+100</f>
        <v>100</v>
      </c>
      <c r="K9" s="554"/>
      <c r="L9" s="2704"/>
      <c r="M9" s="2705"/>
      <c r="N9" s="2705"/>
      <c r="O9" s="2759"/>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108</v>
      </c>
      <c r="G10" s="408"/>
      <c r="H10" s="121">
        <f>ROUND(100/'数据-取费表'!G16,0)</f>
        <v>108</v>
      </c>
      <c r="I10" s="408"/>
      <c r="J10" s="121">
        <f>ROUND(100/'数据-取费表'!G16,0)</f>
        <v>108</v>
      </c>
      <c r="K10" s="614"/>
      <c r="L10" s="2706"/>
      <c r="M10" s="2707"/>
      <c r="N10" s="2707"/>
      <c r="O10" s="2760"/>
      <c r="P10" s="3708"/>
      <c r="Q10" s="1334" t="str">
        <f t="shared" si="6"/>
        <v>土地使用年限（年）</v>
      </c>
      <c r="R10" s="692" t="s">
        <v>14</v>
      </c>
      <c r="S10" s="693">
        <f t="shared" si="0"/>
        <v>108</v>
      </c>
      <c r="T10" s="692" t="s">
        <v>14</v>
      </c>
      <c r="U10" s="693">
        <f t="shared" si="1"/>
        <v>108</v>
      </c>
      <c r="V10" s="692" t="s">
        <v>14</v>
      </c>
      <c r="W10" s="693">
        <f t="shared" si="2"/>
        <v>108</v>
      </c>
      <c r="X10" s="694"/>
      <c r="Y10" s="3608"/>
      <c r="Z10" s="52" t="str">
        <f t="shared" si="7"/>
        <v>土地使用年限（年）</v>
      </c>
      <c r="AA10" s="695">
        <f t="shared" si="3"/>
        <v>0.92592592592592593</v>
      </c>
      <c r="AB10" s="695">
        <f t="shared" si="4"/>
        <v>0.92592592592592593</v>
      </c>
      <c r="AC10" s="695">
        <f t="shared" si="5"/>
        <v>0.92592592592592593</v>
      </c>
    </row>
    <row r="11" spans="1:30" ht="15">
      <c r="A11" s="373"/>
      <c r="B11" s="369" t="s">
        <v>1689</v>
      </c>
      <c r="C11" s="374">
        <f>土地案例!K18</f>
        <v>1.26</v>
      </c>
      <c r="D11" s="121">
        <v>100</v>
      </c>
      <c r="E11" s="374">
        <f>土地案例!K2</f>
        <v>2.2000000000000002</v>
      </c>
      <c r="F11" s="121">
        <f>LOOKUP(E11,79:79,80:80)-LOOKUP(C11,79:79,80:80)+100</f>
        <v>94</v>
      </c>
      <c r="G11" s="375">
        <f>土地案例!K5</f>
        <v>2.2000000000000002</v>
      </c>
      <c r="H11" s="121">
        <f>LOOKUP(G11,79:79,80:80)-LOOKUP(C11,79:79,80:80)+100</f>
        <v>94</v>
      </c>
      <c r="I11" s="374">
        <f>土地案例!K7</f>
        <v>2.2000000000000002</v>
      </c>
      <c r="J11" s="121">
        <f>LOOKUP(I11,79:79,80:80)-LOOKUP(C11,79:79,80:80)+100</f>
        <v>94</v>
      </c>
      <c r="K11" s="615">
        <v>3</v>
      </c>
      <c r="L11" s="2708"/>
      <c r="M11" s="2703"/>
      <c r="N11" s="2703"/>
      <c r="O11" s="2761"/>
      <c r="P11" s="3708"/>
      <c r="Q11" s="1334" t="str">
        <f t="shared" si="6"/>
        <v>容积率</v>
      </c>
      <c r="R11" s="692" t="s">
        <v>14</v>
      </c>
      <c r="S11" s="693">
        <f t="shared" si="0"/>
        <v>94</v>
      </c>
      <c r="T11" s="692" t="s">
        <v>14</v>
      </c>
      <c r="U11" s="693">
        <f t="shared" si="1"/>
        <v>94</v>
      </c>
      <c r="V11" s="692" t="s">
        <v>14</v>
      </c>
      <c r="W11" s="693">
        <f t="shared" si="2"/>
        <v>94</v>
      </c>
      <c r="X11" s="694"/>
      <c r="Y11" s="3608"/>
      <c r="Z11" s="52" t="str">
        <f t="shared" si="7"/>
        <v>容积率</v>
      </c>
      <c r="AA11" s="695">
        <f t="shared" si="3"/>
        <v>1.0638297872340425</v>
      </c>
      <c r="AB11" s="695">
        <f t="shared" si="4"/>
        <v>1.0638297872340425</v>
      </c>
      <c r="AC11" s="695">
        <f t="shared" si="5"/>
        <v>1.0638297872340425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708"/>
      <c r="Q12" s="1334" t="str">
        <f t="shared" si="6"/>
        <v>配建</v>
      </c>
      <c r="R12" s="692" t="s">
        <v>14</v>
      </c>
      <c r="S12" s="693">
        <f t="shared" si="0"/>
        <v>100</v>
      </c>
      <c r="T12" s="692" t="s">
        <v>14</v>
      </c>
      <c r="U12" s="693">
        <f t="shared" si="1"/>
        <v>100</v>
      </c>
      <c r="V12" s="692" t="s">
        <v>14</v>
      </c>
      <c r="W12" s="693">
        <f t="shared" si="2"/>
        <v>100</v>
      </c>
      <c r="X12" s="694"/>
      <c r="Y12" s="3608"/>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709" t="s">
        <v>1691</v>
      </c>
      <c r="Q15" s="1343" t="str">
        <f t="shared" si="6"/>
        <v>居住社区成熟度</v>
      </c>
      <c r="R15" s="696" t="s">
        <v>14</v>
      </c>
      <c r="S15" s="697">
        <f t="shared" si="0"/>
        <v>100</v>
      </c>
      <c r="T15" s="696" t="s">
        <v>14</v>
      </c>
      <c r="U15" s="697">
        <f t="shared" si="1"/>
        <v>100</v>
      </c>
      <c r="V15" s="696" t="s">
        <v>14</v>
      </c>
      <c r="W15" s="697">
        <f t="shared" si="2"/>
        <v>100</v>
      </c>
      <c r="X15" s="1346"/>
      <c r="Y15" s="3709"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710"/>
      <c r="Q16" s="1343"/>
      <c r="R16" s="696"/>
      <c r="S16" s="697"/>
      <c r="T16" s="696"/>
      <c r="U16" s="697"/>
      <c r="V16" s="696"/>
      <c r="W16" s="697"/>
      <c r="X16" s="1346"/>
      <c r="Y16" s="3710"/>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710"/>
      <c r="Q17" s="1343" t="str">
        <f>B17</f>
        <v>商业繁华度</v>
      </c>
      <c r="R17" s="696" t="s">
        <v>14</v>
      </c>
      <c r="S17" s="697">
        <f>F17</f>
        <v>100</v>
      </c>
      <c r="T17" s="696" t="s">
        <v>14</v>
      </c>
      <c r="U17" s="697">
        <f>H17</f>
        <v>100</v>
      </c>
      <c r="V17" s="696" t="s">
        <v>14</v>
      </c>
      <c r="W17" s="697">
        <f>J17</f>
        <v>100</v>
      </c>
      <c r="X17" s="1346"/>
      <c r="Y17" s="371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710"/>
      <c r="Q18" s="1343"/>
      <c r="R18" s="696"/>
      <c r="S18" s="697"/>
      <c r="T18" s="696"/>
      <c r="U18" s="697"/>
      <c r="V18" s="696"/>
      <c r="W18" s="697"/>
      <c r="X18" s="1346"/>
      <c r="Y18" s="3710"/>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710"/>
      <c r="Q19" s="1343" t="str">
        <f>B19</f>
        <v>办公集聚程度</v>
      </c>
      <c r="R19" s="696" t="s">
        <v>14</v>
      </c>
      <c r="S19" s="697">
        <f>F19</f>
        <v>103</v>
      </c>
      <c r="T19" s="696" t="s">
        <v>14</v>
      </c>
      <c r="U19" s="697">
        <f>H19</f>
        <v>103</v>
      </c>
      <c r="V19" s="696" t="s">
        <v>14</v>
      </c>
      <c r="W19" s="697">
        <f>J19</f>
        <v>103</v>
      </c>
      <c r="X19" s="1346"/>
      <c r="Y19" s="3710"/>
      <c r="Z19" s="1347" t="str">
        <f>Q19</f>
        <v>办公集聚程度</v>
      </c>
      <c r="AA19" s="1344">
        <f t="shared" si="3"/>
        <v>0.970873786407767</v>
      </c>
      <c r="AB19" s="1344">
        <f t="shared" si="4"/>
        <v>0.970873786407767</v>
      </c>
      <c r="AC19" s="1344">
        <f t="shared" si="5"/>
        <v>0.970873786407767</v>
      </c>
    </row>
    <row r="20" spans="1:29" ht="15">
      <c r="A20" s="373"/>
      <c r="B20" s="401"/>
      <c r="C20" s="392" t="s">
        <v>3651</v>
      </c>
      <c r="D20" s="393"/>
      <c r="E20" s="1889" t="s">
        <v>3650</v>
      </c>
      <c r="F20" s="393"/>
      <c r="G20" s="559" t="s">
        <v>3650</v>
      </c>
      <c r="H20" s="393"/>
      <c r="I20" s="559" t="s">
        <v>3650</v>
      </c>
      <c r="J20" s="393"/>
      <c r="K20" s="614"/>
      <c r="L20" s="2709"/>
      <c r="M20" s="2703"/>
      <c r="N20" s="2703"/>
      <c r="O20" s="2761"/>
      <c r="P20" s="3710"/>
      <c r="Q20" s="1343"/>
      <c r="R20" s="696"/>
      <c r="S20" s="697"/>
      <c r="T20" s="696"/>
      <c r="U20" s="697"/>
      <c r="V20" s="696"/>
      <c r="W20" s="697"/>
      <c r="X20" s="1346"/>
      <c r="Y20" s="3710"/>
      <c r="Z20" s="1347"/>
      <c r="AA20" s="1344">
        <v>1</v>
      </c>
      <c r="AB20" s="1344">
        <v>1</v>
      </c>
      <c r="AC20" s="1344">
        <v>1</v>
      </c>
    </row>
    <row r="21" spans="1:29" ht="11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710"/>
      <c r="Q21" s="1343" t="str">
        <f>B21</f>
        <v>交通便捷度</v>
      </c>
      <c r="R21" s="696" t="s">
        <v>14</v>
      </c>
      <c r="S21" s="697">
        <f>F21</f>
        <v>97</v>
      </c>
      <c r="T21" s="696" t="s">
        <v>14</v>
      </c>
      <c r="U21" s="697">
        <f>H21</f>
        <v>97</v>
      </c>
      <c r="V21" s="696" t="s">
        <v>14</v>
      </c>
      <c r="W21" s="697">
        <f>J21</f>
        <v>97</v>
      </c>
      <c r="X21" s="1346"/>
      <c r="Y21" s="3710"/>
      <c r="Z21" s="1347" t="str">
        <f>Q21</f>
        <v>交通便捷度</v>
      </c>
      <c r="AA21" s="1344">
        <f t="shared" si="3"/>
        <v>1.0309278350515463</v>
      </c>
      <c r="AB21" s="1344">
        <f t="shared" si="4"/>
        <v>1.0309278350515463</v>
      </c>
      <c r="AC21" s="1344">
        <f t="shared" si="5"/>
        <v>1.0309278350515463</v>
      </c>
    </row>
    <row r="22" spans="1:29" ht="15">
      <c r="A22" s="373"/>
      <c r="B22" s="1122"/>
      <c r="C22" s="392" t="s">
        <v>3649</v>
      </c>
      <c r="D22" s="395"/>
      <c r="E22" s="559" t="s">
        <v>3650</v>
      </c>
      <c r="F22" s="393"/>
      <c r="G22" s="559" t="s">
        <v>3650</v>
      </c>
      <c r="H22" s="393"/>
      <c r="I22" s="559" t="s">
        <v>3650</v>
      </c>
      <c r="J22" s="393"/>
      <c r="K22" s="614"/>
      <c r="L22" s="2709"/>
      <c r="M22" s="2703"/>
      <c r="N22" s="2703"/>
      <c r="O22" s="2761"/>
      <c r="P22" s="3710"/>
      <c r="Q22" s="1343"/>
      <c r="R22" s="696"/>
      <c r="S22" s="697"/>
      <c r="T22" s="696"/>
      <c r="U22" s="697"/>
      <c r="V22" s="696"/>
      <c r="W22" s="697"/>
      <c r="X22" s="1346"/>
      <c r="Y22" s="3710"/>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710"/>
      <c r="Q23" s="1343" t="str">
        <f t="shared" ref="Q23:Q37" si="8">B23</f>
        <v>区域土地利用方向</v>
      </c>
      <c r="R23" s="696" t="s">
        <v>14</v>
      </c>
      <c r="S23" s="697">
        <f>F23</f>
        <v>100</v>
      </c>
      <c r="T23" s="696" t="s">
        <v>14</v>
      </c>
      <c r="U23" s="697">
        <f>H23</f>
        <v>100</v>
      </c>
      <c r="V23" s="696" t="s">
        <v>14</v>
      </c>
      <c r="W23" s="697">
        <f>J23</f>
        <v>100</v>
      </c>
      <c r="X23" s="1346"/>
      <c r="Y23" s="3710"/>
      <c r="Z23" s="1347" t="str">
        <f>Q23</f>
        <v>区域土地利用方向</v>
      </c>
      <c r="AA23" s="1344">
        <f t="shared" si="3"/>
        <v>1</v>
      </c>
      <c r="AB23" s="1344">
        <f t="shared" si="4"/>
        <v>1</v>
      </c>
      <c r="AC23" s="1344">
        <f t="shared" si="5"/>
        <v>1</v>
      </c>
    </row>
    <row r="24" spans="1:29" ht="15">
      <c r="A24" s="352"/>
      <c r="B24" s="401"/>
      <c r="C24" s="559" t="s">
        <v>3649</v>
      </c>
      <c r="D24" s="393"/>
      <c r="E24" s="559" t="s">
        <v>3649</v>
      </c>
      <c r="F24" s="393"/>
      <c r="G24" s="559" t="s">
        <v>3649</v>
      </c>
      <c r="H24" s="393"/>
      <c r="I24" s="559" t="s">
        <v>3649</v>
      </c>
      <c r="J24" s="393"/>
      <c r="K24" s="731"/>
      <c r="L24" s="2709"/>
      <c r="M24" s="2703"/>
      <c r="N24" s="2703"/>
      <c r="O24" s="2761"/>
      <c r="P24" s="3710"/>
      <c r="Q24" s="1343"/>
      <c r="R24" s="696"/>
      <c r="S24" s="697"/>
      <c r="T24" s="696"/>
      <c r="U24" s="697"/>
      <c r="V24" s="696"/>
      <c r="W24" s="697"/>
      <c r="X24" s="1346"/>
      <c r="Y24" s="3710"/>
      <c r="Z24" s="1347"/>
      <c r="AA24" s="1344"/>
      <c r="AB24" s="1344"/>
      <c r="AC24" s="1344"/>
    </row>
    <row r="25" spans="1:29" ht="71.25">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710"/>
      <c r="Q25" s="1343" t="str">
        <f t="shared" si="8"/>
        <v>自然及人文环境状况</v>
      </c>
      <c r="R25" s="696" t="s">
        <v>14</v>
      </c>
      <c r="S25" s="697">
        <f>F25</f>
        <v>100</v>
      </c>
      <c r="T25" s="696" t="s">
        <v>14</v>
      </c>
      <c r="U25" s="697">
        <f>H25</f>
        <v>100</v>
      </c>
      <c r="V25" s="696" t="s">
        <v>14</v>
      </c>
      <c r="W25" s="697">
        <f>J25</f>
        <v>100</v>
      </c>
      <c r="X25" s="1346"/>
      <c r="Y25" s="3710"/>
      <c r="Z25" s="1347" t="str">
        <f>Q25</f>
        <v>自然及人文环境状况</v>
      </c>
      <c r="AA25" s="1344">
        <f t="shared" si="3"/>
        <v>1</v>
      </c>
      <c r="AB25" s="1344">
        <f t="shared" si="4"/>
        <v>1</v>
      </c>
      <c r="AC25" s="1344">
        <f t="shared" si="5"/>
        <v>1</v>
      </c>
    </row>
    <row r="26" spans="1:29" ht="15">
      <c r="A26" s="352"/>
      <c r="B26" s="401"/>
      <c r="C26" s="392" t="s">
        <v>3650</v>
      </c>
      <c r="D26" s="393"/>
      <c r="E26" s="392" t="s">
        <v>3650</v>
      </c>
      <c r="F26" s="393"/>
      <c r="G26" s="392" t="s">
        <v>3650</v>
      </c>
      <c r="H26" s="393"/>
      <c r="I26" s="392" t="s">
        <v>3650</v>
      </c>
      <c r="J26" s="393"/>
      <c r="K26" s="614"/>
      <c r="L26" s="2709"/>
      <c r="M26" s="2703"/>
      <c r="N26" s="2703"/>
      <c r="O26" s="2761"/>
      <c r="P26" s="3710"/>
      <c r="Q26" s="1343"/>
      <c r="R26" s="696"/>
      <c r="S26" s="697"/>
      <c r="T26" s="696"/>
      <c r="U26" s="697"/>
      <c r="V26" s="696"/>
      <c r="W26" s="697"/>
      <c r="X26" s="1346"/>
      <c r="Y26" s="3710"/>
      <c r="Z26" s="1347"/>
      <c r="AA26" s="1344">
        <v>1</v>
      </c>
      <c r="AB26" s="1344">
        <v>1</v>
      </c>
      <c r="AC26" s="1344">
        <v>1</v>
      </c>
    </row>
    <row r="27" spans="1:29" s="108" customFormat="1" ht="142.5">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710"/>
      <c r="Q27" s="1334" t="str">
        <f t="shared" si="8"/>
        <v>公共配套设施</v>
      </c>
      <c r="R27" s="692" t="s">
        <v>14</v>
      </c>
      <c r="S27" s="693">
        <f>F27</f>
        <v>100</v>
      </c>
      <c r="T27" s="692" t="s">
        <v>14</v>
      </c>
      <c r="U27" s="693">
        <f>H27</f>
        <v>100</v>
      </c>
      <c r="V27" s="692" t="s">
        <v>14</v>
      </c>
      <c r="W27" s="693">
        <f>J27</f>
        <v>100</v>
      </c>
      <c r="X27" s="694"/>
      <c r="Y27" s="3710"/>
      <c r="Z27" s="52" t="str">
        <f>Q27</f>
        <v>公共配套设施</v>
      </c>
      <c r="AA27" s="1344">
        <f>D27/F27</f>
        <v>1</v>
      </c>
      <c r="AB27" s="1344">
        <f>D27/H27</f>
        <v>1</v>
      </c>
      <c r="AC27" s="1344">
        <f>D27/J27</f>
        <v>1</v>
      </c>
    </row>
    <row r="28" spans="1:29" s="108" customFormat="1" ht="15">
      <c r="A28" s="591"/>
      <c r="B28" s="401"/>
      <c r="C28" s="1969" t="s">
        <v>3650</v>
      </c>
      <c r="D28" s="393"/>
      <c r="E28" s="1969" t="s">
        <v>3650</v>
      </c>
      <c r="F28" s="393"/>
      <c r="G28" s="1969" t="s">
        <v>3650</v>
      </c>
      <c r="H28" s="393"/>
      <c r="I28" s="1969" t="s">
        <v>3650</v>
      </c>
      <c r="J28" s="393"/>
      <c r="K28" s="614"/>
      <c r="L28" s="2704"/>
      <c r="M28" s="2705"/>
      <c r="N28" s="2705"/>
      <c r="O28" s="2759"/>
      <c r="P28" s="3710"/>
      <c r="Q28" s="1334"/>
      <c r="R28" s="692"/>
      <c r="S28" s="693"/>
      <c r="T28" s="692"/>
      <c r="U28" s="693"/>
      <c r="V28" s="692"/>
      <c r="W28" s="693"/>
      <c r="X28" s="694"/>
      <c r="Y28" s="3710"/>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710"/>
      <c r="Q29" s="1334" t="str">
        <f t="shared" ref="Q29" si="9">B29</f>
        <v>基础设施水平</v>
      </c>
      <c r="R29" s="692" t="s">
        <v>14</v>
      </c>
      <c r="S29" s="693">
        <f>F29</f>
        <v>100</v>
      </c>
      <c r="T29" s="692" t="s">
        <v>14</v>
      </c>
      <c r="U29" s="693">
        <f>H29</f>
        <v>100</v>
      </c>
      <c r="V29" s="692" t="s">
        <v>14</v>
      </c>
      <c r="W29" s="693">
        <f>J29</f>
        <v>100</v>
      </c>
      <c r="X29" s="694"/>
      <c r="Y29" s="3710"/>
      <c r="Z29" s="52" t="str">
        <f>Q29</f>
        <v>基础设施水平</v>
      </c>
      <c r="AA29" s="1344">
        <f>D29/F29</f>
        <v>1</v>
      </c>
      <c r="AB29" s="1344">
        <f>D29/H29</f>
        <v>1</v>
      </c>
      <c r="AC29" s="1344">
        <f>D29/J29</f>
        <v>1</v>
      </c>
    </row>
    <row r="30" spans="1:29" s="108" customFormat="1" ht="15">
      <c r="A30" s="591"/>
      <c r="B30" s="401"/>
      <c r="C30" s="3490" t="s">
        <v>3643</v>
      </c>
      <c r="D30" s="393"/>
      <c r="E30" s="3490" t="s">
        <v>3643</v>
      </c>
      <c r="F30" s="393"/>
      <c r="G30" s="3490" t="s">
        <v>3643</v>
      </c>
      <c r="H30" s="393"/>
      <c r="I30" s="3490" t="s">
        <v>3643</v>
      </c>
      <c r="J30" s="393"/>
      <c r="K30" s="614"/>
      <c r="L30" s="2704"/>
      <c r="M30" s="2705"/>
      <c r="N30" s="2705"/>
      <c r="O30" s="2759"/>
      <c r="P30" s="3710"/>
      <c r="Q30" s="1334"/>
      <c r="R30" s="692"/>
      <c r="S30" s="693"/>
      <c r="T30" s="692"/>
      <c r="U30" s="693"/>
      <c r="V30" s="692"/>
      <c r="W30" s="693"/>
      <c r="X30" s="694"/>
      <c r="Y30" s="3710"/>
      <c r="Z30" s="52"/>
      <c r="AA30" s="1344">
        <v>1</v>
      </c>
      <c r="AB30" s="1344">
        <v>1</v>
      </c>
      <c r="AC30" s="1344">
        <v>1</v>
      </c>
    </row>
    <row r="31" spans="1:29" ht="15">
      <c r="A31" s="373"/>
      <c r="B31" s="401" t="s">
        <v>1780</v>
      </c>
      <c r="C31" s="3491" t="s">
        <v>3659</v>
      </c>
      <c r="D31" s="380">
        <v>100</v>
      </c>
      <c r="E31" s="3491" t="s">
        <v>3662</v>
      </c>
      <c r="F31" s="380">
        <f>SUMIF(103:103,E31,104:104)-SUMIF(103:103,C31,104:104)+100</f>
        <v>102</v>
      </c>
      <c r="G31" s="3491" t="s">
        <v>3662</v>
      </c>
      <c r="H31" s="380">
        <f>SUMIF(103:103,G31,104:104)-SUMIF(103:103,C31,104:104)+100</f>
        <v>102</v>
      </c>
      <c r="I31" s="3491" t="s">
        <v>3662</v>
      </c>
      <c r="J31" s="380">
        <f>SUMIF(103:103,I31,104:104)-SUMIF(103:103,C31,104:104)+100</f>
        <v>102</v>
      </c>
      <c r="K31" s="615">
        <v>2</v>
      </c>
      <c r="L31" s="2709"/>
      <c r="M31" s="2703"/>
      <c r="N31" s="2703"/>
      <c r="O31" s="2761"/>
      <c r="P31" s="3710"/>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710"/>
      <c r="Z31" s="1347" t="str">
        <f t="shared" ref="Z31:Z45" si="13">Q31</f>
        <v>临街状况</v>
      </c>
      <c r="AA31" s="1344">
        <f t="shared" si="3"/>
        <v>0.98039215686274506</v>
      </c>
      <c r="AB31" s="1344">
        <f t="shared" si="4"/>
        <v>0.98039215686274506</v>
      </c>
      <c r="AC31" s="1344">
        <f t="shared" si="5"/>
        <v>0.98039215686274506</v>
      </c>
    </row>
    <row r="32" spans="1:29" ht="27">
      <c r="A32" s="373"/>
      <c r="B32" s="1122" t="s">
        <v>1815</v>
      </c>
      <c r="C32" s="3492" t="s">
        <v>3660</v>
      </c>
      <c r="D32" s="395">
        <v>100</v>
      </c>
      <c r="E32" s="3489" t="s">
        <v>3663</v>
      </c>
      <c r="F32" s="395">
        <f>SUMIF(105:105,E33,106:106)-SUMIF(105:105,C33,106:106)+100</f>
        <v>99</v>
      </c>
      <c r="G32" s="3492" t="s">
        <v>3665</v>
      </c>
      <c r="H32" s="395">
        <f>SUMIF(105:105,G33,106:106)-SUMIF(105:105,C33,106:106)+100</f>
        <v>99</v>
      </c>
      <c r="I32" s="3492" t="s">
        <v>3660</v>
      </c>
      <c r="J32" s="395">
        <f>SUMIF(105:105,I33,106:106)-SUMIF(105:105,C33,106:106)+100</f>
        <v>100</v>
      </c>
      <c r="K32" s="615">
        <v>1</v>
      </c>
      <c r="L32" s="2709"/>
      <c r="M32" s="2703"/>
      <c r="N32" s="2703"/>
      <c r="O32" s="2761"/>
      <c r="P32" s="3710"/>
      <c r="Q32" s="1343" t="str">
        <f t="shared" si="8"/>
        <v>毗邻道路的类型与等级</v>
      </c>
      <c r="R32" s="696" t="s">
        <v>14</v>
      </c>
      <c r="S32" s="697">
        <f t="shared" si="10"/>
        <v>99</v>
      </c>
      <c r="T32" s="696" t="s">
        <v>14</v>
      </c>
      <c r="U32" s="697">
        <f t="shared" si="11"/>
        <v>99</v>
      </c>
      <c r="V32" s="696" t="s">
        <v>14</v>
      </c>
      <c r="W32" s="697">
        <f t="shared" si="12"/>
        <v>100</v>
      </c>
      <c r="X32" s="1346"/>
      <c r="Y32" s="3710"/>
      <c r="Z32" s="1347" t="str">
        <f t="shared" si="13"/>
        <v>毗邻道路的类型与等级</v>
      </c>
      <c r="AA32" s="1344">
        <f t="shared" si="3"/>
        <v>1.0101010101010102</v>
      </c>
      <c r="AB32" s="1344">
        <f t="shared" si="4"/>
        <v>1.0101010101010102</v>
      </c>
      <c r="AC32" s="1344">
        <f t="shared" si="5"/>
        <v>1</v>
      </c>
    </row>
    <row r="33" spans="1:29" ht="15">
      <c r="A33" s="373"/>
      <c r="B33" s="401"/>
      <c r="C33" s="3488" t="s">
        <v>3661</v>
      </c>
      <c r="D33" s="393"/>
      <c r="E33" s="3488" t="s">
        <v>3664</v>
      </c>
      <c r="F33" s="393"/>
      <c r="G33" s="3488" t="s">
        <v>3664</v>
      </c>
      <c r="H33" s="393"/>
      <c r="I33" s="3488" t="s">
        <v>3661</v>
      </c>
      <c r="J33" s="393"/>
      <c r="K33" s="556"/>
      <c r="L33" s="2709"/>
      <c r="M33" s="2703"/>
      <c r="N33" s="2703"/>
      <c r="O33" s="2761"/>
      <c r="P33" s="3710"/>
      <c r="Q33" s="1343"/>
      <c r="R33" s="696"/>
      <c r="S33" s="697"/>
      <c r="T33" s="696"/>
      <c r="U33" s="697"/>
      <c r="V33" s="696"/>
      <c r="W33" s="697"/>
      <c r="X33" s="1346"/>
      <c r="Y33" s="3710"/>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710"/>
      <c r="Q34" s="1343" t="str">
        <f t="shared" si="8"/>
        <v>土地级别</v>
      </c>
      <c r="R34" s="696" t="s">
        <v>14</v>
      </c>
      <c r="S34" s="697">
        <f t="shared" si="10"/>
        <v>100</v>
      </c>
      <c r="T34" s="696" t="s">
        <v>14</v>
      </c>
      <c r="U34" s="697">
        <f t="shared" si="11"/>
        <v>100</v>
      </c>
      <c r="V34" s="696" t="s">
        <v>14</v>
      </c>
      <c r="W34" s="697">
        <f t="shared" si="12"/>
        <v>100</v>
      </c>
      <c r="X34" s="1346"/>
      <c r="Y34" s="371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710"/>
      <c r="Q35" s="1343">
        <f t="shared" si="8"/>
        <v>111</v>
      </c>
      <c r="R35" s="696" t="s">
        <v>14</v>
      </c>
      <c r="S35" s="697">
        <f t="shared" si="10"/>
        <v>100</v>
      </c>
      <c r="T35" s="696" t="s">
        <v>14</v>
      </c>
      <c r="U35" s="697">
        <f t="shared" si="11"/>
        <v>100</v>
      </c>
      <c r="V35" s="696" t="s">
        <v>14</v>
      </c>
      <c r="W35" s="697">
        <f t="shared" si="12"/>
        <v>100</v>
      </c>
      <c r="X35" s="1346"/>
      <c r="Y35" s="371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11" t="s">
        <v>1696</v>
      </c>
      <c r="Q36" s="1343">
        <f t="shared" si="8"/>
        <v>111</v>
      </c>
      <c r="R36" s="696" t="s">
        <v>14</v>
      </c>
      <c r="S36" s="697">
        <f t="shared" si="10"/>
        <v>100</v>
      </c>
      <c r="T36" s="696" t="s">
        <v>14</v>
      </c>
      <c r="U36" s="697">
        <f t="shared" si="11"/>
        <v>100</v>
      </c>
      <c r="V36" s="696" t="s">
        <v>14</v>
      </c>
      <c r="W36" s="697">
        <f t="shared" si="12"/>
        <v>100</v>
      </c>
      <c r="X36" s="1346"/>
      <c r="Y36" s="3712"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12"/>
      <c r="Q37" s="1343">
        <f t="shared" si="8"/>
        <v>111</v>
      </c>
      <c r="R37" s="699" t="s">
        <v>14</v>
      </c>
      <c r="S37" s="700">
        <f t="shared" si="10"/>
        <v>100</v>
      </c>
      <c r="T37" s="699" t="s">
        <v>14</v>
      </c>
      <c r="U37" s="700">
        <f t="shared" si="11"/>
        <v>100</v>
      </c>
      <c r="V37" s="699" t="s">
        <v>14</v>
      </c>
      <c r="W37" s="700">
        <f t="shared" si="12"/>
        <v>100</v>
      </c>
      <c r="X37" s="701"/>
      <c r="Y37" s="3712"/>
      <c r="Z37" s="702">
        <f t="shared" si="13"/>
        <v>111</v>
      </c>
      <c r="AA37" s="1344">
        <f t="shared" si="3"/>
        <v>1</v>
      </c>
      <c r="AB37" s="1344">
        <f t="shared" si="4"/>
        <v>1</v>
      </c>
      <c r="AC37" s="1344">
        <f t="shared" si="5"/>
        <v>1</v>
      </c>
    </row>
    <row r="38" spans="1:29" ht="15">
      <c r="A38" s="417" t="s">
        <v>1694</v>
      </c>
      <c r="B38" s="401" t="s">
        <v>1874</v>
      </c>
      <c r="C38" s="621">
        <f>'数据-基础表'!A3</f>
        <v>33154.39</v>
      </c>
      <c r="D38" s="412">
        <v>100</v>
      </c>
      <c r="E38" s="621">
        <f>土地案例!I2</f>
        <v>49900.54</v>
      </c>
      <c r="F38" s="412">
        <f>LOOKUP(E38,116:116,117:117)-LOOKUP(C38,116:116,117:117)+100</f>
        <v>102</v>
      </c>
      <c r="G38" s="621">
        <f>土地案例!I5</f>
        <v>32733.22</v>
      </c>
      <c r="H38" s="412">
        <f>LOOKUP(G38,116:116,117:117)-LOOKUP(C38,116:116,117:117)+100</f>
        <v>100</v>
      </c>
      <c r="I38" s="473">
        <f>土地案例!I7</f>
        <v>38252.550000000003</v>
      </c>
      <c r="J38" s="412">
        <f>LOOKUP(I38,116:116,117:117)-LOOKUP(C38,116:116,117:117)+100</f>
        <v>100</v>
      </c>
      <c r="K38" s="556"/>
      <c r="L38" s="2709"/>
      <c r="M38" s="2703"/>
      <c r="N38" s="2703"/>
      <c r="O38" s="2761"/>
      <c r="P38" s="3712"/>
      <c r="Q38" s="1343" t="str">
        <f>B38</f>
        <v>宗地面积</v>
      </c>
      <c r="R38" s="696" t="s">
        <v>14</v>
      </c>
      <c r="S38" s="697">
        <f t="shared" si="10"/>
        <v>102</v>
      </c>
      <c r="T38" s="696" t="s">
        <v>14</v>
      </c>
      <c r="U38" s="697">
        <f t="shared" si="11"/>
        <v>100</v>
      </c>
      <c r="V38" s="696" t="s">
        <v>14</v>
      </c>
      <c r="W38" s="697">
        <f t="shared" si="12"/>
        <v>100</v>
      </c>
      <c r="X38" s="1346"/>
      <c r="Y38" s="3712"/>
      <c r="Z38" s="1347" t="str">
        <f t="shared" si="13"/>
        <v>宗地面积</v>
      </c>
      <c r="AA38" s="1344">
        <f t="shared" si="3"/>
        <v>0.98039215686274506</v>
      </c>
      <c r="AB38" s="1344">
        <f t="shared" si="4"/>
        <v>1</v>
      </c>
      <c r="AC38" s="1344">
        <f t="shared" si="5"/>
        <v>1</v>
      </c>
    </row>
    <row r="39" spans="1:29" ht="28.5">
      <c r="A39" s="417"/>
      <c r="B39" s="369" t="s">
        <v>1875</v>
      </c>
      <c r="C39" s="1897" t="s">
        <v>3636</v>
      </c>
      <c r="D39" s="380">
        <v>100</v>
      </c>
      <c r="E39" s="1897" t="s">
        <v>3634</v>
      </c>
      <c r="F39" s="380">
        <f>SUMIF(118:118,E39,119:119)-SUMIF(118:118,C39,119:119)+100</f>
        <v>104</v>
      </c>
      <c r="G39" s="1897" t="s">
        <v>3634</v>
      </c>
      <c r="H39" s="380">
        <f>SUMIF(118:118,G39,119:119)-SUMIF(118:118,C39,119:119)+100</f>
        <v>104</v>
      </c>
      <c r="I39" s="1897" t="s">
        <v>3634</v>
      </c>
      <c r="J39" s="380">
        <f>SUMIF(118:118,I39,119:119)-SUMIF(118:118,C39,119:119)+100</f>
        <v>104</v>
      </c>
      <c r="K39" s="3493">
        <v>2</v>
      </c>
      <c r="L39" s="2709"/>
      <c r="M39" s="2703"/>
      <c r="N39" s="2703"/>
      <c r="O39" s="2761"/>
      <c r="P39" s="3712"/>
      <c r="Q39" s="1343" t="str">
        <f t="shared" ref="Q39:Q45" si="14">B39</f>
        <v>宗地形状</v>
      </c>
      <c r="R39" s="696" t="s">
        <v>14</v>
      </c>
      <c r="S39" s="697">
        <f t="shared" si="10"/>
        <v>104</v>
      </c>
      <c r="T39" s="696" t="s">
        <v>14</v>
      </c>
      <c r="U39" s="697">
        <f t="shared" si="11"/>
        <v>104</v>
      </c>
      <c r="V39" s="696" t="s">
        <v>14</v>
      </c>
      <c r="W39" s="697">
        <f t="shared" si="12"/>
        <v>104</v>
      </c>
      <c r="X39" s="1346"/>
      <c r="Y39" s="3712"/>
      <c r="Z39" s="1347" t="str">
        <f t="shared" si="13"/>
        <v>宗地形状</v>
      </c>
      <c r="AA39" s="1344">
        <f t="shared" si="3"/>
        <v>0.96153846153846156</v>
      </c>
      <c r="AB39" s="1344">
        <f t="shared" si="4"/>
        <v>0.96153846153846156</v>
      </c>
      <c r="AC39" s="1344">
        <f t="shared" si="5"/>
        <v>0.96153846153846156</v>
      </c>
    </row>
    <row r="40" spans="1:29" ht="57">
      <c r="A40" s="417"/>
      <c r="B40" s="369" t="s">
        <v>1876</v>
      </c>
      <c r="C40" s="1897" t="s">
        <v>3639</v>
      </c>
      <c r="D40" s="380">
        <v>100</v>
      </c>
      <c r="E40" s="1897" t="s">
        <v>3639</v>
      </c>
      <c r="F40" s="380">
        <f>SUMIF(120:120,E40,121:121)-SUMIF(120:120,C40,121:121)+100</f>
        <v>100</v>
      </c>
      <c r="G40" s="1897" t="s">
        <v>3639</v>
      </c>
      <c r="H40" s="380">
        <f>SUMIF(120:120,G40,121:121)-SUMIF(120:120,C40,121:121)+100</f>
        <v>100</v>
      </c>
      <c r="I40" s="1897" t="s">
        <v>3639</v>
      </c>
      <c r="J40" s="380">
        <f>SUMIF(120:120,I40,121:121)-SUMIF(120:120,C40,121:121)+100</f>
        <v>100</v>
      </c>
      <c r="K40" s="3493">
        <v>2</v>
      </c>
      <c r="L40" s="2709"/>
      <c r="M40" s="2703"/>
      <c r="N40" s="2703"/>
      <c r="O40" s="2761"/>
      <c r="P40" s="3712"/>
      <c r="Q40" s="1343" t="str">
        <f t="shared" si="14"/>
        <v>临街宽度及深度</v>
      </c>
      <c r="R40" s="696" t="s">
        <v>14</v>
      </c>
      <c r="S40" s="697">
        <f t="shared" si="10"/>
        <v>100</v>
      </c>
      <c r="T40" s="696" t="s">
        <v>14</v>
      </c>
      <c r="U40" s="697">
        <f t="shared" si="11"/>
        <v>100</v>
      </c>
      <c r="V40" s="696" t="s">
        <v>14</v>
      </c>
      <c r="W40" s="697">
        <f t="shared" si="12"/>
        <v>100</v>
      </c>
      <c r="X40" s="1346"/>
      <c r="Y40" s="3712"/>
      <c r="Z40" s="1347" t="str">
        <f t="shared" si="13"/>
        <v>临街宽度及深度</v>
      </c>
      <c r="AA40" s="1344">
        <f t="shared" si="3"/>
        <v>1</v>
      </c>
      <c r="AB40" s="1344">
        <f t="shared" si="4"/>
        <v>1</v>
      </c>
      <c r="AC40" s="1344">
        <f t="shared" si="5"/>
        <v>1</v>
      </c>
    </row>
    <row r="41" spans="1:29" s="108" customFormat="1" ht="15">
      <c r="A41" s="418"/>
      <c r="B41" s="369" t="s">
        <v>1877</v>
      </c>
      <c r="C41" s="1971" t="s">
        <v>3644</v>
      </c>
      <c r="D41" s="121">
        <v>100</v>
      </c>
      <c r="E41" s="1971" t="s">
        <v>3645</v>
      </c>
      <c r="F41" s="380">
        <f>SUMIF(122:122,E41,123:123)-SUMIF(122:122,C41,123:123)+100</f>
        <v>99</v>
      </c>
      <c r="G41" s="1971" t="s">
        <v>3645</v>
      </c>
      <c r="H41" s="380">
        <f>SUMIF(122:122,G41,123:123)-SUMIF(122:122,C41,123:123)+100</f>
        <v>99</v>
      </c>
      <c r="I41" s="1971" t="s">
        <v>3645</v>
      </c>
      <c r="J41" s="380">
        <f>SUMIF(122:122,I41,123:123)-SUMIF(122:122,C41,123:123)+100</f>
        <v>99</v>
      </c>
      <c r="K41" s="3493">
        <v>1</v>
      </c>
      <c r="L41" s="2704"/>
      <c r="M41" s="2705"/>
      <c r="N41" s="2705"/>
      <c r="O41" s="2759"/>
      <c r="P41" s="3712"/>
      <c r="Q41" s="1343" t="str">
        <f t="shared" si="14"/>
        <v>宗地开发程度</v>
      </c>
      <c r="R41" s="692" t="s">
        <v>14</v>
      </c>
      <c r="S41" s="693">
        <f t="shared" si="10"/>
        <v>99</v>
      </c>
      <c r="T41" s="692" t="s">
        <v>14</v>
      </c>
      <c r="U41" s="693">
        <f t="shared" si="11"/>
        <v>99</v>
      </c>
      <c r="V41" s="692" t="s">
        <v>14</v>
      </c>
      <c r="W41" s="693">
        <f t="shared" si="12"/>
        <v>99</v>
      </c>
      <c r="X41" s="694"/>
      <c r="Y41" s="3712"/>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3649</v>
      </c>
      <c r="D42" s="380">
        <v>100</v>
      </c>
      <c r="E42" s="1897" t="s">
        <v>3649</v>
      </c>
      <c r="F42" s="380">
        <f>SUMIF(124:124,E42,125:125)-SUMIF(124:124,C42,125:125)+100</f>
        <v>100</v>
      </c>
      <c r="G42" s="1897" t="s">
        <v>3649</v>
      </c>
      <c r="H42" s="380">
        <f>SUMIF(124:124,G42,125:125)-SUMIF(124:124,C42,125:125)+100</f>
        <v>100</v>
      </c>
      <c r="I42" s="1897" t="s">
        <v>3649</v>
      </c>
      <c r="J42" s="380">
        <f>SUMIF(124:124,I42,125:125)-SUMIF(124:124,C42,125:125)+100</f>
        <v>100</v>
      </c>
      <c r="K42" s="3493">
        <v>2</v>
      </c>
      <c r="L42" s="2709"/>
      <c r="M42" s="2703"/>
      <c r="N42" s="2703"/>
      <c r="O42" s="2761"/>
      <c r="P42" s="3712" t="s">
        <v>1696</v>
      </c>
      <c r="Q42" s="1343" t="str">
        <f t="shared" si="14"/>
        <v>工程地质条件</v>
      </c>
      <c r="R42" s="696" t="s">
        <v>14</v>
      </c>
      <c r="S42" s="697">
        <f t="shared" si="10"/>
        <v>100</v>
      </c>
      <c r="T42" s="696" t="s">
        <v>14</v>
      </c>
      <c r="U42" s="697">
        <f t="shared" si="11"/>
        <v>100</v>
      </c>
      <c r="V42" s="696" t="s">
        <v>14</v>
      </c>
      <c r="W42" s="697">
        <f t="shared" si="12"/>
        <v>100</v>
      </c>
      <c r="X42" s="1346"/>
      <c r="Y42" s="3712"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12"/>
      <c r="Q43" s="1343">
        <f t="shared" si="14"/>
        <v>111</v>
      </c>
      <c r="R43" s="696" t="s">
        <v>14</v>
      </c>
      <c r="S43" s="697">
        <f t="shared" si="10"/>
        <v>100</v>
      </c>
      <c r="T43" s="696" t="s">
        <v>14</v>
      </c>
      <c r="U43" s="697">
        <f t="shared" si="11"/>
        <v>100</v>
      </c>
      <c r="V43" s="696" t="s">
        <v>14</v>
      </c>
      <c r="W43" s="697">
        <f t="shared" si="12"/>
        <v>100</v>
      </c>
      <c r="X43" s="1346"/>
      <c r="Y43" s="371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12"/>
      <c r="Q44" s="1343">
        <f t="shared" si="14"/>
        <v>111</v>
      </c>
      <c r="R44" s="696" t="s">
        <v>14</v>
      </c>
      <c r="S44" s="697">
        <f t="shared" si="10"/>
        <v>100</v>
      </c>
      <c r="T44" s="696" t="s">
        <v>14</v>
      </c>
      <c r="U44" s="697">
        <f t="shared" si="11"/>
        <v>100</v>
      </c>
      <c r="V44" s="696" t="s">
        <v>14</v>
      </c>
      <c r="W44" s="697">
        <f t="shared" si="12"/>
        <v>100</v>
      </c>
      <c r="X44" s="1346"/>
      <c r="Y44" s="371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12"/>
      <c r="Q45" s="1343">
        <f t="shared" si="14"/>
        <v>111</v>
      </c>
      <c r="R45" s="699" t="s">
        <v>14</v>
      </c>
      <c r="S45" s="700">
        <f t="shared" si="10"/>
        <v>100</v>
      </c>
      <c r="T45" s="699" t="s">
        <v>14</v>
      </c>
      <c r="U45" s="700">
        <f t="shared" si="11"/>
        <v>100</v>
      </c>
      <c r="V45" s="699" t="s">
        <v>14</v>
      </c>
      <c r="W45" s="700">
        <f t="shared" si="12"/>
        <v>100</v>
      </c>
      <c r="X45" s="701"/>
      <c r="Y45" s="3712"/>
      <c r="Z45" s="702">
        <f t="shared" si="13"/>
        <v>111</v>
      </c>
      <c r="AA45" s="1344">
        <f t="shared" si="3"/>
        <v>1</v>
      </c>
      <c r="AB45" s="1344">
        <f t="shared" si="4"/>
        <v>1</v>
      </c>
      <c r="AC45" s="1344">
        <f t="shared" si="5"/>
        <v>1</v>
      </c>
    </row>
    <row r="46" spans="1:29" ht="15">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708" t="str">
        <f>A46</f>
        <v>成交单价</v>
      </c>
      <c r="Q46" s="3708"/>
      <c r="R46" s="3713">
        <f>E46</f>
        <v>20677</v>
      </c>
      <c r="S46" s="3713"/>
      <c r="T46" s="3713">
        <f>G46</f>
        <v>20691</v>
      </c>
      <c r="U46" s="3713"/>
      <c r="V46" s="3713">
        <f>I46</f>
        <v>20795</v>
      </c>
      <c r="W46" s="3713"/>
      <c r="X46" s="681"/>
      <c r="Y46" s="703"/>
      <c r="Z46" s="681"/>
      <c r="AA46" s="681"/>
      <c r="AB46" s="681"/>
      <c r="AC46" s="681"/>
    </row>
    <row r="47" spans="1:29" ht="15.75" thickBot="1">
      <c r="A47" s="431" t="s">
        <v>1793</v>
      </c>
      <c r="B47" s="625"/>
      <c r="C47" s="434">
        <f>R48</f>
        <v>19666</v>
      </c>
      <c r="D47" s="2308" t="s">
        <v>2138</v>
      </c>
      <c r="E47" s="434">
        <f>R47</f>
        <v>19300</v>
      </c>
      <c r="F47" s="2309"/>
      <c r="G47" s="433">
        <f>T47</f>
        <v>19819</v>
      </c>
      <c r="H47" s="2309"/>
      <c r="I47" s="434">
        <f>V47</f>
        <v>19880</v>
      </c>
      <c r="J47" s="2309"/>
      <c r="K47" s="2311">
        <f>F47+H47+J47</f>
        <v>0</v>
      </c>
      <c r="L47" s="2711"/>
      <c r="M47" s="2712"/>
      <c r="N47" s="2712"/>
      <c r="O47" s="2712"/>
      <c r="P47" s="3708" t="str">
        <f>A47</f>
        <v>比较价值（元/平方米）</v>
      </c>
      <c r="Q47" s="3708"/>
      <c r="R47" s="3701">
        <f>ROUND(PRODUCT(R46,AA7:AA45),0)</f>
        <v>19300</v>
      </c>
      <c r="S47" s="3701"/>
      <c r="T47" s="3701">
        <f>ROUND(PRODUCT(T46,AB7:AB45),0)</f>
        <v>19819</v>
      </c>
      <c r="U47" s="3701"/>
      <c r="V47" s="3701">
        <f>ROUND(PRODUCT(V46,AC7:AC45),0)</f>
        <v>19880</v>
      </c>
      <c r="W47" s="3701"/>
      <c r="X47" s="681"/>
      <c r="Y47" s="681"/>
      <c r="Z47" s="681"/>
      <c r="AA47" s="681"/>
      <c r="AB47" s="681"/>
      <c r="AC47" s="681"/>
    </row>
    <row r="48" spans="1:29" ht="15.75" thickBot="1">
      <c r="A48" s="435" t="s">
        <v>1880</v>
      </c>
      <c r="B48" s="436"/>
      <c r="C48" s="437">
        <f>R48</f>
        <v>19666</v>
      </c>
      <c r="D48" s="437"/>
      <c r="E48" s="437"/>
      <c r="F48" s="437"/>
      <c r="G48" s="437"/>
      <c r="H48" s="437"/>
      <c r="I48" s="437"/>
      <c r="J48" s="437"/>
      <c r="K48" s="706"/>
      <c r="L48" s="2711"/>
      <c r="M48" s="2712"/>
      <c r="N48" s="2712"/>
      <c r="O48" s="2712"/>
      <c r="P48" s="3702" t="str">
        <f>A48</f>
        <v>估价对象XX用房的比较价值（楼面单价，元/平方米）</v>
      </c>
      <c r="Q48" s="3703"/>
      <c r="R48" s="3704">
        <f>ROUND(IF(D47="简单平均",AVERAGE(R47:W47),R47*F47+T47*H47+V47*J47),0)</f>
        <v>19666</v>
      </c>
      <c r="S48" s="3704"/>
      <c r="T48" s="3704"/>
      <c r="U48" s="3704"/>
      <c r="V48" s="3704"/>
      <c r="W48" s="3704"/>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7.134715025906746E-2</v>
      </c>
      <c r="F51" s="443" t="str">
        <f>IF(OR(E51&gt;=0.3,E51&lt;=-0.3),"超过30%","")</f>
        <v/>
      </c>
      <c r="G51" s="442">
        <f>IF(G46&lt;G47,G47/G46-1,G46/G47-1)</f>
        <v>4.3998183561229087E-2</v>
      </c>
      <c r="H51" s="443" t="str">
        <f>IF(OR(G51&gt;=0.3,G51&lt;=-0.3),"超过30%","")</f>
        <v/>
      </c>
      <c r="I51" s="442">
        <f>IF(I46&lt;I47,I47/I46-1,I46/I47-1)</f>
        <v>4.6026156941649798E-2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2.6891191709844664E-2</v>
      </c>
      <c r="F52" s="443" t="str">
        <f>IF(OR(E52&gt;=0.2,E52&lt;=-0.2),"超过20%","")</f>
        <v/>
      </c>
      <c r="G52" s="442">
        <f>IF(G47&lt;I47,I47/G47-1,G47/I47-1)</f>
        <v>3.077854583985129E-3</v>
      </c>
      <c r="H52" s="443" t="str">
        <f>IF(OR(G52&gt;=0.2,G52&lt;=-0.2),"超过20%","")</f>
        <v/>
      </c>
      <c r="I52" s="442">
        <f>IF(I47&lt;E47,E47/I47-1,I47/E47-1)</f>
        <v>3.0051813471502653E-2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705" t="s">
        <v>1887</v>
      </c>
      <c r="H55" s="3706"/>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19666</v>
      </c>
      <c r="C56" s="632">
        <v>1</v>
      </c>
      <c r="D56" s="935">
        <v>1</v>
      </c>
      <c r="E56" s="632">
        <f>'数据-汇总表'!E8+'数据-汇总表'!E9</f>
        <v>34367.43</v>
      </c>
      <c r="F56" s="877">
        <f t="shared" ref="F56:F64" si="15">ROUND(B56*E56/10000,0)</f>
        <v>67587</v>
      </c>
      <c r="G56" s="3707"/>
      <c r="H56" s="3708"/>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0</v>
      </c>
      <c r="C57" s="165">
        <f t="shared" ref="C57:C64" si="16">IF($C$55="北京市系数",I57,J57)</f>
        <v>0</v>
      </c>
      <c r="D57" s="936">
        <v>0.25</v>
      </c>
      <c r="E57" s="636"/>
      <c r="F57" s="877">
        <f t="shared" si="15"/>
        <v>0</v>
      </c>
      <c r="G57" s="2993" t="s">
        <v>1892</v>
      </c>
      <c r="H57" s="878">
        <f>项目基本情况!B37</f>
        <v>0</v>
      </c>
      <c r="I57" s="882">
        <f>SUMIF(修正!A57:A68,H57,修正!B57:B68)</f>
        <v>0</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0</v>
      </c>
      <c r="C58" s="165">
        <f t="shared" si="16"/>
        <v>0</v>
      </c>
      <c r="D58" s="936">
        <v>0.25</v>
      </c>
      <c r="E58" s="636"/>
      <c r="F58" s="877">
        <f t="shared" si="15"/>
        <v>0</v>
      </c>
      <c r="G58" s="2994"/>
      <c r="H58" s="878">
        <f>项目基本情况!B37</f>
        <v>0</v>
      </c>
      <c r="I58" s="882">
        <f>SUMIF(修正!A57:A68,H58,修正!C57:C68)</f>
        <v>0</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0</v>
      </c>
      <c r="C59" s="165">
        <f t="shared" si="16"/>
        <v>0</v>
      </c>
      <c r="D59" s="936">
        <v>0.25</v>
      </c>
      <c r="E59" s="636"/>
      <c r="F59" s="877">
        <f t="shared" si="15"/>
        <v>0</v>
      </c>
      <c r="G59" s="2994"/>
      <c r="H59" s="878">
        <f>项目基本情况!B37</f>
        <v>0</v>
      </c>
      <c r="I59" s="882">
        <f>SUMIF(修正!A57:A68,H59,修正!D57:D68)</f>
        <v>0</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0</v>
      </c>
      <c r="C60" s="165">
        <f t="shared" si="16"/>
        <v>0</v>
      </c>
      <c r="D60" s="936">
        <v>0.25</v>
      </c>
      <c r="E60" s="211">
        <f>'数据-汇总表'!E11</f>
        <v>0</v>
      </c>
      <c r="F60" s="877">
        <f t="shared" si="15"/>
        <v>0</v>
      </c>
      <c r="G60" s="1978" t="s">
        <v>1896</v>
      </c>
      <c r="H60" s="878">
        <f>项目基本情况!C37</f>
        <v>0</v>
      </c>
      <c r="I60" s="882">
        <f>SUMIF(修正!A57:A68,H60,修正!E57:E68)</f>
        <v>0</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0</v>
      </c>
      <c r="C61" s="165">
        <f t="shared" si="16"/>
        <v>0</v>
      </c>
      <c r="D61" s="936">
        <v>0.25</v>
      </c>
      <c r="E61" s="211">
        <f>'数据-汇总表'!E12</f>
        <v>0</v>
      </c>
      <c r="F61" s="877">
        <f t="shared" si="15"/>
        <v>0</v>
      </c>
      <c r="G61" s="883" t="s">
        <v>1898</v>
      </c>
      <c r="H61" s="878">
        <f>IF(G61="商业",项目基本情况!B37,IF(G61="办公",项目基本情况!C37,IF(G61="住宅",项目基本情况!D37,项目基本情况!E37)))</f>
        <v>0</v>
      </c>
      <c r="I61" s="882">
        <f>SUMIF(修正!A57:A68,H61,修正!F57:F68)</f>
        <v>0</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0</v>
      </c>
      <c r="C62" s="165">
        <f t="shared" si="16"/>
        <v>0</v>
      </c>
      <c r="D62" s="936">
        <v>0.25</v>
      </c>
      <c r="E62" s="211">
        <f>'数据-汇总表'!E13</f>
        <v>0</v>
      </c>
      <c r="F62" s="877">
        <f t="shared" si="15"/>
        <v>0</v>
      </c>
      <c r="G62" s="883" t="s">
        <v>1900</v>
      </c>
      <c r="H62" s="878">
        <f>IF(G62="商业",项目基本情况!B37,IF(G62="办公",项目基本情况!C37,IF(G62="住宅",项目基本情况!D37,项目基本情况!E37)))</f>
        <v>0</v>
      </c>
      <c r="I62" s="882">
        <f>SUMIF(修正!A57:A68,H62,修正!G57:G68)</f>
        <v>0</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0</v>
      </c>
      <c r="C63" s="165">
        <f t="shared" si="16"/>
        <v>0</v>
      </c>
      <c r="D63" s="936">
        <v>0.25</v>
      </c>
      <c r="E63" s="211">
        <f>'数据-汇总表'!E14</f>
        <v>0</v>
      </c>
      <c r="F63" s="877">
        <f t="shared" si="15"/>
        <v>0</v>
      </c>
      <c r="G63" s="1978" t="s">
        <v>1892</v>
      </c>
      <c r="H63" s="878">
        <f>项目基本情况!B37</f>
        <v>0</v>
      </c>
      <c r="I63" s="882">
        <f>SUMIF(修正!A57:A68,H63,修正!G57:G68)</f>
        <v>0</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1902</v>
      </c>
      <c r="B64" s="212">
        <f t="shared" si="17"/>
        <v>0</v>
      </c>
      <c r="C64" s="165">
        <f t="shared" si="16"/>
        <v>0</v>
      </c>
      <c r="D64" s="936">
        <v>0.25</v>
      </c>
      <c r="E64" s="211">
        <f>'数据-汇总表'!E15</f>
        <v>0</v>
      </c>
      <c r="F64" s="877">
        <f t="shared" si="15"/>
        <v>0</v>
      </c>
      <c r="G64" s="1979" t="s">
        <v>1896</v>
      </c>
      <c r="H64" s="888">
        <f>项目基本情况!C37</f>
        <v>0</v>
      </c>
      <c r="I64" s="884">
        <f>SUMIF(修正!A57:A68,H64,修正!G57:G68)</f>
        <v>0</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1903</v>
      </c>
      <c r="B65" s="638" t="s">
        <v>22</v>
      </c>
      <c r="C65" s="638" t="s">
        <v>23</v>
      </c>
      <c r="D65" s="638" t="s">
        <v>392</v>
      </c>
      <c r="E65" s="638">
        <f>IF(B46="楼面地价",SUM(E56:E64),'数据-汇总表'!D3)</f>
        <v>34367.43</v>
      </c>
      <c r="F65" s="639">
        <f>IF(B46="楼面地价",SUM(F56:F64),ROUND(C48*E65/10000,0))</f>
        <v>67587</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2"/>
      <c r="Q67" s="2712"/>
      <c r="R67" s="2712"/>
      <c r="S67" s="2712"/>
      <c r="T67" s="2712"/>
      <c r="U67" s="2712"/>
      <c r="V67" s="2712"/>
      <c r="W67" s="2712"/>
      <c r="X67" s="2712"/>
      <c r="Y67" s="2712"/>
      <c r="Z67" s="2712"/>
      <c r="AA67" s="2712"/>
      <c r="AB67" s="2712"/>
      <c r="AC67" s="2712"/>
    </row>
    <row r="68" spans="1:29" ht="21.75"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7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1815</v>
      </c>
      <c r="C105" s="3477" t="s">
        <v>3628</v>
      </c>
      <c r="D105" s="3477" t="s">
        <v>3629</v>
      </c>
      <c r="E105" s="3477" t="s">
        <v>3630</v>
      </c>
      <c r="F105" s="3477" t="s">
        <v>3631</v>
      </c>
      <c r="G105" s="3477" t="s">
        <v>3632</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8.5">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43.5" thickTop="1">
      <c r="A118" s="542"/>
      <c r="B118" s="481" t="s">
        <v>1914</v>
      </c>
      <c r="C118" s="3480" t="s">
        <v>3633</v>
      </c>
      <c r="D118" s="3480" t="s">
        <v>3634</v>
      </c>
      <c r="E118" s="3480" t="s">
        <v>3635</v>
      </c>
      <c r="F118" s="3480" t="s">
        <v>3636</v>
      </c>
      <c r="G118" s="3480" t="s">
        <v>3637</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72" thickTop="1">
      <c r="A120" s="542"/>
      <c r="B120" s="481" t="s">
        <v>1915</v>
      </c>
      <c r="C120" s="3481" t="s">
        <v>3638</v>
      </c>
      <c r="D120" s="3481" t="s">
        <v>3639</v>
      </c>
      <c r="E120" s="3481" t="s">
        <v>3640</v>
      </c>
      <c r="F120" s="3480" t="s">
        <v>3641</v>
      </c>
      <c r="G120" s="3480" t="s">
        <v>3642</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3643</v>
      </c>
      <c r="D122" s="3481" t="s">
        <v>3644</v>
      </c>
      <c r="E122" s="3481" t="s">
        <v>3645</v>
      </c>
      <c r="F122" s="3481" t="s">
        <v>3646</v>
      </c>
      <c r="G122" s="3481" t="s">
        <v>3647</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3648</v>
      </c>
      <c r="D124" s="3481" t="s">
        <v>3649</v>
      </c>
      <c r="E124" s="3480" t="s">
        <v>3650</v>
      </c>
      <c r="F124" s="3480" t="s">
        <v>3651</v>
      </c>
      <c r="G124" s="3480" t="s">
        <v>3652</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E18"/>
  <sheetViews>
    <sheetView zoomScale="85" zoomScaleNormal="85" workbookViewId="0">
      <selection activeCell="I35" sqref="I35"/>
    </sheetView>
  </sheetViews>
  <sheetFormatPr defaultColWidth="9" defaultRowHeight="13.5"/>
  <cols>
    <col min="1" max="1" width="20" style="3468" customWidth="1"/>
    <col min="2" max="2" width="9" style="3468" hidden="1" customWidth="1"/>
    <col min="3" max="3" width="26.125" style="3468" customWidth="1"/>
    <col min="4" max="4" width="8.625" style="3468" hidden="1" customWidth="1"/>
    <col min="5" max="5" width="20" style="3468" hidden="1" customWidth="1"/>
    <col min="6" max="6" width="14.75" style="3468" hidden="1" customWidth="1"/>
    <col min="7" max="7" width="20" style="3468" customWidth="1"/>
    <col min="8" max="8" width="17.625" style="3468" customWidth="1"/>
    <col min="9" max="9" width="17.5" style="3468" customWidth="1"/>
    <col min="10" max="10" width="20" style="3468" customWidth="1"/>
    <col min="11" max="11" width="13.875" style="3468" customWidth="1"/>
    <col min="12" max="13" width="20" style="3468" hidden="1" customWidth="1"/>
    <col min="14" max="14" width="20" style="3468" customWidth="1"/>
    <col min="15" max="29" width="20" style="3468" hidden="1" customWidth="1"/>
    <col min="30" max="32" width="20" style="3468" customWidth="1"/>
    <col min="33" max="33" width="20.12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3429</v>
      </c>
      <c r="B1" s="3468" t="s">
        <v>3430</v>
      </c>
      <c r="C1" s="3468" t="s">
        <v>3431</v>
      </c>
      <c r="D1" s="3468" t="s">
        <v>3432</v>
      </c>
      <c r="E1" s="3468" t="s">
        <v>3433</v>
      </c>
      <c r="F1" s="3468" t="s">
        <v>3434</v>
      </c>
      <c r="G1" s="3468" t="s">
        <v>3435</v>
      </c>
      <c r="H1" s="3468" t="s">
        <v>3436</v>
      </c>
      <c r="I1" s="3468" t="s">
        <v>3437</v>
      </c>
      <c r="J1" s="3468" t="s">
        <v>3438</v>
      </c>
      <c r="K1" s="3468" t="s">
        <v>3439</v>
      </c>
      <c r="L1" s="3468" t="s">
        <v>3440</v>
      </c>
      <c r="M1" s="3468" t="s">
        <v>3441</v>
      </c>
      <c r="N1" s="3468" t="s">
        <v>3442</v>
      </c>
      <c r="O1" s="3468" t="s">
        <v>3443</v>
      </c>
      <c r="P1" s="3468" t="s">
        <v>3444</v>
      </c>
      <c r="Q1" s="3468" t="s">
        <v>3445</v>
      </c>
      <c r="R1" s="3468" t="s">
        <v>3446</v>
      </c>
      <c r="S1" s="3468" t="s">
        <v>3447</v>
      </c>
      <c r="T1" s="3468" t="s">
        <v>3448</v>
      </c>
      <c r="U1" s="3468" t="s">
        <v>3449</v>
      </c>
      <c r="V1" s="3468" t="s">
        <v>3450</v>
      </c>
      <c r="W1" s="3468" t="s">
        <v>3451</v>
      </c>
      <c r="X1" s="3468" t="s">
        <v>3452</v>
      </c>
      <c r="Y1" s="3468" t="s">
        <v>3453</v>
      </c>
      <c r="Z1" s="3468" t="s">
        <v>3454</v>
      </c>
      <c r="AA1" s="3468" t="s">
        <v>3455</v>
      </c>
      <c r="AB1" s="3468" t="s">
        <v>3456</v>
      </c>
      <c r="AC1" s="3468" t="s">
        <v>3457</v>
      </c>
      <c r="AD1" s="3468" t="s">
        <v>3458</v>
      </c>
      <c r="AE1" s="3468" t="s">
        <v>3459</v>
      </c>
      <c r="AF1" s="3468" t="s">
        <v>3460</v>
      </c>
      <c r="AG1" s="3468" t="s">
        <v>3461</v>
      </c>
      <c r="AH1" s="3468" t="s">
        <v>3462</v>
      </c>
      <c r="AI1" s="3468" t="s">
        <v>3463</v>
      </c>
      <c r="AJ1" s="3468" t="s">
        <v>3464</v>
      </c>
      <c r="AK1" s="3468" t="s">
        <v>3465</v>
      </c>
      <c r="AL1" s="3468" t="s">
        <v>3466</v>
      </c>
      <c r="AM1" s="3468" t="s">
        <v>3467</v>
      </c>
      <c r="AN1" s="3468" t="s">
        <v>3468</v>
      </c>
      <c r="AO1" s="3468" t="s">
        <v>3469</v>
      </c>
      <c r="AP1" s="3468" t="s">
        <v>3470</v>
      </c>
      <c r="AQ1" s="3468" t="s">
        <v>3471</v>
      </c>
      <c r="AR1" s="3468" t="s">
        <v>3472</v>
      </c>
      <c r="AS1" s="3468" t="s">
        <v>3473</v>
      </c>
      <c r="AT1" s="3468" t="s">
        <v>3474</v>
      </c>
      <c r="AU1" s="3468" t="s">
        <v>3475</v>
      </c>
      <c r="AV1" s="3468" t="s">
        <v>3476</v>
      </c>
      <c r="AW1" s="3468" t="s">
        <v>3477</v>
      </c>
      <c r="AX1" s="3468" t="s">
        <v>3478</v>
      </c>
      <c r="AY1" s="3468" t="s">
        <v>3479</v>
      </c>
      <c r="AZ1" s="3468" t="s">
        <v>3480</v>
      </c>
      <c r="BA1" s="3468" t="s">
        <v>3481</v>
      </c>
      <c r="BB1" s="3468" t="s">
        <v>3482</v>
      </c>
      <c r="BC1" s="3468" t="s">
        <v>3483</v>
      </c>
      <c r="BD1" s="3468" t="s">
        <v>3484</v>
      </c>
      <c r="BE1" s="3468" t="s">
        <v>3485</v>
      </c>
    </row>
    <row r="2" spans="1:57" s="3469" customFormat="1">
      <c r="A2" s="3469" t="s">
        <v>3486</v>
      </c>
      <c r="B2" s="3469" t="s">
        <v>3379</v>
      </c>
      <c r="C2" s="3469" t="s">
        <v>3487</v>
      </c>
      <c r="D2" s="3469" t="s">
        <v>3488</v>
      </c>
      <c r="E2" s="3469" t="s">
        <v>3489</v>
      </c>
      <c r="F2" s="3469" t="s">
        <v>3490</v>
      </c>
      <c r="G2" s="3469" t="s">
        <v>3491</v>
      </c>
      <c r="H2" s="3469" t="s">
        <v>3492</v>
      </c>
      <c r="I2" s="3469">
        <v>49900.54</v>
      </c>
      <c r="J2" s="3469">
        <v>109781.19</v>
      </c>
      <c r="K2" s="3469">
        <v>2.2000000000000002</v>
      </c>
      <c r="L2" s="3469">
        <v>2.2000000000000002</v>
      </c>
      <c r="M2" s="3469" t="s">
        <v>3493</v>
      </c>
      <c r="N2" s="3469" t="s">
        <v>3494</v>
      </c>
      <c r="O2" s="3469" t="s">
        <v>3495</v>
      </c>
      <c r="P2" s="3469" t="s">
        <v>3496</v>
      </c>
      <c r="Q2" s="3469" t="s">
        <v>3497</v>
      </c>
      <c r="R2" s="3469">
        <v>45</v>
      </c>
      <c r="S2" s="3469" t="s">
        <v>3497</v>
      </c>
      <c r="T2" s="3469" t="s">
        <v>3497</v>
      </c>
      <c r="U2" s="3469" t="s">
        <v>3497</v>
      </c>
      <c r="V2" s="3469" t="s">
        <v>3497</v>
      </c>
      <c r="W2" s="3469" t="s">
        <v>3497</v>
      </c>
      <c r="X2" s="3469" t="s">
        <v>3497</v>
      </c>
      <c r="Y2" s="3469">
        <v>0</v>
      </c>
      <c r="Z2" s="3469">
        <v>0</v>
      </c>
      <c r="AA2" s="3470">
        <v>45107.000497685185</v>
      </c>
      <c r="AB2" s="3470">
        <v>45127.000497685185</v>
      </c>
      <c r="AC2" s="3470">
        <v>45141.000497685185</v>
      </c>
      <c r="AD2" s="3470">
        <v>45141.000497685185</v>
      </c>
      <c r="AE2" s="3469" t="s">
        <v>3498</v>
      </c>
      <c r="AF2" s="3469" t="s">
        <v>3499</v>
      </c>
      <c r="AG2" s="3469" t="s">
        <v>3500</v>
      </c>
      <c r="AH2" s="3469" t="s">
        <v>3501</v>
      </c>
      <c r="AI2" s="3469" t="s">
        <v>3497</v>
      </c>
      <c r="AJ2" s="3469">
        <v>227000</v>
      </c>
      <c r="AK2" s="3469">
        <v>46000</v>
      </c>
      <c r="AL2" s="3469" t="s">
        <v>3502</v>
      </c>
      <c r="AM2" s="3469">
        <v>227000</v>
      </c>
      <c r="AN2" s="3469">
        <v>45490.49</v>
      </c>
      <c r="AO2" s="3469">
        <v>45490.49</v>
      </c>
      <c r="AP2" s="3469">
        <v>3032.7</v>
      </c>
      <c r="AQ2" s="3469">
        <v>3032.7</v>
      </c>
      <c r="AR2" s="3469">
        <v>20677</v>
      </c>
      <c r="AS2" s="3469">
        <v>20677</v>
      </c>
      <c r="AT2" s="3469" t="s">
        <v>3497</v>
      </c>
      <c r="AU2" s="3469" t="s">
        <v>3497</v>
      </c>
      <c r="AV2" s="3469">
        <v>0</v>
      </c>
      <c r="AW2" s="3469" t="s">
        <v>3503</v>
      </c>
      <c r="AX2" s="3469" t="s">
        <v>3496</v>
      </c>
      <c r="AY2" s="3469" t="s">
        <v>3497</v>
      </c>
      <c r="AZ2" s="3469" t="s">
        <v>3496</v>
      </c>
      <c r="BA2" s="3469" t="s">
        <v>3497</v>
      </c>
      <c r="BB2" s="3469" t="s">
        <v>3497</v>
      </c>
      <c r="BC2" s="3469" t="s">
        <v>3497</v>
      </c>
      <c r="BD2" s="3469" t="s">
        <v>3497</v>
      </c>
      <c r="BE2" s="3469" t="s">
        <v>3504</v>
      </c>
    </row>
    <row r="3" spans="1:57">
      <c r="A3" s="3468" t="s">
        <v>3505</v>
      </c>
      <c r="B3" s="3468" t="s">
        <v>3379</v>
      </c>
      <c r="C3" s="3468" t="s">
        <v>3506</v>
      </c>
      <c r="D3" s="3468" t="s">
        <v>3488</v>
      </c>
      <c r="E3" s="3468" t="s">
        <v>3507</v>
      </c>
      <c r="F3" s="3468" t="s">
        <v>3508</v>
      </c>
      <c r="G3" s="3468" t="s">
        <v>3509</v>
      </c>
      <c r="H3" s="3468" t="s">
        <v>3492</v>
      </c>
      <c r="I3" s="3468">
        <v>10610.35</v>
      </c>
      <c r="J3" s="3468">
        <v>47747</v>
      </c>
      <c r="K3" s="3468">
        <v>4.5</v>
      </c>
      <c r="L3" s="3468">
        <v>4.5</v>
      </c>
      <c r="M3" s="3468" t="s">
        <v>3493</v>
      </c>
      <c r="N3" s="3468" t="s">
        <v>3510</v>
      </c>
      <c r="O3" s="3468" t="s">
        <v>3495</v>
      </c>
      <c r="P3" s="3468" t="s">
        <v>3496</v>
      </c>
      <c r="Q3" s="3468" t="s">
        <v>3497</v>
      </c>
      <c r="R3" s="3468" t="s">
        <v>3497</v>
      </c>
      <c r="S3" s="3468" t="s">
        <v>3497</v>
      </c>
      <c r="T3" s="3468" t="s">
        <v>3497</v>
      </c>
      <c r="U3" s="3468" t="s">
        <v>3497</v>
      </c>
      <c r="V3" s="3468" t="s">
        <v>3497</v>
      </c>
      <c r="W3" s="3468" t="s">
        <v>3497</v>
      </c>
      <c r="X3" s="3468" t="s">
        <v>3497</v>
      </c>
      <c r="Y3" s="3468">
        <v>0</v>
      </c>
      <c r="Z3" s="3468">
        <v>0</v>
      </c>
      <c r="AA3" s="3471">
        <v>45079.000497685185</v>
      </c>
      <c r="AB3" s="3471">
        <v>45102.000497685185</v>
      </c>
      <c r="AC3" s="3471">
        <v>45114.000497685185</v>
      </c>
      <c r="AD3" s="3471">
        <v>45114.000497685185</v>
      </c>
      <c r="AE3" s="3468" t="s">
        <v>3511</v>
      </c>
      <c r="AF3" s="3468" t="s">
        <v>3499</v>
      </c>
      <c r="AG3" s="3468" t="s">
        <v>3512</v>
      </c>
      <c r="AH3" s="3468" t="s">
        <v>3513</v>
      </c>
      <c r="AI3" s="3468" t="s">
        <v>3514</v>
      </c>
      <c r="AJ3" s="3468">
        <v>134000</v>
      </c>
      <c r="AK3" s="3468">
        <v>27000</v>
      </c>
      <c r="AL3" s="3468" t="s">
        <v>3515</v>
      </c>
      <c r="AM3" s="3468">
        <v>134000</v>
      </c>
      <c r="AN3" s="3468">
        <v>126291.78</v>
      </c>
      <c r="AO3" s="3468">
        <v>126291.78</v>
      </c>
      <c r="AP3" s="3468">
        <v>8419.4500000000007</v>
      </c>
      <c r="AQ3" s="3468">
        <v>8419.4500000000007</v>
      </c>
      <c r="AR3" s="3468">
        <v>28065</v>
      </c>
      <c r="AS3" s="3468">
        <v>28065</v>
      </c>
      <c r="AT3" s="3468" t="s">
        <v>3497</v>
      </c>
      <c r="AU3" s="3468" t="s">
        <v>3497</v>
      </c>
      <c r="AV3" s="3468">
        <v>0</v>
      </c>
      <c r="AW3" s="3468" t="s">
        <v>3503</v>
      </c>
      <c r="AX3" s="3468" t="s">
        <v>3496</v>
      </c>
      <c r="AY3" s="3468" t="s">
        <v>3497</v>
      </c>
      <c r="AZ3" s="3468" t="s">
        <v>3496</v>
      </c>
      <c r="BA3" s="3468" t="s">
        <v>3497</v>
      </c>
      <c r="BB3" s="3468" t="s">
        <v>3497</v>
      </c>
      <c r="BC3" s="3468" t="s">
        <v>3497</v>
      </c>
      <c r="BD3" s="3468" t="s">
        <v>3497</v>
      </c>
      <c r="BE3" s="3468" t="s">
        <v>3504</v>
      </c>
    </row>
    <row r="4" spans="1:57" s="3472" customFormat="1">
      <c r="A4" s="3472" t="s">
        <v>3516</v>
      </c>
      <c r="B4" s="3472" t="s">
        <v>3379</v>
      </c>
      <c r="C4" s="3472" t="s">
        <v>3517</v>
      </c>
      <c r="D4" s="3472" t="s">
        <v>3488</v>
      </c>
      <c r="E4" s="3472" t="s">
        <v>3507</v>
      </c>
      <c r="F4" s="3472" t="s">
        <v>3518</v>
      </c>
      <c r="G4" s="3472" t="s">
        <v>3519</v>
      </c>
      <c r="H4" s="3472" t="s">
        <v>3492</v>
      </c>
      <c r="I4" s="3472">
        <v>62796.800000000003</v>
      </c>
      <c r="J4" s="3472">
        <v>275500</v>
      </c>
      <c r="K4" s="3472">
        <v>4.3899999999999997</v>
      </c>
      <c r="L4" s="3472">
        <v>4.3899999999999997</v>
      </c>
      <c r="M4" s="3472" t="s">
        <v>3493</v>
      </c>
      <c r="N4" s="3472" t="s">
        <v>3510</v>
      </c>
      <c r="O4" s="3472" t="s">
        <v>3495</v>
      </c>
      <c r="P4" s="3472" t="s">
        <v>3496</v>
      </c>
      <c r="Q4" s="3472" t="s">
        <v>3497</v>
      </c>
      <c r="R4" s="3472" t="s">
        <v>3497</v>
      </c>
      <c r="S4" s="3472" t="s">
        <v>3497</v>
      </c>
      <c r="T4" s="3472" t="s">
        <v>3497</v>
      </c>
      <c r="U4" s="3472" t="s">
        <v>3497</v>
      </c>
      <c r="V4" s="3472" t="s">
        <v>3497</v>
      </c>
      <c r="W4" s="3472" t="s">
        <v>3497</v>
      </c>
      <c r="X4" s="3472" t="s">
        <v>3497</v>
      </c>
      <c r="Y4" s="3472">
        <v>0</v>
      </c>
      <c r="Z4" s="3472">
        <v>0</v>
      </c>
      <c r="AA4" s="3473">
        <v>44946.000497685185</v>
      </c>
      <c r="AB4" s="3473">
        <v>44966.000497685185</v>
      </c>
      <c r="AC4" s="3473">
        <v>44980.000497685185</v>
      </c>
      <c r="AD4" s="3473">
        <v>44980.000497685185</v>
      </c>
      <c r="AE4" s="3472" t="s">
        <v>3520</v>
      </c>
      <c r="AF4" s="3472" t="s">
        <v>3499</v>
      </c>
      <c r="AG4" s="3472" t="s">
        <v>3521</v>
      </c>
      <c r="AH4" s="3472" t="s">
        <v>3522</v>
      </c>
      <c r="AI4" s="3472" t="s">
        <v>3523</v>
      </c>
      <c r="AJ4" s="3472">
        <v>635800</v>
      </c>
      <c r="AK4" s="3472">
        <v>127500</v>
      </c>
      <c r="AL4" s="3472" t="s">
        <v>3524</v>
      </c>
      <c r="AM4" s="3472">
        <v>635800</v>
      </c>
      <c r="AN4" s="3472">
        <v>101247.19</v>
      </c>
      <c r="AO4" s="3472">
        <v>101247.19</v>
      </c>
      <c r="AP4" s="3472">
        <v>6749.81</v>
      </c>
      <c r="AQ4" s="3472">
        <v>6749.81</v>
      </c>
      <c r="AR4" s="3472">
        <v>23078</v>
      </c>
      <c r="AS4" s="3472">
        <v>23078</v>
      </c>
      <c r="AT4" s="3472" t="s">
        <v>3497</v>
      </c>
      <c r="AU4" s="3472" t="s">
        <v>3497</v>
      </c>
      <c r="AV4" s="3472">
        <v>0</v>
      </c>
      <c r="AW4" s="3472" t="s">
        <v>3503</v>
      </c>
      <c r="AX4" s="3472" t="s">
        <v>3496</v>
      </c>
      <c r="AY4" s="3472" t="s">
        <v>3497</v>
      </c>
      <c r="AZ4" s="3472" t="s">
        <v>3496</v>
      </c>
      <c r="BA4" s="3472" t="s">
        <v>3497</v>
      </c>
      <c r="BB4" s="3472" t="s">
        <v>3497</v>
      </c>
      <c r="BC4" s="3472" t="s">
        <v>3497</v>
      </c>
      <c r="BD4" s="3472" t="s">
        <v>3497</v>
      </c>
      <c r="BE4" s="3472" t="s">
        <v>3504</v>
      </c>
    </row>
    <row r="5" spans="1:57" s="3469" customFormat="1">
      <c r="A5" s="3469" t="s">
        <v>3525</v>
      </c>
      <c r="B5" s="3469" t="s">
        <v>3379</v>
      </c>
      <c r="C5" s="3469" t="s">
        <v>3526</v>
      </c>
      <c r="D5" s="3469" t="s">
        <v>3488</v>
      </c>
      <c r="E5" s="3469" t="s">
        <v>3489</v>
      </c>
      <c r="F5" s="3469" t="s">
        <v>3490</v>
      </c>
      <c r="G5" s="3469" t="s">
        <v>3527</v>
      </c>
      <c r="H5" s="3469" t="s">
        <v>3492</v>
      </c>
      <c r="I5" s="3469">
        <v>32733.22</v>
      </c>
      <c r="J5" s="3469">
        <v>72013.08</v>
      </c>
      <c r="K5" s="3469">
        <v>2.2000000000000002</v>
      </c>
      <c r="L5" s="3469">
        <v>2.2000000000000002</v>
      </c>
      <c r="M5" s="3469" t="s">
        <v>3493</v>
      </c>
      <c r="N5" s="3469" t="s">
        <v>3494</v>
      </c>
      <c r="O5" s="3469" t="s">
        <v>3495</v>
      </c>
      <c r="P5" s="3469" t="s">
        <v>3496</v>
      </c>
      <c r="Q5" s="3469" t="s">
        <v>3497</v>
      </c>
      <c r="R5" s="3469" t="s">
        <v>3497</v>
      </c>
      <c r="S5" s="3469" t="s">
        <v>3497</v>
      </c>
      <c r="T5" s="3469" t="s">
        <v>3497</v>
      </c>
      <c r="U5" s="3469" t="s">
        <v>3497</v>
      </c>
      <c r="V5" s="3469" t="s">
        <v>3497</v>
      </c>
      <c r="W5" s="3469" t="s">
        <v>3497</v>
      </c>
      <c r="X5" s="3469" t="s">
        <v>3497</v>
      </c>
      <c r="Y5" s="3469">
        <v>0</v>
      </c>
      <c r="Z5" s="3469">
        <v>0</v>
      </c>
      <c r="AA5" s="3470">
        <v>44830.000497685185</v>
      </c>
      <c r="AB5" s="3470">
        <v>44851.000497685185</v>
      </c>
      <c r="AC5" s="3470">
        <v>44865.000497685185</v>
      </c>
      <c r="AD5" s="3470">
        <v>44865.000497685185</v>
      </c>
      <c r="AE5" s="3469" t="s">
        <v>3528</v>
      </c>
      <c r="AF5" s="3469" t="s">
        <v>3499</v>
      </c>
      <c r="AG5" s="3469" t="s">
        <v>3529</v>
      </c>
      <c r="AH5" s="3469" t="s">
        <v>3530</v>
      </c>
      <c r="AI5" s="3469" t="s">
        <v>3531</v>
      </c>
      <c r="AJ5" s="3469">
        <v>149000</v>
      </c>
      <c r="AK5" s="3469">
        <v>30000</v>
      </c>
      <c r="AL5" s="3469" t="s">
        <v>3532</v>
      </c>
      <c r="AM5" s="3469">
        <v>149000</v>
      </c>
      <c r="AN5" s="3469">
        <v>45519.5</v>
      </c>
      <c r="AO5" s="3469">
        <v>45519.5</v>
      </c>
      <c r="AP5" s="3469">
        <v>3034.63</v>
      </c>
      <c r="AQ5" s="3469">
        <v>3034.63</v>
      </c>
      <c r="AR5" s="3469">
        <v>20691</v>
      </c>
      <c r="AS5" s="3469">
        <v>20691</v>
      </c>
      <c r="AT5" s="3469" t="s">
        <v>3497</v>
      </c>
      <c r="AU5" s="3469" t="s">
        <v>3497</v>
      </c>
      <c r="AV5" s="3469">
        <v>0</v>
      </c>
      <c r="AW5" s="3469" t="s">
        <v>3503</v>
      </c>
      <c r="AX5" s="3469" t="s">
        <v>3496</v>
      </c>
      <c r="AY5" s="3469" t="s">
        <v>3497</v>
      </c>
      <c r="AZ5" s="3469" t="s">
        <v>3496</v>
      </c>
      <c r="BA5" s="3469" t="s">
        <v>3497</v>
      </c>
      <c r="BB5" s="3469" t="s">
        <v>3497</v>
      </c>
      <c r="BC5" s="3469" t="s">
        <v>3497</v>
      </c>
      <c r="BD5" s="3469" t="s">
        <v>3497</v>
      </c>
      <c r="BE5" s="3469" t="s">
        <v>3504</v>
      </c>
    </row>
    <row r="6" spans="1:57" s="3472" customFormat="1">
      <c r="A6" s="3472" t="s">
        <v>3533</v>
      </c>
      <c r="B6" s="3472" t="s">
        <v>3379</v>
      </c>
      <c r="C6" s="3472" t="s">
        <v>3534</v>
      </c>
      <c r="D6" s="3472" t="s">
        <v>3488</v>
      </c>
      <c r="E6" s="3472" t="s">
        <v>3489</v>
      </c>
      <c r="F6" s="3472" t="s">
        <v>3490</v>
      </c>
      <c r="G6" s="3472" t="s">
        <v>3527</v>
      </c>
      <c r="H6" s="3472" t="s">
        <v>3492</v>
      </c>
      <c r="I6" s="3472">
        <v>29506.55</v>
      </c>
      <c r="J6" s="3472">
        <v>64914.41</v>
      </c>
      <c r="K6" s="3472">
        <v>2.2000000000000002</v>
      </c>
      <c r="L6" s="3472">
        <v>2.2000000000000002</v>
      </c>
      <c r="M6" s="3472" t="s">
        <v>3493</v>
      </c>
      <c r="N6" s="3472" t="s">
        <v>3494</v>
      </c>
      <c r="O6" s="3472" t="s">
        <v>3495</v>
      </c>
      <c r="P6" s="3472" t="s">
        <v>3496</v>
      </c>
      <c r="Q6" s="3472" t="s">
        <v>3497</v>
      </c>
      <c r="R6" s="3472" t="s">
        <v>3497</v>
      </c>
      <c r="S6" s="3472" t="s">
        <v>3497</v>
      </c>
      <c r="T6" s="3472" t="s">
        <v>3497</v>
      </c>
      <c r="U6" s="3472" t="s">
        <v>3497</v>
      </c>
      <c r="V6" s="3472" t="s">
        <v>3497</v>
      </c>
      <c r="W6" s="3472" t="s">
        <v>3497</v>
      </c>
      <c r="X6" s="3472" t="s">
        <v>3497</v>
      </c>
      <c r="Y6" s="3472">
        <v>0</v>
      </c>
      <c r="Z6" s="3472">
        <v>0</v>
      </c>
      <c r="AA6" s="3473">
        <v>44830.000497685185</v>
      </c>
      <c r="AB6" s="3473">
        <v>44851.000497685185</v>
      </c>
      <c r="AC6" s="3473">
        <v>44865.000497685185</v>
      </c>
      <c r="AD6" s="3473">
        <v>44865.000497685185</v>
      </c>
      <c r="AE6" s="3472" t="s">
        <v>3535</v>
      </c>
      <c r="AF6" s="3472" t="s">
        <v>3499</v>
      </c>
      <c r="AG6" s="3472" t="s">
        <v>3536</v>
      </c>
      <c r="AH6" s="3472" t="s">
        <v>3530</v>
      </c>
      <c r="AI6" s="3472" t="s">
        <v>3531</v>
      </c>
      <c r="AJ6" s="3472">
        <v>135000</v>
      </c>
      <c r="AK6" s="3472">
        <v>27000</v>
      </c>
      <c r="AL6" s="3472" t="s">
        <v>3532</v>
      </c>
      <c r="AM6" s="3472">
        <v>135000</v>
      </c>
      <c r="AN6" s="3472">
        <v>45752.55</v>
      </c>
      <c r="AO6" s="3472">
        <v>45752.55</v>
      </c>
      <c r="AP6" s="3472">
        <v>3050.17</v>
      </c>
      <c r="AQ6" s="3472">
        <v>3050.17</v>
      </c>
      <c r="AR6" s="3472">
        <v>20797</v>
      </c>
      <c r="AS6" s="3472">
        <v>20797</v>
      </c>
      <c r="AT6" s="3472" t="s">
        <v>3497</v>
      </c>
      <c r="AU6" s="3472" t="s">
        <v>3497</v>
      </c>
      <c r="AV6" s="3472">
        <v>0</v>
      </c>
      <c r="AW6" s="3472" t="s">
        <v>3503</v>
      </c>
      <c r="AX6" s="3472" t="s">
        <v>3496</v>
      </c>
      <c r="AY6" s="3472" t="s">
        <v>3497</v>
      </c>
      <c r="AZ6" s="3472" t="s">
        <v>3496</v>
      </c>
      <c r="BA6" s="3472" t="s">
        <v>3497</v>
      </c>
      <c r="BB6" s="3472" t="s">
        <v>3497</v>
      </c>
      <c r="BC6" s="3472" t="s">
        <v>3497</v>
      </c>
      <c r="BD6" s="3472" t="s">
        <v>3497</v>
      </c>
      <c r="BE6" s="3472" t="s">
        <v>3504</v>
      </c>
    </row>
    <row r="7" spans="1:57" s="3469" customFormat="1">
      <c r="A7" s="3469" t="s">
        <v>3537</v>
      </c>
      <c r="B7" s="3469" t="s">
        <v>3379</v>
      </c>
      <c r="C7" s="3469" t="s">
        <v>3538</v>
      </c>
      <c r="D7" s="3469" t="s">
        <v>3488</v>
      </c>
      <c r="E7" s="3469" t="s">
        <v>3489</v>
      </c>
      <c r="F7" s="3469" t="s">
        <v>3490</v>
      </c>
      <c r="G7" s="3469" t="s">
        <v>3539</v>
      </c>
      <c r="H7" s="3469" t="s">
        <v>3492</v>
      </c>
      <c r="I7" s="3469">
        <v>38252.550000000003</v>
      </c>
      <c r="J7" s="3469">
        <v>84155.61</v>
      </c>
      <c r="K7" s="3469">
        <v>2.2000000000000002</v>
      </c>
      <c r="L7" s="3469">
        <v>2.2000000000000002</v>
      </c>
      <c r="M7" s="3469" t="s">
        <v>3493</v>
      </c>
      <c r="N7" s="3469" t="s">
        <v>3494</v>
      </c>
      <c r="O7" s="3469" t="s">
        <v>3495</v>
      </c>
      <c r="P7" s="3469" t="s">
        <v>3496</v>
      </c>
      <c r="Q7" s="3469" t="s">
        <v>3497</v>
      </c>
      <c r="R7" s="3469">
        <v>45</v>
      </c>
      <c r="S7" s="3469" t="s">
        <v>3497</v>
      </c>
      <c r="T7" s="3469" t="s">
        <v>3497</v>
      </c>
      <c r="U7" s="3469" t="s">
        <v>3497</v>
      </c>
      <c r="V7" s="3469" t="s">
        <v>3497</v>
      </c>
      <c r="W7" s="3469" t="s">
        <v>3497</v>
      </c>
      <c r="X7" s="3469" t="s">
        <v>3497</v>
      </c>
      <c r="Y7" s="3469">
        <v>0</v>
      </c>
      <c r="Z7" s="3469">
        <v>0</v>
      </c>
      <c r="AA7" s="3470">
        <v>44457.000497685185</v>
      </c>
      <c r="AB7" s="3470">
        <v>44481.000497685185</v>
      </c>
      <c r="AC7" s="3470">
        <v>44495.000497685185</v>
      </c>
      <c r="AD7" s="3470">
        <v>44495.000497685185</v>
      </c>
      <c r="AE7" s="3469" t="s">
        <v>3540</v>
      </c>
      <c r="AF7" s="3469" t="s">
        <v>3499</v>
      </c>
      <c r="AG7" s="3469" t="s">
        <v>3541</v>
      </c>
      <c r="AH7" s="3469" t="s">
        <v>3497</v>
      </c>
      <c r="AI7" s="3469" t="s">
        <v>3497</v>
      </c>
      <c r="AJ7" s="3469">
        <v>175000</v>
      </c>
      <c r="AK7" s="3469">
        <v>35000</v>
      </c>
      <c r="AL7" s="3469" t="s">
        <v>3542</v>
      </c>
      <c r="AM7" s="3469">
        <v>175000</v>
      </c>
      <c r="AN7" s="3469">
        <v>45748.58</v>
      </c>
      <c r="AO7" s="3469">
        <v>45748.58</v>
      </c>
      <c r="AP7" s="3469">
        <v>3049.91</v>
      </c>
      <c r="AQ7" s="3469">
        <v>3049.91</v>
      </c>
      <c r="AR7" s="3469">
        <v>20795</v>
      </c>
      <c r="AS7" s="3469">
        <v>20795</v>
      </c>
      <c r="AT7" s="3469" t="s">
        <v>3497</v>
      </c>
      <c r="AU7" s="3469" t="s">
        <v>3497</v>
      </c>
      <c r="AV7" s="3469">
        <v>0</v>
      </c>
      <c r="AW7" s="3469" t="s">
        <v>3543</v>
      </c>
      <c r="AX7" s="3469" t="s">
        <v>3496</v>
      </c>
      <c r="AY7" s="3469" t="s">
        <v>3497</v>
      </c>
      <c r="AZ7" s="3469" t="s">
        <v>3496</v>
      </c>
      <c r="BA7" s="3469" t="s">
        <v>3497</v>
      </c>
      <c r="BB7" s="3469" t="s">
        <v>3497</v>
      </c>
      <c r="BC7" s="3469" t="s">
        <v>3497</v>
      </c>
      <c r="BD7" s="3469" t="s">
        <v>3497</v>
      </c>
      <c r="BE7" s="3469" t="s">
        <v>3544</v>
      </c>
    </row>
    <row r="8" spans="1:57">
      <c r="A8" s="3468" t="s">
        <v>3545</v>
      </c>
      <c r="B8" s="3468" t="s">
        <v>3379</v>
      </c>
      <c r="C8" s="3468" t="s">
        <v>3546</v>
      </c>
      <c r="D8" s="3468" t="s">
        <v>3488</v>
      </c>
      <c r="E8" s="3468" t="s">
        <v>3489</v>
      </c>
      <c r="F8" s="3468" t="s">
        <v>3490</v>
      </c>
      <c r="G8" s="3468" t="s">
        <v>3539</v>
      </c>
      <c r="H8" s="3468" t="s">
        <v>3492</v>
      </c>
      <c r="I8" s="3468">
        <v>30025.18</v>
      </c>
      <c r="J8" s="3468">
        <v>66055.39</v>
      </c>
      <c r="K8" s="3468">
        <v>2.2000000000000002</v>
      </c>
      <c r="L8" s="3468">
        <v>2.2000000000000002</v>
      </c>
      <c r="M8" s="3468" t="s">
        <v>3493</v>
      </c>
      <c r="N8" s="3468" t="s">
        <v>3494</v>
      </c>
      <c r="O8" s="3468" t="s">
        <v>3495</v>
      </c>
      <c r="P8" s="3468" t="s">
        <v>3496</v>
      </c>
      <c r="Q8" s="3468" t="s">
        <v>3497</v>
      </c>
      <c r="R8" s="3468">
        <v>45</v>
      </c>
      <c r="S8" s="3468" t="s">
        <v>3497</v>
      </c>
      <c r="T8" s="3468" t="s">
        <v>3497</v>
      </c>
      <c r="U8" s="3468" t="s">
        <v>3497</v>
      </c>
      <c r="V8" s="3468" t="s">
        <v>3497</v>
      </c>
      <c r="W8" s="3468" t="s">
        <v>3497</v>
      </c>
      <c r="X8" s="3468" t="s">
        <v>3497</v>
      </c>
      <c r="Y8" s="3468">
        <v>0</v>
      </c>
      <c r="Z8" s="3468">
        <v>0</v>
      </c>
      <c r="AA8" s="3471">
        <v>44457.000497685185</v>
      </c>
      <c r="AB8" s="3471">
        <v>44481.000497685185</v>
      </c>
      <c r="AC8" s="3471">
        <v>44495.000497685185</v>
      </c>
      <c r="AD8" s="3471">
        <v>44495.000497685185</v>
      </c>
      <c r="AE8" s="3468" t="s">
        <v>3547</v>
      </c>
      <c r="AF8" s="3468" t="s">
        <v>3499</v>
      </c>
      <c r="AG8" s="3468" t="s">
        <v>3548</v>
      </c>
      <c r="AH8" s="3468" t="s">
        <v>3497</v>
      </c>
      <c r="AI8" s="3468" t="s">
        <v>3497</v>
      </c>
      <c r="AJ8" s="3468">
        <v>137000</v>
      </c>
      <c r="AK8" s="3468">
        <v>137000</v>
      </c>
      <c r="AL8" s="3468" t="s">
        <v>3542</v>
      </c>
      <c r="AM8" s="3468">
        <v>137000</v>
      </c>
      <c r="AN8" s="3468">
        <v>45628.37</v>
      </c>
      <c r="AO8" s="3468">
        <v>45628.37</v>
      </c>
      <c r="AP8" s="3468">
        <v>3041.89</v>
      </c>
      <c r="AQ8" s="3468">
        <v>3041.89</v>
      </c>
      <c r="AR8" s="3468">
        <v>20740</v>
      </c>
      <c r="AS8" s="3468">
        <v>20740</v>
      </c>
      <c r="AT8" s="3468" t="s">
        <v>3497</v>
      </c>
      <c r="AU8" s="3468" t="s">
        <v>3497</v>
      </c>
      <c r="AV8" s="3468">
        <v>0</v>
      </c>
      <c r="AW8" s="3468" t="s">
        <v>3543</v>
      </c>
      <c r="AX8" s="3468" t="s">
        <v>3496</v>
      </c>
      <c r="AY8" s="3468" t="s">
        <v>3497</v>
      </c>
      <c r="AZ8" s="3468" t="s">
        <v>3496</v>
      </c>
      <c r="BA8" s="3468" t="s">
        <v>3497</v>
      </c>
      <c r="BB8" s="3468" t="s">
        <v>3497</v>
      </c>
      <c r="BC8" s="3468" t="s">
        <v>3497</v>
      </c>
      <c r="BD8" s="3468" t="s">
        <v>3497</v>
      </c>
      <c r="BE8" s="3468" t="s">
        <v>3544</v>
      </c>
    </row>
    <row r="9" spans="1:57">
      <c r="A9" s="3468" t="s">
        <v>3549</v>
      </c>
      <c r="B9" s="3468" t="s">
        <v>3379</v>
      </c>
      <c r="C9" s="3468" t="s">
        <v>3550</v>
      </c>
      <c r="D9" s="3468" t="s">
        <v>3488</v>
      </c>
      <c r="E9" s="3468" t="s">
        <v>3489</v>
      </c>
      <c r="F9" s="3468" t="s">
        <v>3490</v>
      </c>
      <c r="G9" s="3468" t="s">
        <v>3539</v>
      </c>
      <c r="H9" s="3468" t="s">
        <v>3492</v>
      </c>
      <c r="I9" s="3468">
        <v>25121.77</v>
      </c>
      <c r="J9" s="3468">
        <v>55267.89</v>
      </c>
      <c r="K9" s="3468">
        <v>2.2000000000000002</v>
      </c>
      <c r="L9" s="3468">
        <v>2.2000000000000002</v>
      </c>
      <c r="M9" s="3468" t="s">
        <v>3493</v>
      </c>
      <c r="N9" s="3468" t="s">
        <v>3494</v>
      </c>
      <c r="O9" s="3468" t="s">
        <v>3495</v>
      </c>
      <c r="P9" s="3468" t="s">
        <v>3496</v>
      </c>
      <c r="Q9" s="3468" t="s">
        <v>3497</v>
      </c>
      <c r="R9" s="3468">
        <v>45</v>
      </c>
      <c r="S9" s="3468" t="s">
        <v>3497</v>
      </c>
      <c r="T9" s="3468" t="s">
        <v>3497</v>
      </c>
      <c r="U9" s="3468" t="s">
        <v>3497</v>
      </c>
      <c r="V9" s="3468" t="s">
        <v>3497</v>
      </c>
      <c r="W9" s="3468" t="s">
        <v>3497</v>
      </c>
      <c r="X9" s="3468" t="s">
        <v>3497</v>
      </c>
      <c r="Y9" s="3468">
        <v>0</v>
      </c>
      <c r="Z9" s="3468">
        <v>0</v>
      </c>
      <c r="AA9" s="3471">
        <v>44457.000497685185</v>
      </c>
      <c r="AB9" s="3471">
        <v>44481.000497685185</v>
      </c>
      <c r="AC9" s="3471">
        <v>44495.000497685185</v>
      </c>
      <c r="AD9" s="3471">
        <v>44495.000497685185</v>
      </c>
      <c r="AE9" s="3468" t="s">
        <v>3551</v>
      </c>
      <c r="AF9" s="3468" t="s">
        <v>3499</v>
      </c>
      <c r="AG9" s="3468" t="s">
        <v>3552</v>
      </c>
      <c r="AH9" s="3468" t="s">
        <v>3497</v>
      </c>
      <c r="AI9" s="3468" t="s">
        <v>3497</v>
      </c>
      <c r="AJ9" s="3468">
        <v>115000</v>
      </c>
      <c r="AK9" s="3468">
        <v>23000</v>
      </c>
      <c r="AL9" s="3468" t="s">
        <v>3542</v>
      </c>
      <c r="AM9" s="3468">
        <v>115000</v>
      </c>
      <c r="AN9" s="3468">
        <v>45777.02</v>
      </c>
      <c r="AO9" s="3468">
        <v>45777.02</v>
      </c>
      <c r="AP9" s="3468">
        <v>3051.8</v>
      </c>
      <c r="AQ9" s="3468">
        <v>3051.8</v>
      </c>
      <c r="AR9" s="3468">
        <v>20808</v>
      </c>
      <c r="AS9" s="3468">
        <v>20808</v>
      </c>
      <c r="AT9" s="3468" t="s">
        <v>3497</v>
      </c>
      <c r="AU9" s="3468" t="s">
        <v>3497</v>
      </c>
      <c r="AV9" s="3468">
        <v>0</v>
      </c>
      <c r="AW9" s="3468" t="s">
        <v>3543</v>
      </c>
      <c r="AX9" s="3468" t="s">
        <v>3496</v>
      </c>
      <c r="AY9" s="3468" t="s">
        <v>3497</v>
      </c>
      <c r="AZ9" s="3468" t="s">
        <v>3496</v>
      </c>
      <c r="BA9" s="3468" t="s">
        <v>3497</v>
      </c>
      <c r="BB9" s="3468" t="s">
        <v>3497</v>
      </c>
      <c r="BC9" s="3468" t="s">
        <v>3497</v>
      </c>
      <c r="BD9" s="3468" t="s">
        <v>3497</v>
      </c>
      <c r="BE9" s="3468" t="s">
        <v>3544</v>
      </c>
    </row>
    <row r="10" spans="1:57">
      <c r="A10" s="3468" t="s">
        <v>3553</v>
      </c>
      <c r="B10" s="3468" t="s">
        <v>3379</v>
      </c>
      <c r="C10" s="3468" t="s">
        <v>3554</v>
      </c>
      <c r="D10" s="3468" t="s">
        <v>3488</v>
      </c>
      <c r="E10" s="3468" t="s">
        <v>3489</v>
      </c>
      <c r="F10" s="3468" t="s">
        <v>3555</v>
      </c>
      <c r="G10" s="3468" t="s">
        <v>3556</v>
      </c>
      <c r="H10" s="3468" t="s">
        <v>3492</v>
      </c>
      <c r="I10" s="3468">
        <v>51788.13</v>
      </c>
      <c r="J10" s="3468">
        <v>184800</v>
      </c>
      <c r="K10" s="3468" t="s">
        <v>3557</v>
      </c>
      <c r="L10" s="3468">
        <v>4.5</v>
      </c>
      <c r="M10" s="3468" t="s">
        <v>3493</v>
      </c>
      <c r="N10" s="3468" t="s">
        <v>3510</v>
      </c>
      <c r="O10" s="3468" t="s">
        <v>3495</v>
      </c>
      <c r="P10" s="3468" t="s">
        <v>3496</v>
      </c>
      <c r="Q10" s="3468" t="s">
        <v>3497</v>
      </c>
      <c r="R10" s="3468" t="s">
        <v>3558</v>
      </c>
      <c r="S10" s="3468" t="s">
        <v>3497</v>
      </c>
      <c r="T10" s="3468" t="s">
        <v>3497</v>
      </c>
      <c r="U10" s="3468" t="s">
        <v>3497</v>
      </c>
      <c r="V10" s="3468" t="s">
        <v>3497</v>
      </c>
      <c r="W10" s="3468">
        <v>0</v>
      </c>
      <c r="X10" s="3468">
        <v>0</v>
      </c>
      <c r="Y10" s="3468">
        <v>0</v>
      </c>
      <c r="Z10" s="3468">
        <v>0</v>
      </c>
      <c r="AA10" s="3471">
        <v>44133.000497685185</v>
      </c>
      <c r="AB10" s="3471">
        <v>44153.000497685185</v>
      </c>
      <c r="AC10" s="3471">
        <v>44167.000497685185</v>
      </c>
      <c r="AD10" s="3471">
        <v>44167.000497685185</v>
      </c>
      <c r="AE10" s="3468" t="s">
        <v>3559</v>
      </c>
      <c r="AF10" s="3468" t="s">
        <v>3499</v>
      </c>
      <c r="AG10" s="3468" t="s">
        <v>3560</v>
      </c>
      <c r="AH10" s="3468" t="s">
        <v>3561</v>
      </c>
      <c r="AI10" s="3468" t="s">
        <v>3523</v>
      </c>
      <c r="AJ10" s="3468">
        <v>570500</v>
      </c>
      <c r="AK10" s="3468">
        <v>115000</v>
      </c>
      <c r="AL10" s="3468" t="s">
        <v>3562</v>
      </c>
      <c r="AM10" s="3468">
        <v>579500</v>
      </c>
      <c r="AN10" s="3468">
        <v>110160.37</v>
      </c>
      <c r="AO10" s="3468">
        <v>111898.23</v>
      </c>
      <c r="AP10" s="3468">
        <v>7344.03</v>
      </c>
      <c r="AQ10" s="3468">
        <v>7459.88</v>
      </c>
      <c r="AR10" s="3468">
        <v>30871</v>
      </c>
      <c r="AS10" s="3468">
        <v>31358</v>
      </c>
      <c r="AT10" s="3468" t="s">
        <v>3497</v>
      </c>
      <c r="AU10" s="3468" t="s">
        <v>3497</v>
      </c>
      <c r="AV10" s="3468">
        <v>1.58</v>
      </c>
      <c r="AW10" s="3468" t="s">
        <v>3563</v>
      </c>
      <c r="AX10" s="3468" t="s">
        <v>3496</v>
      </c>
      <c r="AY10" s="3468" t="s">
        <v>3497</v>
      </c>
      <c r="AZ10" s="3468" t="s">
        <v>3496</v>
      </c>
      <c r="BA10" s="3468" t="s">
        <v>3497</v>
      </c>
      <c r="BB10" s="3468" t="s">
        <v>3497</v>
      </c>
      <c r="BC10" s="3468" t="s">
        <v>3497</v>
      </c>
      <c r="BD10" s="3468" t="s">
        <v>3497</v>
      </c>
      <c r="BE10" s="3468" t="s">
        <v>3544</v>
      </c>
    </row>
    <row r="11" spans="1:57">
      <c r="A11" s="3468" t="s">
        <v>3564</v>
      </c>
      <c r="B11" s="3468" t="s">
        <v>3379</v>
      </c>
      <c r="C11" s="3468" t="s">
        <v>3565</v>
      </c>
      <c r="D11" s="3468" t="s">
        <v>3488</v>
      </c>
      <c r="E11" s="3468" t="s">
        <v>3507</v>
      </c>
      <c r="F11" s="3468" t="s">
        <v>3566</v>
      </c>
      <c r="G11" s="3468" t="s">
        <v>3567</v>
      </c>
      <c r="H11" s="3468" t="s">
        <v>3492</v>
      </c>
      <c r="I11" s="3468">
        <v>7289.19</v>
      </c>
      <c r="J11" s="3468">
        <v>21867.57</v>
      </c>
      <c r="K11" s="3468" t="s">
        <v>3568</v>
      </c>
      <c r="L11" s="3468">
        <v>3</v>
      </c>
      <c r="M11" s="3468" t="s">
        <v>3493</v>
      </c>
      <c r="N11" s="3468" t="s">
        <v>3569</v>
      </c>
      <c r="O11" s="3468" t="s">
        <v>3495</v>
      </c>
      <c r="P11" s="3468" t="s">
        <v>3496</v>
      </c>
      <c r="Q11" s="3468" t="s">
        <v>3570</v>
      </c>
      <c r="R11" s="3468" t="s">
        <v>3571</v>
      </c>
      <c r="S11" s="3468" t="s">
        <v>3497</v>
      </c>
      <c r="T11" s="3468" t="s">
        <v>3497</v>
      </c>
      <c r="U11" s="3468" t="s">
        <v>3497</v>
      </c>
      <c r="V11" s="3468" t="s">
        <v>3497</v>
      </c>
      <c r="W11" s="3468">
        <v>0</v>
      </c>
      <c r="X11" s="3468">
        <v>0</v>
      </c>
      <c r="Y11" s="3468">
        <v>0</v>
      </c>
      <c r="Z11" s="3468">
        <v>0</v>
      </c>
      <c r="AA11" s="3471">
        <v>43889.000497685185</v>
      </c>
      <c r="AB11" s="3471">
        <v>43909.000497685185</v>
      </c>
      <c r="AC11" s="3471">
        <v>43923.000497685185</v>
      </c>
      <c r="AD11" s="3471">
        <v>43923.000497685185</v>
      </c>
      <c r="AE11" s="3468" t="s">
        <v>3572</v>
      </c>
      <c r="AF11" s="3468" t="s">
        <v>3499</v>
      </c>
      <c r="AG11" s="3468" t="s">
        <v>3573</v>
      </c>
      <c r="AH11" s="3468" t="s">
        <v>3574</v>
      </c>
      <c r="AI11" s="3468" t="s">
        <v>3531</v>
      </c>
      <c r="AJ11" s="3468">
        <v>35200</v>
      </c>
      <c r="AK11" s="3468">
        <v>7100</v>
      </c>
      <c r="AL11" s="3468" t="s">
        <v>3575</v>
      </c>
      <c r="AM11" s="3468">
        <v>35200</v>
      </c>
      <c r="AN11" s="3468">
        <v>48290.68</v>
      </c>
      <c r="AO11" s="3468">
        <v>48290.68</v>
      </c>
      <c r="AP11" s="3468">
        <v>3219.38</v>
      </c>
      <c r="AQ11" s="3468">
        <v>3219.38</v>
      </c>
      <c r="AR11" s="3468">
        <v>16097</v>
      </c>
      <c r="AS11" s="3468">
        <v>16097</v>
      </c>
      <c r="AT11" s="3468" t="s">
        <v>3497</v>
      </c>
      <c r="AU11" s="3468" t="s">
        <v>3497</v>
      </c>
      <c r="AV11" s="3468">
        <v>0</v>
      </c>
      <c r="AW11" s="3468" t="s">
        <v>3563</v>
      </c>
      <c r="AX11" s="3468" t="s">
        <v>3496</v>
      </c>
      <c r="AY11" s="3468" t="s">
        <v>3497</v>
      </c>
      <c r="AZ11" s="3468" t="s">
        <v>3496</v>
      </c>
      <c r="BA11" s="3468" t="s">
        <v>3497</v>
      </c>
      <c r="BB11" s="3468" t="s">
        <v>3497</v>
      </c>
      <c r="BC11" s="3468" t="s">
        <v>3497</v>
      </c>
      <c r="BD11" s="3468" t="s">
        <v>3497</v>
      </c>
      <c r="BE11" s="3468" t="s">
        <v>3544</v>
      </c>
    </row>
    <row r="12" spans="1:57">
      <c r="A12" s="3468" t="s">
        <v>3576</v>
      </c>
      <c r="B12" s="3468" t="s">
        <v>3379</v>
      </c>
      <c r="C12" s="3468" t="s">
        <v>3577</v>
      </c>
      <c r="D12" s="3468" t="s">
        <v>3488</v>
      </c>
      <c r="E12" s="3468" t="s">
        <v>3489</v>
      </c>
      <c r="F12" s="3468" t="s">
        <v>3578</v>
      </c>
      <c r="G12" s="3468" t="s">
        <v>3579</v>
      </c>
      <c r="H12" s="3468" t="s">
        <v>3492</v>
      </c>
      <c r="I12" s="3468">
        <v>70601.070000000007</v>
      </c>
      <c r="J12" s="3468">
        <v>285523</v>
      </c>
      <c r="K12" s="3468" t="s">
        <v>3580</v>
      </c>
      <c r="L12" s="3468">
        <v>4.04</v>
      </c>
      <c r="M12" s="3468" t="s">
        <v>3581</v>
      </c>
      <c r="N12" s="3468" t="s">
        <v>3582</v>
      </c>
      <c r="O12" s="3468" t="s">
        <v>3495</v>
      </c>
      <c r="P12" s="3468" t="s">
        <v>3496</v>
      </c>
      <c r="Q12" s="3468" t="s">
        <v>3497</v>
      </c>
      <c r="R12" s="3468" t="s">
        <v>3497</v>
      </c>
      <c r="S12" s="3468" t="s">
        <v>3497</v>
      </c>
      <c r="T12" s="3468" t="s">
        <v>3497</v>
      </c>
      <c r="U12" s="3468" t="s">
        <v>3497</v>
      </c>
      <c r="V12" s="3468" t="s">
        <v>3497</v>
      </c>
      <c r="W12" s="3468">
        <v>0</v>
      </c>
      <c r="X12" s="3468">
        <v>0</v>
      </c>
      <c r="Y12" s="3468">
        <v>0</v>
      </c>
      <c r="Z12" s="3468">
        <v>0</v>
      </c>
      <c r="AA12" s="3471">
        <v>43770.000497685185</v>
      </c>
      <c r="AB12" s="3471">
        <v>43798.000497685185</v>
      </c>
      <c r="AC12" s="3471">
        <v>43801.000497685185</v>
      </c>
      <c r="AD12" s="3471">
        <v>43801.000497685185</v>
      </c>
      <c r="AE12" s="3468" t="s">
        <v>3583</v>
      </c>
      <c r="AF12" s="3468" t="s">
        <v>3499</v>
      </c>
      <c r="AG12" s="3468" t="s">
        <v>3584</v>
      </c>
      <c r="AH12" s="3468" t="s">
        <v>3585</v>
      </c>
      <c r="AI12" s="3468" t="s">
        <v>3523</v>
      </c>
      <c r="AJ12" s="3468" t="s">
        <v>3497</v>
      </c>
      <c r="AK12" s="3468">
        <v>131000</v>
      </c>
      <c r="AL12" s="3468" t="s">
        <v>633</v>
      </c>
      <c r="AM12" s="3468">
        <v>660900</v>
      </c>
      <c r="AN12" s="3468" t="s">
        <v>3497</v>
      </c>
      <c r="AO12" s="3468">
        <v>93610.48</v>
      </c>
      <c r="AP12" s="3468" t="s">
        <v>3497</v>
      </c>
      <c r="AQ12" s="3468">
        <v>6240.7</v>
      </c>
      <c r="AR12" s="3468" t="s">
        <v>3497</v>
      </c>
      <c r="AS12" s="3468">
        <v>23147</v>
      </c>
      <c r="AT12" s="3468" t="s">
        <v>3497</v>
      </c>
      <c r="AU12" s="3468" t="s">
        <v>3497</v>
      </c>
      <c r="AV12" s="3468">
        <v>0</v>
      </c>
      <c r="AW12" s="3468" t="s">
        <v>3563</v>
      </c>
      <c r="AX12" s="3468" t="s">
        <v>3496</v>
      </c>
      <c r="AY12" s="3468" t="s">
        <v>3497</v>
      </c>
      <c r="AZ12" s="3468" t="s">
        <v>3496</v>
      </c>
      <c r="BA12" s="3468" t="s">
        <v>3497</v>
      </c>
      <c r="BB12" s="3468" t="s">
        <v>3497</v>
      </c>
      <c r="BC12" s="3468" t="s">
        <v>3497</v>
      </c>
      <c r="BD12" s="3468" t="s">
        <v>3497</v>
      </c>
      <c r="BE12" s="3468" t="s">
        <v>3544</v>
      </c>
    </row>
    <row r="13" spans="1:57">
      <c r="A13" s="3468" t="s">
        <v>3586</v>
      </c>
      <c r="B13" s="3468" t="s">
        <v>3379</v>
      </c>
      <c r="C13" s="3468" t="s">
        <v>3587</v>
      </c>
      <c r="D13" s="3468" t="s">
        <v>3488</v>
      </c>
      <c r="E13" s="3468" t="s">
        <v>3489</v>
      </c>
      <c r="F13" s="3468" t="s">
        <v>3588</v>
      </c>
      <c r="G13" s="3468" t="s">
        <v>3589</v>
      </c>
      <c r="H13" s="3468" t="s">
        <v>3492</v>
      </c>
      <c r="I13" s="3468">
        <v>22035.93</v>
      </c>
      <c r="J13" s="3468">
        <v>61700.6</v>
      </c>
      <c r="K13" s="3468" t="s">
        <v>3590</v>
      </c>
      <c r="L13" s="3468">
        <v>2.8</v>
      </c>
      <c r="M13" s="3468" t="s">
        <v>3493</v>
      </c>
      <c r="N13" s="3468" t="s">
        <v>3510</v>
      </c>
      <c r="O13" s="3468" t="s">
        <v>3495</v>
      </c>
      <c r="P13" s="3468" t="s">
        <v>3496</v>
      </c>
      <c r="Q13" s="3468" t="s">
        <v>3591</v>
      </c>
      <c r="R13" s="3468" t="s">
        <v>3571</v>
      </c>
      <c r="S13" s="3468" t="s">
        <v>3497</v>
      </c>
      <c r="T13" s="3468" t="s">
        <v>3497</v>
      </c>
      <c r="U13" s="3468" t="s">
        <v>3497</v>
      </c>
      <c r="V13" s="3468" t="s">
        <v>3497</v>
      </c>
      <c r="W13" s="3468">
        <v>0</v>
      </c>
      <c r="X13" s="3468">
        <v>0</v>
      </c>
      <c r="Y13" s="3468">
        <v>0</v>
      </c>
      <c r="Z13" s="3468">
        <v>0</v>
      </c>
      <c r="AA13" s="3471">
        <v>43616.000497685185</v>
      </c>
      <c r="AB13" s="3471">
        <v>43636.000497685185</v>
      </c>
      <c r="AC13" s="3471">
        <v>43650.000497685185</v>
      </c>
      <c r="AD13" s="3471">
        <v>43650.000497685185</v>
      </c>
      <c r="AE13" s="3468" t="s">
        <v>3592</v>
      </c>
      <c r="AF13" s="3468" t="s">
        <v>3499</v>
      </c>
      <c r="AG13" s="3468" t="s">
        <v>3593</v>
      </c>
      <c r="AH13" s="3468" t="s">
        <v>3522</v>
      </c>
      <c r="AI13" s="3468" t="s">
        <v>3523</v>
      </c>
      <c r="AJ13" s="3468">
        <v>103700</v>
      </c>
      <c r="AK13" s="3468">
        <v>21000</v>
      </c>
      <c r="AL13" s="3468" t="s">
        <v>633</v>
      </c>
      <c r="AM13" s="3468">
        <v>103700</v>
      </c>
      <c r="AN13" s="3468">
        <v>47059.5</v>
      </c>
      <c r="AO13" s="3468">
        <v>47059.5</v>
      </c>
      <c r="AP13" s="3468">
        <v>3137.3</v>
      </c>
      <c r="AQ13" s="3468">
        <v>3137.3</v>
      </c>
      <c r="AR13" s="3468">
        <v>16807</v>
      </c>
      <c r="AS13" s="3468">
        <v>16807</v>
      </c>
      <c r="AT13" s="3468" t="s">
        <v>3497</v>
      </c>
      <c r="AU13" s="3468" t="s">
        <v>3497</v>
      </c>
      <c r="AV13" s="3468">
        <v>0</v>
      </c>
      <c r="AW13" s="3468" t="s">
        <v>3563</v>
      </c>
      <c r="AX13" s="3468" t="s">
        <v>3496</v>
      </c>
      <c r="AY13" s="3468" t="s">
        <v>3497</v>
      </c>
      <c r="AZ13" s="3468" t="s">
        <v>3496</v>
      </c>
      <c r="BA13" s="3468" t="s">
        <v>3497</v>
      </c>
      <c r="BB13" s="3468" t="s">
        <v>3497</v>
      </c>
      <c r="BC13" s="3468" t="s">
        <v>3497</v>
      </c>
      <c r="BD13" s="3468" t="s">
        <v>3497</v>
      </c>
      <c r="BE13" s="3468" t="s">
        <v>3544</v>
      </c>
    </row>
    <row r="14" spans="1:57">
      <c r="A14" s="3468" t="s">
        <v>3594</v>
      </c>
      <c r="B14" s="3468" t="s">
        <v>3379</v>
      </c>
      <c r="C14" s="3468" t="s">
        <v>3595</v>
      </c>
      <c r="D14" s="3468" t="s">
        <v>3488</v>
      </c>
      <c r="E14" s="3468" t="s">
        <v>3489</v>
      </c>
      <c r="F14" s="3468" t="s">
        <v>3490</v>
      </c>
      <c r="G14" s="3468" t="s">
        <v>3596</v>
      </c>
      <c r="H14" s="3468" t="s">
        <v>3492</v>
      </c>
      <c r="I14" s="3468">
        <v>32158.94</v>
      </c>
      <c r="J14" s="3468">
        <v>96476.82</v>
      </c>
      <c r="K14" s="3468" t="s">
        <v>3568</v>
      </c>
      <c r="L14" s="3468">
        <v>3</v>
      </c>
      <c r="M14" s="3468" t="s">
        <v>3493</v>
      </c>
      <c r="N14" s="3468" t="s">
        <v>3597</v>
      </c>
      <c r="O14" s="3468" t="s">
        <v>3495</v>
      </c>
      <c r="P14" s="3468" t="s">
        <v>3496</v>
      </c>
      <c r="Q14" s="3468" t="s">
        <v>3570</v>
      </c>
      <c r="R14" s="3468" t="s">
        <v>3598</v>
      </c>
      <c r="S14" s="3468" t="s">
        <v>3497</v>
      </c>
      <c r="T14" s="3468" t="s">
        <v>3497</v>
      </c>
      <c r="U14" s="3468" t="s">
        <v>3497</v>
      </c>
      <c r="V14" s="3468" t="s">
        <v>3497</v>
      </c>
      <c r="W14" s="3468">
        <v>0</v>
      </c>
      <c r="X14" s="3468">
        <v>0</v>
      </c>
      <c r="Y14" s="3468">
        <v>0</v>
      </c>
      <c r="Z14" s="3468">
        <v>0</v>
      </c>
      <c r="AA14" s="3471">
        <v>43579.000497685185</v>
      </c>
      <c r="AB14" s="3471">
        <v>43599.000497685185</v>
      </c>
      <c r="AC14" s="3471">
        <v>43613.000497685185</v>
      </c>
      <c r="AD14" s="3471">
        <v>43613.000497685185</v>
      </c>
      <c r="AE14" s="3468" t="s">
        <v>3599</v>
      </c>
      <c r="AF14" s="3468" t="s">
        <v>3499</v>
      </c>
      <c r="AG14" s="3468" t="s">
        <v>3600</v>
      </c>
      <c r="AH14" s="3468" t="s">
        <v>3530</v>
      </c>
      <c r="AI14" s="3468" t="s">
        <v>3531</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3497</v>
      </c>
      <c r="AU14" s="3468" t="s">
        <v>3497</v>
      </c>
      <c r="AV14" s="3468">
        <v>0</v>
      </c>
      <c r="AW14" s="3468" t="s">
        <v>3563</v>
      </c>
      <c r="AX14" s="3468" t="s">
        <v>3496</v>
      </c>
      <c r="AY14" s="3468" t="s">
        <v>3497</v>
      </c>
      <c r="AZ14" s="3468" t="s">
        <v>3496</v>
      </c>
      <c r="BA14" s="3468" t="s">
        <v>3497</v>
      </c>
      <c r="BB14" s="3468" t="s">
        <v>3497</v>
      </c>
      <c r="BC14" s="3468" t="s">
        <v>3497</v>
      </c>
      <c r="BD14" s="3468" t="s">
        <v>3497</v>
      </c>
      <c r="BE14" s="3468" t="s">
        <v>3544</v>
      </c>
    </row>
    <row r="15" spans="1:57">
      <c r="A15" s="3468" t="s">
        <v>3601</v>
      </c>
      <c r="B15" s="3468" t="s">
        <v>3379</v>
      </c>
      <c r="C15" s="3468" t="s">
        <v>3602</v>
      </c>
      <c r="D15" s="3468" t="s">
        <v>3488</v>
      </c>
      <c r="E15" s="3468" t="s">
        <v>3507</v>
      </c>
      <c r="F15" s="3468" t="s">
        <v>3603</v>
      </c>
      <c r="G15" s="3468" t="s">
        <v>3604</v>
      </c>
      <c r="H15" s="3468" t="s">
        <v>3492</v>
      </c>
      <c r="I15" s="3468">
        <v>138746.29999999999</v>
      </c>
      <c r="J15" s="3468">
        <v>486596</v>
      </c>
      <c r="K15" s="3468">
        <v>3.51</v>
      </c>
      <c r="L15" s="3468">
        <v>3.51</v>
      </c>
      <c r="M15" s="3468" t="s">
        <v>3493</v>
      </c>
      <c r="N15" s="3468" t="s">
        <v>3605</v>
      </c>
      <c r="O15" s="3468" t="s">
        <v>3495</v>
      </c>
      <c r="P15" s="3468" t="s">
        <v>3496</v>
      </c>
      <c r="Q15" s="3468" t="s">
        <v>3497</v>
      </c>
      <c r="R15" s="3468" t="s">
        <v>3606</v>
      </c>
      <c r="S15" s="3468" t="s">
        <v>3497</v>
      </c>
      <c r="T15" s="3468" t="s">
        <v>3497</v>
      </c>
      <c r="U15" s="3468" t="s">
        <v>3497</v>
      </c>
      <c r="V15" s="3468" t="s">
        <v>3497</v>
      </c>
      <c r="W15" s="3468">
        <v>0</v>
      </c>
      <c r="X15" s="3468">
        <v>0</v>
      </c>
      <c r="Y15" s="3468">
        <v>0</v>
      </c>
      <c r="Z15" s="3468">
        <v>0</v>
      </c>
      <c r="AA15" s="3471">
        <v>43373.000497685185</v>
      </c>
      <c r="AB15" s="3471">
        <v>43395.000497685185</v>
      </c>
      <c r="AC15" s="3471">
        <v>43409.000497685185</v>
      </c>
      <c r="AD15" s="3471">
        <v>43409.000497685185</v>
      </c>
      <c r="AE15" s="3468" t="s">
        <v>3607</v>
      </c>
      <c r="AF15" s="3468" t="s">
        <v>3499</v>
      </c>
      <c r="AG15" s="3468" t="s">
        <v>3608</v>
      </c>
      <c r="AH15" s="3468" t="s">
        <v>3609</v>
      </c>
      <c r="AI15" s="3468" t="s">
        <v>3531</v>
      </c>
      <c r="AJ15" s="3468">
        <v>866300</v>
      </c>
      <c r="AK15" s="3468">
        <v>174000</v>
      </c>
      <c r="AL15" s="3468" t="s">
        <v>633</v>
      </c>
      <c r="AM15" s="3468">
        <v>866300</v>
      </c>
      <c r="AN15" s="3468">
        <v>62437.7</v>
      </c>
      <c r="AO15" s="3468">
        <v>62437.7</v>
      </c>
      <c r="AP15" s="3468">
        <v>4162.51</v>
      </c>
      <c r="AQ15" s="3468">
        <v>4162.51</v>
      </c>
      <c r="AR15" s="3468">
        <v>17803</v>
      </c>
      <c r="AS15" s="3468">
        <v>17803</v>
      </c>
      <c r="AT15" s="3468" t="s">
        <v>3497</v>
      </c>
      <c r="AU15" s="3468" t="s">
        <v>3497</v>
      </c>
      <c r="AV15" s="3468">
        <v>0</v>
      </c>
      <c r="AW15" s="3468" t="s">
        <v>3563</v>
      </c>
      <c r="AX15" s="3468" t="s">
        <v>3496</v>
      </c>
      <c r="AY15" s="3468" t="s">
        <v>3497</v>
      </c>
      <c r="AZ15" s="3468" t="s">
        <v>3496</v>
      </c>
      <c r="BA15" s="3468" t="s">
        <v>3497</v>
      </c>
      <c r="BB15" s="3468" t="s">
        <v>3497</v>
      </c>
      <c r="BC15" s="3468" t="s">
        <v>3497</v>
      </c>
      <c r="BD15" s="3468">
        <v>0</v>
      </c>
      <c r="BE15" s="3468" t="s">
        <v>3544</v>
      </c>
    </row>
    <row r="16" spans="1:57">
      <c r="A16" s="3468" t="s">
        <v>3610</v>
      </c>
      <c r="B16" s="3468" t="s">
        <v>3379</v>
      </c>
      <c r="C16" s="3468" t="s">
        <v>3611</v>
      </c>
      <c r="D16" s="3468" t="s">
        <v>3488</v>
      </c>
      <c r="E16" s="3468" t="s">
        <v>3507</v>
      </c>
      <c r="F16" s="3468" t="s">
        <v>3612</v>
      </c>
      <c r="G16" s="3468" t="s">
        <v>3613</v>
      </c>
      <c r="H16" s="3468" t="s">
        <v>3492</v>
      </c>
      <c r="I16" s="3468">
        <v>33133.96</v>
      </c>
      <c r="J16" s="3468">
        <v>129222</v>
      </c>
      <c r="K16" s="3468">
        <v>3.9</v>
      </c>
      <c r="L16" s="3468">
        <v>0</v>
      </c>
      <c r="M16" s="3468" t="s">
        <v>3493</v>
      </c>
      <c r="N16" s="3468" t="s">
        <v>3494</v>
      </c>
      <c r="O16" s="3468" t="s">
        <v>3495</v>
      </c>
      <c r="P16" s="3468" t="s">
        <v>3496</v>
      </c>
      <c r="Q16" s="3468" t="s">
        <v>3570</v>
      </c>
      <c r="R16" s="3468" t="s">
        <v>3614</v>
      </c>
      <c r="S16" s="3468" t="s">
        <v>3497</v>
      </c>
      <c r="T16" s="3468" t="s">
        <v>3497</v>
      </c>
      <c r="U16" s="3468" t="s">
        <v>3497</v>
      </c>
      <c r="V16" s="3468" t="s">
        <v>3497</v>
      </c>
      <c r="W16" s="3468">
        <v>0</v>
      </c>
      <c r="X16" s="3468">
        <v>0</v>
      </c>
      <c r="Y16" s="3468">
        <v>0</v>
      </c>
      <c r="Z16" s="3468">
        <v>0</v>
      </c>
      <c r="AA16" s="3471">
        <v>43244.000497685185</v>
      </c>
      <c r="AB16" s="3471">
        <v>43264.000497685185</v>
      </c>
      <c r="AC16" s="3471">
        <v>43279.000497685185</v>
      </c>
      <c r="AD16" s="3468" t="s">
        <v>3497</v>
      </c>
      <c r="AE16" s="3468" t="s">
        <v>3615</v>
      </c>
      <c r="AF16" s="3468" t="s">
        <v>3616</v>
      </c>
      <c r="AG16" s="3468" t="s">
        <v>3496</v>
      </c>
      <c r="AH16" s="3468" t="s">
        <v>3497</v>
      </c>
      <c r="AI16" s="3468" t="s">
        <v>3497</v>
      </c>
      <c r="AJ16" s="3468">
        <v>360400</v>
      </c>
      <c r="AK16" s="3468">
        <v>110000</v>
      </c>
      <c r="AL16" s="3468" t="s">
        <v>633</v>
      </c>
      <c r="AM16" s="3468" t="s">
        <v>3497</v>
      </c>
      <c r="AN16" s="3468">
        <v>108770.58</v>
      </c>
      <c r="AO16" s="3468" t="s">
        <v>3497</v>
      </c>
      <c r="AP16" s="3468">
        <v>7251.37</v>
      </c>
      <c r="AQ16" s="3468" t="s">
        <v>3497</v>
      </c>
      <c r="AR16" s="3468">
        <v>27890</v>
      </c>
      <c r="AS16" s="3468" t="s">
        <v>3497</v>
      </c>
      <c r="AT16" s="3468" t="s">
        <v>3497</v>
      </c>
      <c r="AU16" s="3468" t="s">
        <v>3497</v>
      </c>
      <c r="AV16" s="3468">
        <v>0</v>
      </c>
      <c r="AW16" s="3468" t="s">
        <v>3563</v>
      </c>
      <c r="AX16" s="3468" t="s">
        <v>3496</v>
      </c>
      <c r="AY16" s="3468" t="s">
        <v>3497</v>
      </c>
      <c r="AZ16" s="3468" t="s">
        <v>3496</v>
      </c>
      <c r="BA16" s="3468" t="s">
        <v>3497</v>
      </c>
      <c r="BB16" s="3468" t="s">
        <v>3497</v>
      </c>
      <c r="BC16" s="3468" t="s">
        <v>3497</v>
      </c>
      <c r="BD16" s="3468" t="s">
        <v>3497</v>
      </c>
      <c r="BE16" s="3468" t="s">
        <v>3617</v>
      </c>
    </row>
    <row r="18" spans="1:57" s="3474" customFormat="1">
      <c r="A18" s="3474" t="s">
        <v>3618</v>
      </c>
      <c r="B18" s="3474" t="s">
        <v>3379</v>
      </c>
      <c r="C18" s="3474" t="s">
        <v>3619</v>
      </c>
      <c r="D18" s="3474" t="s">
        <v>3488</v>
      </c>
      <c r="E18" s="3474" t="s">
        <v>3489</v>
      </c>
      <c r="F18" s="3474" t="s">
        <v>3490</v>
      </c>
      <c r="G18" s="3474" t="s">
        <v>3620</v>
      </c>
      <c r="H18" s="3474" t="s">
        <v>3621</v>
      </c>
      <c r="I18" s="3474">
        <v>239378.2</v>
      </c>
      <c r="J18" s="3474">
        <v>302600</v>
      </c>
      <c r="K18" s="3474">
        <v>1.26</v>
      </c>
      <c r="L18" s="3474">
        <v>1.26</v>
      </c>
      <c r="M18" s="3474" t="s">
        <v>3581</v>
      </c>
      <c r="N18" s="3474" t="s">
        <v>3622</v>
      </c>
      <c r="O18" s="3474" t="s">
        <v>3495</v>
      </c>
      <c r="P18" s="3474" t="s">
        <v>3496</v>
      </c>
      <c r="Q18" s="3474" t="s">
        <v>3606</v>
      </c>
      <c r="R18" s="3474" t="s">
        <v>3606</v>
      </c>
      <c r="S18" s="3474" t="s">
        <v>3623</v>
      </c>
      <c r="T18" s="3474" t="s">
        <v>3623</v>
      </c>
      <c r="U18" s="3474" t="s">
        <v>3497</v>
      </c>
      <c r="V18" s="3474" t="s">
        <v>3497</v>
      </c>
      <c r="W18" s="3474">
        <v>0</v>
      </c>
      <c r="X18" s="3474">
        <v>0</v>
      </c>
      <c r="Y18" s="3474">
        <v>0</v>
      </c>
      <c r="Z18" s="3474">
        <v>0</v>
      </c>
      <c r="AA18" s="3475">
        <v>43462.000497685185</v>
      </c>
      <c r="AB18" s="3475">
        <v>43488.000497685185</v>
      </c>
      <c r="AC18" s="3475">
        <v>43489.000497685185</v>
      </c>
      <c r="AD18" s="3475">
        <v>43489.000497685185</v>
      </c>
      <c r="AE18" s="3474" t="s">
        <v>3624</v>
      </c>
      <c r="AF18" s="3474" t="s">
        <v>3499</v>
      </c>
      <c r="AG18" s="3474" t="s">
        <v>3625</v>
      </c>
      <c r="AH18" s="3474" t="s">
        <v>3626</v>
      </c>
      <c r="AI18" s="3474" t="s">
        <v>3531</v>
      </c>
      <c r="AJ18" s="3474" t="s">
        <v>3497</v>
      </c>
      <c r="AK18" s="3474">
        <v>130000</v>
      </c>
      <c r="AL18" s="3474" t="s">
        <v>633</v>
      </c>
      <c r="AM18" s="3474">
        <v>630000</v>
      </c>
      <c r="AN18" s="3474" t="s">
        <v>3497</v>
      </c>
      <c r="AO18" s="3474">
        <v>26318.18</v>
      </c>
      <c r="AP18" s="3474" t="s">
        <v>3497</v>
      </c>
      <c r="AQ18" s="3474">
        <v>1754.55</v>
      </c>
      <c r="AR18" s="3474" t="s">
        <v>3497</v>
      </c>
      <c r="AS18" s="3474">
        <v>20820</v>
      </c>
      <c r="AT18" s="3474" t="s">
        <v>3497</v>
      </c>
      <c r="AU18" s="3474" t="s">
        <v>3497</v>
      </c>
      <c r="AV18" s="3474">
        <v>0</v>
      </c>
      <c r="AW18" s="3474" t="s">
        <v>3627</v>
      </c>
      <c r="AX18" s="3474" t="s">
        <v>3496</v>
      </c>
      <c r="AY18" s="3474" t="s">
        <v>3497</v>
      </c>
      <c r="AZ18" s="3474">
        <v>55188</v>
      </c>
      <c r="BA18" s="3474" t="s">
        <v>3497</v>
      </c>
      <c r="BB18" s="3474" t="s">
        <v>3497</v>
      </c>
      <c r="BC18" s="3474">
        <v>34369</v>
      </c>
      <c r="BD18" s="3474" t="s">
        <v>3497</v>
      </c>
      <c r="BE18" s="3474" t="s">
        <v>3504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22"/>
  <sheetViews>
    <sheetView view="pageBreakPreview" topLeftCell="A31" zoomScaleNormal="80" zoomScaleSheetLayoutView="100" workbookViewId="0">
      <selection activeCell="C90" sqref="C90"/>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34367.43</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2863</v>
      </c>
      <c r="C2" s="1990" t="s">
        <v>1935</v>
      </c>
      <c r="D2" s="1991" t="s">
        <v>1936</v>
      </c>
      <c r="E2" s="3409" t="s">
        <v>3</v>
      </c>
      <c r="F2" s="1991" t="s">
        <v>1937</v>
      </c>
      <c r="G2" s="1992" t="str">
        <f>IF(E2="商业",项目基本情况!B37,IF(E2="办公",项目基本情况!C37,IF(E2="住宅",项目基本情况!D37,IF(E2="工业",项目基本情况!E37,项目基本情况!F37))))</f>
        <v>九级</v>
      </c>
      <c r="H2" s="1991" t="s">
        <v>1938</v>
      </c>
      <c r="I2" s="1992" t="str">
        <f>IF(E2="商业",项目基本情况!B38,IF(E2="办公",项目基本情况!C38,IF(E2="住宅",项目基本情况!D38,IF(E2="工业",项目基本情况!E38,项目基本情况!F38))))</f>
        <v>Ⅸ-密1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1.5418000000000001</v>
      </c>
      <c r="T2" s="3348">
        <f t="shared" ref="T2:T16" si="0">ROUND($C$5*$C$22*$C$23*$C$24*S2*$C$28,0)</f>
        <v>1301</v>
      </c>
      <c r="U2" s="1204"/>
      <c r="V2" s="3348">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833</v>
      </c>
      <c r="C3" s="1990" t="s">
        <v>1941</v>
      </c>
      <c r="D3" s="1991" t="s">
        <v>1942</v>
      </c>
      <c r="E3" s="3407" t="s">
        <v>2479</v>
      </c>
      <c r="F3" s="1995" t="s">
        <v>3701</v>
      </c>
      <c r="G3" s="743">
        <f>IF(F3="宗地容积率",'数据-汇总表'!I4,IF(F3="估价对象容积率",'数据-汇总表'!I6,'数据-汇总表'!I7))</f>
        <v>1.04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1.1883999999999999</v>
      </c>
      <c r="T3" s="3348">
        <f t="shared" si="0"/>
        <v>1003</v>
      </c>
      <c r="U3" s="1204"/>
      <c r="V3" s="3348">
        <f t="shared" ref="V3:V16" si="1">ROUND(T3*U3/10000,0)</f>
        <v>0</v>
      </c>
      <c r="W3" s="1207"/>
      <c r="X3" s="1207"/>
      <c r="Y3" s="1207"/>
      <c r="Z3" s="1207"/>
      <c r="AA3" s="1207"/>
      <c r="AB3" s="1207"/>
      <c r="AC3" s="1208"/>
      <c r="AD3" s="1209"/>
      <c r="AE3" s="1209"/>
      <c r="AF3" s="1209"/>
      <c r="AG3" s="1209"/>
      <c r="AH3" s="1209"/>
      <c r="AI3" s="1209"/>
      <c r="AJ3" s="1210"/>
    </row>
    <row r="4" spans="1:36" ht="15.75">
      <c r="A4" s="3750"/>
      <c r="B4" s="3751"/>
      <c r="C4" s="3751"/>
      <c r="D4" s="3752"/>
      <c r="E4" s="3752"/>
      <c r="F4" s="3752"/>
      <c r="G4" s="3752"/>
      <c r="H4" s="3752"/>
      <c r="I4" s="3752"/>
      <c r="J4" s="3753"/>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0.96940000000000004</v>
      </c>
      <c r="T4" s="3348">
        <f t="shared" si="0"/>
        <v>818</v>
      </c>
      <c r="U4" s="1204"/>
      <c r="V4" s="3348">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910</v>
      </c>
      <c r="D5" s="1330">
        <f>ROUND(C6*C17+C20,0)</f>
        <v>910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0.82299999999999995</v>
      </c>
      <c r="T5" s="3348">
        <f t="shared" si="0"/>
        <v>695</v>
      </c>
      <c r="U5" s="1204"/>
      <c r="V5" s="3348">
        <f t="shared" si="1"/>
        <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910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0.74980000000000002</v>
      </c>
      <c r="T6" s="3348">
        <f t="shared" si="0"/>
        <v>633</v>
      </c>
      <c r="U6" s="1204"/>
      <c r="V6" s="3348">
        <f t="shared" si="1"/>
        <v>0</v>
      </c>
      <c r="W6" s="1207"/>
      <c r="X6" s="1207"/>
      <c r="Y6" s="1207"/>
      <c r="Z6" s="1207"/>
      <c r="AA6" s="1207"/>
      <c r="AB6" s="1207"/>
      <c r="AC6" s="2002"/>
      <c r="AD6" s="2003"/>
      <c r="AE6" s="2003"/>
      <c r="AF6" s="2003"/>
      <c r="AG6" s="2003"/>
      <c r="AH6" s="2003"/>
      <c r="AI6" s="2003"/>
      <c r="AJ6" s="2004"/>
    </row>
    <row r="7" spans="1:36" ht="24.75" thickBot="1">
      <c r="A7" s="3291"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f t="shared" si="0"/>
        <v>0</v>
      </c>
      <c r="U7" s="1204"/>
      <c r="V7" s="3348">
        <f t="shared" si="1"/>
        <v>0</v>
      </c>
      <c r="W7" s="1349" t="s">
        <v>1955</v>
      </c>
      <c r="X7" s="1205" t="str">
        <f>G2</f>
        <v>九级</v>
      </c>
      <c r="Y7" s="1205" t="s">
        <v>1956</v>
      </c>
      <c r="Z7" s="1206">
        <f>G3</f>
        <v>1.04</v>
      </c>
      <c r="AA7" s="1207"/>
      <c r="AB7" s="1207"/>
      <c r="AC7" s="1208"/>
      <c r="AD7" s="1209"/>
      <c r="AE7" s="1209"/>
      <c r="AF7" s="1209"/>
      <c r="AG7" s="1209"/>
      <c r="AH7" s="1209"/>
      <c r="AI7" s="1209"/>
      <c r="AJ7" s="1210"/>
    </row>
    <row r="8" spans="1:36" ht="25.5">
      <c r="A8" s="3286"/>
      <c r="B8" s="164" t="s">
        <v>1957</v>
      </c>
      <c r="C8" s="2017" t="s">
        <v>3702</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f t="shared" si="0"/>
        <v>0</v>
      </c>
      <c r="U8" s="1204"/>
      <c r="V8" s="3348">
        <f t="shared" si="1"/>
        <v>0</v>
      </c>
      <c r="W8" s="3747" t="s">
        <v>1960</v>
      </c>
      <c r="X8" s="3748"/>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910</v>
      </c>
      <c r="N9" s="857">
        <f>SUMPRODUCT((因素修正幅度!B277:B326=I2)*(因素修正幅度!C3:G3=E2)*(因素修正幅度!C277:G326))</f>
        <v>0.13</v>
      </c>
      <c r="O9" s="1110"/>
      <c r="P9" s="1110"/>
      <c r="Q9" s="1110"/>
      <c r="R9" s="1203">
        <v>8</v>
      </c>
      <c r="S9" s="1204"/>
      <c r="T9" s="3348">
        <f t="shared" si="0"/>
        <v>0</v>
      </c>
      <c r="U9" s="1204"/>
      <c r="V9" s="3348">
        <f t="shared" si="1"/>
        <v>0</v>
      </c>
      <c r="W9" s="3749"/>
      <c r="X9" s="3349" t="s">
        <v>3266</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f t="shared" si="0"/>
        <v>0</v>
      </c>
      <c r="U10" s="1204"/>
      <c r="V10" s="3348">
        <f t="shared" si="1"/>
        <v>0</v>
      </c>
      <c r="W10" s="3749"/>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f t="shared" si="0"/>
        <v>0</v>
      </c>
      <c r="U11" s="1204"/>
      <c r="V11" s="3348">
        <f t="shared" si="1"/>
        <v>0</v>
      </c>
      <c r="W11" s="1207"/>
      <c r="X11" s="1207"/>
      <c r="Y11" s="1207"/>
      <c r="Z11" s="1207"/>
      <c r="AA11" s="1207"/>
      <c r="AB11" s="1207"/>
      <c r="AC11" s="1208"/>
      <c r="AD11" s="2776"/>
      <c r="AE11" s="2776"/>
      <c r="AF11" s="2776"/>
      <c r="AG11" s="2776"/>
      <c r="AH11" s="2776"/>
      <c r="AI11" s="2776"/>
      <c r="AJ11" s="2777"/>
    </row>
    <row r="12" spans="1:36" ht="25.5"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f t="shared" si="0"/>
        <v>0</v>
      </c>
      <c r="U12" s="1204"/>
      <c r="V12" s="3348">
        <f t="shared" si="1"/>
        <v>0</v>
      </c>
      <c r="W12" s="1207"/>
      <c r="X12" s="1207"/>
      <c r="Y12" s="1207"/>
      <c r="Z12" s="1207"/>
      <c r="AA12" s="1207"/>
      <c r="AB12" s="1207"/>
      <c r="AC12" s="1208"/>
      <c r="AD12" s="2776"/>
      <c r="AE12" s="2776"/>
      <c r="AF12" s="2776"/>
      <c r="AG12" s="2776"/>
      <c r="AH12" s="2776"/>
      <c r="AI12" s="2776"/>
      <c r="AJ12" s="2777"/>
    </row>
    <row r="13" spans="1:36" ht="15.75"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f t="shared" si="0"/>
        <v>0</v>
      </c>
      <c r="U13" s="1204"/>
      <c r="V13" s="3348">
        <f t="shared" si="1"/>
        <v>0</v>
      </c>
      <c r="W13" s="1207"/>
      <c r="X13" s="1207"/>
      <c r="Y13" s="1207"/>
      <c r="Z13" s="1207"/>
      <c r="AA13" s="1207"/>
      <c r="AB13" s="1207"/>
      <c r="AC13" s="1208"/>
      <c r="AD13" s="2776"/>
      <c r="AE13" s="2776"/>
      <c r="AF13" s="2776"/>
      <c r="AG13" s="2776"/>
      <c r="AH13" s="2776"/>
      <c r="AI13" s="2776"/>
      <c r="AJ13" s="2777"/>
    </row>
    <row r="14" spans="1:36" ht="15">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f t="shared" si="0"/>
        <v>0</v>
      </c>
      <c r="U14" s="1204"/>
      <c r="V14" s="3348">
        <f t="shared" si="1"/>
        <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f t="shared" si="0"/>
        <v>0</v>
      </c>
      <c r="U15" s="1204"/>
      <c r="V15" s="3348">
        <f t="shared" si="1"/>
        <v>0</v>
      </c>
      <c r="W15" s="1207"/>
      <c r="X15" s="1207"/>
      <c r="Y15" s="1207"/>
      <c r="Z15" s="1207"/>
      <c r="AA15" s="1207"/>
      <c r="AB15" s="1207"/>
      <c r="AC15" s="1208"/>
      <c r="AD15" s="2776"/>
      <c r="AE15" s="2776"/>
      <c r="AF15" s="2776"/>
      <c r="AG15" s="2776"/>
      <c r="AH15" s="2776"/>
      <c r="AI15" s="2776"/>
      <c r="AJ15" s="2777"/>
    </row>
    <row r="16" spans="1:36" ht="15.75"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f t="shared" si="0"/>
        <v>0</v>
      </c>
      <c r="U16" s="1204"/>
      <c r="V16" s="3348">
        <f t="shared" si="1"/>
        <v>0</v>
      </c>
      <c r="W16" s="1207"/>
      <c r="X16" s="1207"/>
      <c r="Y16" s="1207"/>
      <c r="Z16" s="1207"/>
      <c r="AA16" s="1207"/>
      <c r="AB16" s="1207"/>
      <c r="AC16" s="1208"/>
      <c r="AD16" s="2776"/>
      <c r="AE16" s="2776"/>
      <c r="AF16" s="2776"/>
      <c r="AG16" s="2776"/>
      <c r="AH16" s="2776"/>
      <c r="AI16" s="2776"/>
      <c r="AJ16" s="2777"/>
    </row>
    <row r="17" spans="1:37">
      <c r="A17" s="3317" t="s">
        <v>3245</v>
      </c>
      <c r="B17" s="3308" t="s">
        <v>3246</v>
      </c>
      <c r="C17" s="3318">
        <f>ROUND(IF(OR(E2="工业",E2="公共服务"),1,IF(AND(E18=0,E19=0),1,IF(AND(E18=J24,E19=G19),0.8,IF(E19=0,1+E17*(-0.2),1+E17*G17*(-0.2))))),4)</f>
        <v>1</v>
      </c>
      <c r="D17" s="3309" t="s">
        <v>3247</v>
      </c>
      <c r="E17" s="3318">
        <f>ROUND(G18/I18,2)</f>
        <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7"/>
      <c r="C18" s="3315"/>
      <c r="D18" s="3310" t="s">
        <v>3248</v>
      </c>
      <c r="E18" s="3316"/>
      <c r="F18" s="3311" t="s">
        <v>3251</v>
      </c>
      <c r="G18" s="3315">
        <f>ROUND(1-(1/(POWER(1+G24,E18))),4)</f>
        <v>0</v>
      </c>
      <c r="H18" s="3311" t="s">
        <v>3253</v>
      </c>
      <c r="I18" s="3315">
        <f>ROUND(1-(1/(POWER(1+G24,J24))),4)</f>
        <v>0.91279999999999994</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5"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4.25">
      <c r="A20" s="3754" t="s">
        <v>3254</v>
      </c>
      <c r="B20" s="161" t="s">
        <v>1994</v>
      </c>
      <c r="C20" s="3312">
        <f>ROUND(IF(F21="与级别开发程度一致",0,(G21-E21)/C21),0)</f>
        <v>0</v>
      </c>
      <c r="D20" s="3328" t="s">
        <v>1998</v>
      </c>
      <c r="E20" s="3329"/>
      <c r="F20" s="3760" t="s">
        <v>1995</v>
      </c>
      <c r="G20" s="3761"/>
      <c r="H20" s="3313" t="s">
        <v>3703</v>
      </c>
      <c r="I20" s="3313" t="s">
        <v>3704</v>
      </c>
      <c r="J20" s="3314" t="s">
        <v>3705</v>
      </c>
      <c r="K20" s="2038" t="s">
        <v>3706</v>
      </c>
      <c r="L20" s="2038" t="s">
        <v>3707</v>
      </c>
      <c r="M20" s="2038"/>
      <c r="N20" s="2038"/>
      <c r="O20" s="2039" t="s">
        <v>3708</v>
      </c>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5" thickBot="1">
      <c r="A21" s="3755"/>
      <c r="B21" s="2155" t="s">
        <v>1997</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c r="G21" s="2148">
        <f>SUM(H21:O21)</f>
        <v>185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0</v>
      </c>
      <c r="N21" s="2156">
        <f>SUMPRODUCT((七通一平=N20)*(修正!B1:M1=G2)*(修正!B8:M16))</f>
        <v>0</v>
      </c>
      <c r="O21" s="2158">
        <f>SUMPRODUCT((七通一平=O20)*(修正!B1:M1=G2)*(修正!B8:M16))</f>
        <v>10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75" thickBot="1">
      <c r="A22" s="2149" t="s">
        <v>363</v>
      </c>
      <c r="B22" s="2150" t="s">
        <v>2000</v>
      </c>
      <c r="C22" s="2151">
        <f>SUMIF(修正!C20:C51,E3,修正!E20:E51)</f>
        <v>1</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15.75" thickBot="1">
      <c r="A23" s="2041" t="s">
        <v>364</v>
      </c>
      <c r="B23" s="2042" t="s">
        <v>2001</v>
      </c>
      <c r="C23" s="751">
        <v>1</v>
      </c>
      <c r="D23" s="2045" t="s">
        <v>2002</v>
      </c>
      <c r="E23" s="752">
        <v>44197</v>
      </c>
      <c r="F23" s="2045" t="s">
        <v>2003</v>
      </c>
      <c r="G23" s="753">
        <f>'数据-取费表'!B2</f>
        <v>45310</v>
      </c>
      <c r="H23" s="3330" t="s">
        <v>3710</v>
      </c>
      <c r="I23" s="3331" t="str">
        <f>IF(H23="季度增幅（自定义）",SUMIF(N25:N28,E2,O25:O28),"")</f>
        <v/>
      </c>
      <c r="J23" s="3433" t="s">
        <v>3709</v>
      </c>
      <c r="K23" s="1116"/>
      <c r="L23" s="2046" t="s">
        <v>2004</v>
      </c>
      <c r="M23" s="1319">
        <f>ROUND(SUMIF(地价!B2:G2,E2,地价!B16:G16),0)</f>
        <v>318</v>
      </c>
      <c r="N23" s="2047" t="s">
        <v>2005</v>
      </c>
      <c r="O23" s="754">
        <f>ROUNDDOWN(DATEDIF(E23,G23,"M")/3,0)</f>
        <v>12</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0.93469999999999998</v>
      </c>
      <c r="D24" s="2051" t="s">
        <v>2007</v>
      </c>
      <c r="E24" s="1326">
        <f>存贷款利率!E24/100</f>
        <v>4.3499999999999997E-2</v>
      </c>
      <c r="F24" s="2051" t="s">
        <v>1999</v>
      </c>
      <c r="G24" s="759">
        <f>SUMIF(M30:Q30,E2,M33:Q33)</f>
        <v>0.05</v>
      </c>
      <c r="H24" s="2051" t="s">
        <v>2008</v>
      </c>
      <c r="I24" s="760">
        <f>SUMIF('数据-取费表'!C6:C15,E2,'数据-取费表'!F6:F15)/COUNTIF('数据-取费表'!C6:C15,E2)</f>
        <v>39.32</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5">
      <c r="A25" s="2056" t="s">
        <v>366</v>
      </c>
      <c r="B25" s="2057" t="s">
        <v>3333</v>
      </c>
      <c r="C25" s="762">
        <f>IF(B25="容积率修正",IF(G3&lt;10,D26,J26),C27)</f>
        <v>0.98740000000000006</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2" t="s">
        <v>3255</v>
      </c>
      <c r="D26" s="1343">
        <f>IF(E26=G26,F26,IF(G3&lt;10,ROUND(F26+(H26-F26)*(G3-E26)/(G26-E26),4),"——"))</f>
        <v>0.98740000000000006</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1.1000000000000001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3332" t="s">
        <v>3256</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0.99239999999999995</v>
      </c>
      <c r="D28" s="2043"/>
      <c r="E28" s="2068"/>
      <c r="F28" s="2068"/>
      <c r="G28" s="2068"/>
      <c r="H28" s="2068"/>
      <c r="I28" s="2068"/>
      <c r="J28" s="2069"/>
      <c r="K28" s="1116"/>
      <c r="L28" s="2775"/>
      <c r="M28" s="2775"/>
      <c r="N28" s="2070" t="s">
        <v>2021</v>
      </c>
      <c r="O28" s="1166">
        <v>1E-4</v>
      </c>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2863</v>
      </c>
      <c r="D30" s="2074"/>
      <c r="E30" s="2037"/>
      <c r="F30" s="2075"/>
      <c r="G30" s="2037"/>
      <c r="H30" s="2037"/>
      <c r="I30" s="2037"/>
      <c r="J30" s="2076"/>
      <c r="K30" s="1110"/>
      <c r="L30" s="3338" t="s">
        <v>1936</v>
      </c>
      <c r="M30" s="3339" t="s">
        <v>1990</v>
      </c>
      <c r="N30" s="3339" t="s">
        <v>1991</v>
      </c>
      <c r="O30" s="3339" t="s">
        <v>1992</v>
      </c>
      <c r="P30" s="3339" t="s">
        <v>1993</v>
      </c>
      <c r="Q30" s="3342" t="s">
        <v>3260</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833</v>
      </c>
      <c r="D33" s="2089">
        <f>'数据-汇总表'!E3</f>
        <v>34367.43</v>
      </c>
      <c r="E33" s="764">
        <f>ROUND(C33*D33/10000,0)</f>
        <v>2863</v>
      </c>
      <c r="F33" s="3333" t="s">
        <v>3258</v>
      </c>
      <c r="G33" s="2090"/>
      <c r="H33" s="2090"/>
      <c r="I33" s="2090"/>
      <c r="J33" s="2091"/>
      <c r="K33" s="1110"/>
      <c r="L33" s="3336" t="s">
        <v>3261</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f>ROUND(IF(E2="工业",C33*M42,IF(B25="楼层修正",SUM(V2:V16)*M41*10000/D34,C33*M41)),0)</f>
        <v>125</v>
      </c>
      <c r="D34" s="2094"/>
      <c r="E34" s="764">
        <f>ROUND(IF(B25="楼层修正",SUM(V2:V16)*M40,C34*D34/10000),0)</f>
        <v>0</v>
      </c>
      <c r="F34" s="2095" t="s">
        <v>2032</v>
      </c>
      <c r="G34" s="2096"/>
      <c r="H34" s="2096"/>
      <c r="I34" s="2096"/>
      <c r="J34" s="2097"/>
      <c r="K34" s="1110"/>
      <c r="L34" s="3336" t="s">
        <v>3262</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3259</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4" t="s">
        <v>3263</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758"/>
      <c r="B37" s="2104" t="s">
        <v>2036</v>
      </c>
      <c r="C37" s="169">
        <f>ROUND(D5*C22*C23*C24*C28*F37,0)</f>
        <v>422</v>
      </c>
      <c r="D37" s="2089"/>
      <c r="E37" s="165">
        <f>ROUND(C37*D37/10000,0)</f>
        <v>0</v>
      </c>
      <c r="F37" s="165">
        <f>SUMIF(修正!A57:A68,G2,修正!B57:B68)</f>
        <v>0.5</v>
      </c>
      <c r="G37" s="165">
        <f>ROUND(IF(E2="工业",C37*$M$42,C37*$M$41),0)</f>
        <v>63</v>
      </c>
      <c r="H37" s="165">
        <f>D37</f>
        <v>0</v>
      </c>
      <c r="I37" s="165">
        <f>ROUND(G37*H37/10000,0)</f>
        <v>0</v>
      </c>
      <c r="J37" s="2999"/>
      <c r="K37" s="3346" t="s">
        <v>3264</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759"/>
      <c r="B38" s="2032" t="s">
        <v>2037</v>
      </c>
      <c r="C38" s="169">
        <f>ROUND(D5*C22*C23*C24*C28*F38,0)</f>
        <v>169</v>
      </c>
      <c r="D38" s="2089"/>
      <c r="E38" s="165">
        <f t="shared" ref="E38:E42" si="4">ROUND(C38*D38/10000,0)</f>
        <v>0</v>
      </c>
      <c r="F38" s="165">
        <f>SUMIF(修正!A57:A68,G2,修正!C57:C68)</f>
        <v>0.2</v>
      </c>
      <c r="G38" s="165">
        <f>ROUND(IF(E2="工业",C38*$M$42,C38*$M$41),0)</f>
        <v>25</v>
      </c>
      <c r="H38" s="165">
        <f t="shared" ref="H38:H42" si="5">D38</f>
        <v>0</v>
      </c>
      <c r="I38" s="165">
        <f t="shared" ref="I38:I42" si="6">ROUND(G38*H38/10000,0)</f>
        <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759"/>
      <c r="B39" s="2032" t="s">
        <v>3257</v>
      </c>
      <c r="C39" s="169">
        <f>ROUND(D5*C22*C23*C24*C28*F39,0)</f>
        <v>169</v>
      </c>
      <c r="D39" s="2089"/>
      <c r="E39" s="165">
        <f t="shared" si="4"/>
        <v>0</v>
      </c>
      <c r="F39" s="165">
        <f>SUMIF(修正!A57:A68,G2,修正!D57:D68)</f>
        <v>0.2</v>
      </c>
      <c r="G39" s="165">
        <f>ROUND(IF(E2="工业",C39*$M$42,C39*$M$41),0)</f>
        <v>25</v>
      </c>
      <c r="H39" s="165">
        <f t="shared" si="5"/>
        <v>0</v>
      </c>
      <c r="I39" s="165">
        <f t="shared" si="6"/>
        <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169</v>
      </c>
      <c r="D40" s="2089"/>
      <c r="E40" s="165">
        <f t="shared" si="4"/>
        <v>0</v>
      </c>
      <c r="F40" s="169">
        <f>SUMIF(修正!A57:A68,G2,修正!E57:E68)</f>
        <v>0.2</v>
      </c>
      <c r="G40" s="165">
        <f>ROUND(IF(E2="工业",C40*$M$42,C40*$M$41),0)</f>
        <v>25</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7" t="s">
        <v>3265</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76.5" hidden="1">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6" t="s">
        <v>3267</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02" hidden="1">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1.75" hidden="1"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hidden="1">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76.5" hidden="1">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6" t="s">
        <v>3267</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02" hidden="1">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1.75" hidden="1"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76.5" hidden="1">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6" t="s">
        <v>3267</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02" hidden="1">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1" hidden="1">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0.99239999999999995</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3650</v>
      </c>
      <c r="D83" s="1056">
        <f t="shared" ref="D83:D90" si="22">SUMIF($J$82:$N$82,C83,J83:N83)</f>
        <v>0</v>
      </c>
      <c r="E83" s="735">
        <f>ROUND(SUM(D83:D90),4)</f>
        <v>-7.6E-3</v>
      </c>
      <c r="F83" s="1805">
        <f>IF(E2="工业",SUMIF(L1:L12,G2,N1:N12),"——")</f>
        <v>0.13</v>
      </c>
      <c r="G83" s="1054">
        <v>1.6899999999999998E-2</v>
      </c>
      <c r="H83" s="1057">
        <f t="shared" ref="H83:H90" si="23">IFERROR(ROUNDDOWN($F$83*I83/2,4),"——")</f>
        <v>1.6899999999999998E-2</v>
      </c>
      <c r="I83" s="3354">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3651</v>
      </c>
      <c r="D84" s="1056">
        <f t="shared" si="22"/>
        <v>-1.4999999999999999E-2</v>
      </c>
      <c r="E84" s="738"/>
      <c r="F84" s="1805"/>
      <c r="G84" s="1054">
        <v>1.4999999999999999E-2</v>
      </c>
      <c r="H84" s="1057">
        <f t="shared" si="23"/>
        <v>1.95E-2</v>
      </c>
      <c r="I84" s="3354">
        <v>0.3</v>
      </c>
      <c r="J84" s="1055">
        <f t="shared" si="24"/>
        <v>0.03</v>
      </c>
      <c r="K84" s="1055">
        <f t="shared" si="25"/>
        <v>1.4999999999999999E-2</v>
      </c>
      <c r="L84" s="1055">
        <v>0</v>
      </c>
      <c r="M84" s="1055">
        <f t="shared" si="26"/>
        <v>-1.4999999999999999E-2</v>
      </c>
      <c r="N84" s="1055">
        <f t="shared" si="26"/>
        <v>-0.03</v>
      </c>
      <c r="Z84" s="1989"/>
      <c r="AA84" s="2044"/>
      <c r="AG84" s="1112"/>
      <c r="AK84" s="2044"/>
    </row>
    <row r="85" spans="1:37" ht="36">
      <c r="A85" s="3356" t="s">
        <v>3268</v>
      </c>
      <c r="B85" s="2125">
        <f>估价对象房地状况!G17</f>
        <v>0</v>
      </c>
      <c r="C85" s="2035" t="s">
        <v>3649</v>
      </c>
      <c r="D85" s="1056">
        <f t="shared" si="22"/>
        <v>6.4999999999999997E-3</v>
      </c>
      <c r="E85" s="738"/>
      <c r="F85" s="1805"/>
      <c r="G85" s="1054">
        <v>6.4999999999999997E-3</v>
      </c>
      <c r="H85" s="1057">
        <f t="shared" si="23"/>
        <v>6.4999999999999997E-3</v>
      </c>
      <c r="I85" s="3354">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3650</v>
      </c>
      <c r="D86" s="1056">
        <f t="shared" si="22"/>
        <v>0</v>
      </c>
      <c r="E86" s="738"/>
      <c r="F86" s="1805"/>
      <c r="G86" s="1054">
        <v>3.2000000000000002E-3</v>
      </c>
      <c r="H86" s="1057">
        <f t="shared" si="23"/>
        <v>3.2000000000000002E-3</v>
      </c>
      <c r="I86" s="3354">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3651</v>
      </c>
      <c r="D87" s="1056">
        <f t="shared" si="22"/>
        <v>-3.0000000000000001E-3</v>
      </c>
      <c r="E87" s="738"/>
      <c r="F87" s="1805"/>
      <c r="G87" s="1054">
        <v>3.0000000000000001E-3</v>
      </c>
      <c r="H87" s="1057">
        <f t="shared" si="23"/>
        <v>3.8999999999999998E-3</v>
      </c>
      <c r="I87" s="3354">
        <v>0.06</v>
      </c>
      <c r="J87" s="1055">
        <f t="shared" si="24"/>
        <v>6.0000000000000001E-3</v>
      </c>
      <c r="K87" s="1055">
        <f t="shared" si="25"/>
        <v>3.0000000000000001E-3</v>
      </c>
      <c r="L87" s="1055">
        <v>0</v>
      </c>
      <c r="M87" s="1055">
        <f t="shared" si="26"/>
        <v>-3.0000000000000001E-3</v>
      </c>
      <c r="N87" s="1055">
        <f t="shared" si="26"/>
        <v>-6.0000000000000001E-3</v>
      </c>
    </row>
    <row r="88" spans="1:37" ht="25.5">
      <c r="A88" s="2121" t="s">
        <v>2060</v>
      </c>
      <c r="B88" s="1317" t="str">
        <f>估价对象房地状况!G20</f>
        <v>估价对象所在区域基础设施水平</v>
      </c>
      <c r="C88" s="2035" t="s">
        <v>3650</v>
      </c>
      <c r="D88" s="1056">
        <f t="shared" si="22"/>
        <v>0</v>
      </c>
      <c r="E88" s="738"/>
      <c r="F88" s="1805"/>
      <c r="G88" s="1054">
        <v>7.7999999999999996E-3</v>
      </c>
      <c r="H88" s="1057">
        <f t="shared" si="23"/>
        <v>7.7999999999999996E-3</v>
      </c>
      <c r="I88" s="3354">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3649</v>
      </c>
      <c r="D89" s="1056">
        <f t="shared" si="22"/>
        <v>3.8999999999999998E-3</v>
      </c>
      <c r="E89" s="738"/>
      <c r="F89" s="1805"/>
      <c r="G89" s="1054">
        <v>3.8999999999999998E-3</v>
      </c>
      <c r="H89" s="1057">
        <f t="shared" si="23"/>
        <v>3.8999999999999998E-3</v>
      </c>
      <c r="I89" s="3354">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3650</v>
      </c>
      <c r="D90" s="1056">
        <f t="shared" si="22"/>
        <v>0</v>
      </c>
      <c r="E90" s="739"/>
      <c r="F90" s="1805"/>
      <c r="G90" s="1054">
        <v>3.2000000000000002E-3</v>
      </c>
      <c r="H90" s="1057">
        <f t="shared" si="23"/>
        <v>3.2000000000000002E-3</v>
      </c>
      <c r="I90" s="3355">
        <v>0.05</v>
      </c>
      <c r="J90" s="1055">
        <f t="shared" si="24"/>
        <v>6.4000000000000003E-3</v>
      </c>
      <c r="K90" s="1055">
        <f t="shared" si="25"/>
        <v>3.2000000000000002E-3</v>
      </c>
      <c r="L90" s="1055">
        <v>0</v>
      </c>
      <c r="M90" s="1055">
        <f t="shared" si="26"/>
        <v>-3.2000000000000002E-3</v>
      </c>
      <c r="N90" s="1055">
        <f t="shared" si="26"/>
        <v>-6.4000000000000003E-3</v>
      </c>
    </row>
    <row r="91" spans="1:37" ht="15">
      <c r="A91" s="3364" t="s">
        <v>2612</v>
      </c>
      <c r="B91" s="3365">
        <f>1+E93</f>
        <v>1</v>
      </c>
      <c r="C91" s="3358"/>
      <c r="D91" s="3359"/>
      <c r="E91" s="1805"/>
      <c r="F91" s="1805"/>
      <c r="G91" s="3360"/>
      <c r="H91" s="3361"/>
      <c r="I91" s="3362"/>
      <c r="J91" s="3363"/>
      <c r="K91" s="3363"/>
      <c r="L91" s="3363"/>
      <c r="M91" s="3363"/>
      <c r="N91" s="3363"/>
    </row>
    <row r="92" spans="1:37" ht="24.75">
      <c r="A92" s="3366" t="s">
        <v>3269</v>
      </c>
      <c r="B92" s="3353"/>
      <c r="C92" s="3353" t="s">
        <v>3278</v>
      </c>
      <c r="D92" s="3353" t="s">
        <v>3279</v>
      </c>
      <c r="E92" s="3335" t="s">
        <v>3280</v>
      </c>
      <c r="F92" s="3368" t="s">
        <v>3281</v>
      </c>
      <c r="G92" s="3353" t="s">
        <v>3282</v>
      </c>
      <c r="H92" s="3375" t="s">
        <v>3285</v>
      </c>
      <c r="I92" s="3353" t="s">
        <v>3286</v>
      </c>
      <c r="J92" s="3376" t="s">
        <v>3287</v>
      </c>
      <c r="K92" s="3376" t="s">
        <v>3288</v>
      </c>
      <c r="L92" s="3376" t="s">
        <v>3289</v>
      </c>
      <c r="M92" s="3376" t="s">
        <v>3290</v>
      </c>
      <c r="N92" s="3376" t="s">
        <v>3291</v>
      </c>
    </row>
    <row r="93" spans="1:37" ht="24">
      <c r="A93" s="3356" t="s">
        <v>3270</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6.5">
      <c r="A94" s="3366" t="s">
        <v>3271</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3267</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3272</v>
      </c>
      <c r="B96" s="3372" t="s">
        <v>3283</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3273</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c r="A98" s="3366" t="s">
        <v>3274</v>
      </c>
      <c r="B98" s="3373" t="s">
        <v>3284</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02">
      <c r="A99" s="3366" t="s">
        <v>3275</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c r="A100" s="3366" t="s">
        <v>3276</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1.75" thickBot="1">
      <c r="A101" s="3367" t="s">
        <v>3277</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56" t="s">
        <v>3292</v>
      </c>
      <c r="B103" s="3756"/>
      <c r="C103" s="3756"/>
      <c r="D103" s="3756"/>
      <c r="E103" s="3756"/>
      <c r="F103" s="3756"/>
      <c r="G103" s="3756"/>
      <c r="H103" s="3756"/>
      <c r="I103" s="3756"/>
      <c r="J103" s="3756"/>
      <c r="K103" s="3377"/>
      <c r="L103" s="3377"/>
      <c r="M103" s="3377"/>
      <c r="N103" s="3377"/>
    </row>
    <row r="104" spans="1:14">
      <c r="A104" s="3757" t="s">
        <v>3293</v>
      </c>
      <c r="B104" s="3757" t="s">
        <v>3294</v>
      </c>
      <c r="C104" s="3378" t="s">
        <v>3295</v>
      </c>
      <c r="D104" s="3379"/>
      <c r="E104" s="3379"/>
      <c r="F104" s="3379"/>
      <c r="G104" s="3379"/>
      <c r="H104" s="3379"/>
      <c r="I104" s="3379"/>
      <c r="J104" s="3380"/>
      <c r="K104" s="3381"/>
      <c r="L104" s="3381"/>
      <c r="M104" s="3381"/>
      <c r="N104" s="3381"/>
    </row>
    <row r="105" spans="1:14">
      <c r="A105" s="3757"/>
      <c r="B105" s="3757"/>
      <c r="C105" s="3382" t="s">
        <v>3296</v>
      </c>
      <c r="D105" s="3382" t="s">
        <v>3297</v>
      </c>
      <c r="E105" s="3382" t="s">
        <v>3298</v>
      </c>
      <c r="F105" s="3382" t="s">
        <v>3299</v>
      </c>
      <c r="G105" s="3382" t="s">
        <v>3300</v>
      </c>
      <c r="H105" s="3382" t="s">
        <v>3301</v>
      </c>
      <c r="I105" s="3382" t="s">
        <v>3302</v>
      </c>
      <c r="J105" s="3382" t="s">
        <v>3303</v>
      </c>
      <c r="K105" s="3382" t="s">
        <v>3304</v>
      </c>
      <c r="L105" s="3382" t="s">
        <v>3305</v>
      </c>
      <c r="M105" s="3382" t="s">
        <v>3306</v>
      </c>
      <c r="N105" s="3382" t="s">
        <v>3307</v>
      </c>
    </row>
    <row r="106" spans="1:14">
      <c r="A106" s="3743" t="s">
        <v>3308</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44"/>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44"/>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44"/>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44"/>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44"/>
      <c r="B111" s="3382" t="s">
        <v>3266</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45"/>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46" t="s">
        <v>3309</v>
      </c>
      <c r="B113" s="3746"/>
      <c r="C113" s="3746"/>
      <c r="D113" s="3746"/>
      <c r="E113" s="3746"/>
      <c r="F113" s="3746"/>
      <c r="G113" s="3746"/>
      <c r="H113" s="3746"/>
      <c r="I113" s="3746"/>
      <c r="J113" s="3746"/>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3310</v>
      </c>
      <c r="B116" s="3403">
        <f>G3</f>
        <v>1.04</v>
      </c>
      <c r="C116" s="3387" t="s">
        <v>3311</v>
      </c>
      <c r="D116" s="3388">
        <f>SUMPRODUCT((A118:A122=F116)*(B117:M117=H116)*B118:M122)</f>
        <v>0.57069999999999999</v>
      </c>
      <c r="E116" s="1991" t="s">
        <v>3312</v>
      </c>
      <c r="F116" s="3389" t="str">
        <f>E2</f>
        <v>工业</v>
      </c>
      <c r="G116" s="1991" t="s">
        <v>3313</v>
      </c>
      <c r="H116" s="3389" t="str">
        <f>G2</f>
        <v>九级</v>
      </c>
      <c r="I116" s="1991"/>
      <c r="J116" s="3390"/>
      <c r="K116" s="3390"/>
      <c r="L116" s="3390"/>
      <c r="M116" s="3390"/>
      <c r="N116" s="3385"/>
    </row>
    <row r="117" spans="1:14">
      <c r="A117" s="3391"/>
      <c r="B117" s="3392" t="s">
        <v>3314</v>
      </c>
      <c r="C117" s="3392" t="s">
        <v>3315</v>
      </c>
      <c r="D117" s="3392" t="s">
        <v>3316</v>
      </c>
      <c r="E117" s="3393" t="s">
        <v>3317</v>
      </c>
      <c r="F117" s="3393" t="s">
        <v>3318</v>
      </c>
      <c r="G117" s="3393" t="s">
        <v>3319</v>
      </c>
      <c r="H117" s="3394" t="s">
        <v>3320</v>
      </c>
      <c r="I117" s="3394" t="s">
        <v>3321</v>
      </c>
      <c r="J117" s="3395" t="s">
        <v>3322</v>
      </c>
      <c r="K117" s="3395" t="s">
        <v>3323</v>
      </c>
      <c r="L117" s="3395" t="s">
        <v>3324</v>
      </c>
      <c r="M117" s="3396" t="s">
        <v>3325</v>
      </c>
      <c r="N117" s="3385"/>
    </row>
    <row r="118" spans="1:14">
      <c r="A118" s="3397" t="s">
        <v>3326</v>
      </c>
      <c r="B118" s="3375">
        <f>ROUND(0.9968-0.011*B116,4)</f>
        <v>0.98540000000000005</v>
      </c>
      <c r="C118" s="3375">
        <f>B118</f>
        <v>0.98540000000000005</v>
      </c>
      <c r="D118" s="3375">
        <f>ROUND(0.949-0.014*B116,4)</f>
        <v>0.93440000000000001</v>
      </c>
      <c r="E118" s="3375">
        <f>D118</f>
        <v>0.93440000000000001</v>
      </c>
      <c r="F118" s="3375">
        <f>E118</f>
        <v>0.93440000000000001</v>
      </c>
      <c r="G118" s="3375">
        <f>F118</f>
        <v>0.93440000000000001</v>
      </c>
      <c r="H118" s="3375">
        <f>G118</f>
        <v>0.93440000000000001</v>
      </c>
      <c r="I118" s="3375">
        <f>ROUND(0.8486-0.018*B116,4)</f>
        <v>0.82989999999999997</v>
      </c>
      <c r="J118" s="3375">
        <f t="shared" ref="J118:M122" si="35">I118</f>
        <v>0.82989999999999997</v>
      </c>
      <c r="K118" s="3375">
        <f t="shared" si="35"/>
        <v>0.82989999999999997</v>
      </c>
      <c r="L118" s="3375">
        <f t="shared" si="35"/>
        <v>0.82989999999999997</v>
      </c>
      <c r="M118" s="3398">
        <f t="shared" si="35"/>
        <v>0.82989999999999997</v>
      </c>
      <c r="N118" s="3385"/>
    </row>
    <row r="119" spans="1:14">
      <c r="A119" s="3397" t="s">
        <v>3327</v>
      </c>
      <c r="B119" s="3375">
        <f>ROUND(0.993-0.0112*B116,4)</f>
        <v>0.98140000000000005</v>
      </c>
      <c r="C119" s="3375">
        <f>B119</f>
        <v>0.98140000000000005</v>
      </c>
      <c r="D119" s="3375">
        <f>ROUND(0.9415-0.0142*B116,4)</f>
        <v>0.92669999999999997</v>
      </c>
      <c r="E119" s="3375">
        <f t="shared" ref="E119:H120" si="36">D119</f>
        <v>0.92669999999999997</v>
      </c>
      <c r="F119" s="3375">
        <f t="shared" si="36"/>
        <v>0.92669999999999997</v>
      </c>
      <c r="G119" s="3375">
        <f t="shared" si="36"/>
        <v>0.92669999999999997</v>
      </c>
      <c r="H119" s="3375">
        <f t="shared" si="36"/>
        <v>0.92669999999999997</v>
      </c>
      <c r="I119" s="3375">
        <f>ROUND(0.838-0.0182*B116,4)</f>
        <v>0.81910000000000005</v>
      </c>
      <c r="J119" s="3375">
        <f t="shared" si="35"/>
        <v>0.81910000000000005</v>
      </c>
      <c r="K119" s="3375">
        <f t="shared" si="35"/>
        <v>0.81910000000000005</v>
      </c>
      <c r="L119" s="3375">
        <f t="shared" si="35"/>
        <v>0.81910000000000005</v>
      </c>
      <c r="M119" s="3398">
        <f t="shared" si="35"/>
        <v>0.81910000000000005</v>
      </c>
      <c r="N119" s="3385"/>
    </row>
    <row r="120" spans="1:14">
      <c r="A120" s="3397" t="s">
        <v>3328</v>
      </c>
      <c r="B120" s="3375">
        <f>ROUND(0.9448-0.0115*B116,4)</f>
        <v>0.93279999999999996</v>
      </c>
      <c r="C120" s="3375">
        <f>B120</f>
        <v>0.93279999999999996</v>
      </c>
      <c r="D120" s="3375">
        <f>ROUND(0.937-0.0145*B116,4)</f>
        <v>0.92190000000000005</v>
      </c>
      <c r="E120" s="3375">
        <f t="shared" si="36"/>
        <v>0.92190000000000005</v>
      </c>
      <c r="F120" s="3375">
        <f t="shared" si="36"/>
        <v>0.92190000000000005</v>
      </c>
      <c r="G120" s="3375">
        <f t="shared" si="36"/>
        <v>0.92190000000000005</v>
      </c>
      <c r="H120" s="3375">
        <f t="shared" si="36"/>
        <v>0.92190000000000005</v>
      </c>
      <c r="I120" s="3375">
        <f>ROUND(0.7965-0.0185*B116,4)</f>
        <v>0.77729999999999999</v>
      </c>
      <c r="J120" s="3375">
        <f t="shared" si="35"/>
        <v>0.77729999999999999</v>
      </c>
      <c r="K120" s="3375">
        <f t="shared" si="35"/>
        <v>0.77729999999999999</v>
      </c>
      <c r="L120" s="3375">
        <f t="shared" si="35"/>
        <v>0.77729999999999999</v>
      </c>
      <c r="M120" s="3398">
        <f t="shared" si="35"/>
        <v>0.77729999999999999</v>
      </c>
      <c r="N120" s="3385"/>
    </row>
    <row r="121" spans="1:14" ht="13.5" thickBot="1">
      <c r="A121" s="3399" t="s">
        <v>3329</v>
      </c>
      <c r="B121" s="3400">
        <f>ROUND(0.7836-0.012*B116,4)</f>
        <v>0.77110000000000001</v>
      </c>
      <c r="C121" s="3400">
        <f>B121</f>
        <v>0.77110000000000001</v>
      </c>
      <c r="D121" s="3400">
        <f>ROUND(0.753-0.015*B116,4)</f>
        <v>0.73740000000000006</v>
      </c>
      <c r="E121" s="3400">
        <f>D121</f>
        <v>0.73740000000000006</v>
      </c>
      <c r="F121" s="3400">
        <f>E121</f>
        <v>0.73740000000000006</v>
      </c>
      <c r="G121" s="3400">
        <f>ROUND(0.6612-0.018*B116,4)</f>
        <v>0.64249999999999996</v>
      </c>
      <c r="H121" s="3400">
        <f>G121</f>
        <v>0.64249999999999996</v>
      </c>
      <c r="I121" s="3400">
        <f>ROUND(0.5905-0.019*B116,4)</f>
        <v>0.57069999999999999</v>
      </c>
      <c r="J121" s="3400">
        <f t="shared" si="35"/>
        <v>0.57069999999999999</v>
      </c>
      <c r="K121" s="3400">
        <f t="shared" si="35"/>
        <v>0.57069999999999999</v>
      </c>
      <c r="L121" s="3400">
        <f t="shared" si="35"/>
        <v>0.57069999999999999</v>
      </c>
      <c r="M121" s="3401">
        <f t="shared" si="35"/>
        <v>0.57069999999999999</v>
      </c>
      <c r="N121" s="3385"/>
    </row>
    <row r="122" spans="1:14">
      <c r="A122" s="3402" t="s">
        <v>2612</v>
      </c>
      <c r="B122" s="3375">
        <f>ROUND(0.9404-0.0106*B116,4)</f>
        <v>0.9294</v>
      </c>
      <c r="C122" s="3375">
        <f>B122</f>
        <v>0.9294</v>
      </c>
      <c r="D122" s="3375">
        <f>ROUND(0.8955-0.0135*B116,4)</f>
        <v>0.88149999999999995</v>
      </c>
      <c r="E122" s="3375">
        <f t="shared" ref="E122:H122" si="37">D122</f>
        <v>0.88149999999999995</v>
      </c>
      <c r="F122" s="3375">
        <f t="shared" si="37"/>
        <v>0.88149999999999995</v>
      </c>
      <c r="G122" s="3375">
        <f t="shared" si="37"/>
        <v>0.88149999999999995</v>
      </c>
      <c r="H122" s="3375">
        <f t="shared" si="37"/>
        <v>0.88149999999999995</v>
      </c>
      <c r="I122" s="3375">
        <f>ROUND(0.7632-0.0166*B116,4)</f>
        <v>0.74590000000000001</v>
      </c>
      <c r="J122" s="3375">
        <f t="shared" si="35"/>
        <v>0.74590000000000001</v>
      </c>
      <c r="K122" s="3375">
        <f t="shared" si="35"/>
        <v>0.74590000000000001</v>
      </c>
      <c r="L122" s="3375">
        <f t="shared" si="35"/>
        <v>0.74590000000000001</v>
      </c>
      <c r="M122" s="3398">
        <f t="shared" si="35"/>
        <v>0.74590000000000001</v>
      </c>
      <c r="N122" s="338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I57"/>
  <sheetViews>
    <sheetView view="pageBreakPreview" topLeftCell="B1" zoomScale="115" zoomScaleNormal="70" zoomScaleSheetLayoutView="115" workbookViewId="0">
      <selection activeCell="C7" sqref="C7"/>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c r="C1" s="192"/>
      <c r="D1" s="192"/>
      <c r="E1" s="192"/>
      <c r="F1" s="192"/>
      <c r="G1" s="1117">
        <f>MATCH(B1,'数据-取费表'!A6:A16,0)+5</f>
        <v>7</v>
      </c>
    </row>
    <row r="2" spans="1:9" s="194" customFormat="1" ht="18" customHeight="1">
      <c r="A2" s="195" t="s">
        <v>1462</v>
      </c>
      <c r="B2" s="196">
        <f ca="1">IF(D2="——",C52,C52-E2)</f>
        <v>14251</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4147</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3603</v>
      </c>
      <c r="D5" s="205" t="s">
        <v>1469</v>
      </c>
      <c r="E5" s="206" t="s">
        <v>1470</v>
      </c>
      <c r="F5" s="206" t="s">
        <v>1471</v>
      </c>
      <c r="G5" s="207"/>
    </row>
    <row r="6" spans="1:9" s="208" customFormat="1" ht="13.5" customHeight="1">
      <c r="A6" s="769" t="s">
        <v>1472</v>
      </c>
      <c r="B6" s="209" t="s">
        <v>1473</v>
      </c>
      <c r="C6" s="210">
        <f>基准地价修正!E33</f>
        <v>2863</v>
      </c>
      <c r="D6" s="211"/>
      <c r="E6" s="212"/>
      <c r="F6" s="212"/>
      <c r="G6" s="213"/>
    </row>
    <row r="7" spans="1:9" s="208" customFormat="1" ht="13.5" customHeight="1">
      <c r="A7" s="769" t="s">
        <v>1474</v>
      </c>
      <c r="B7" s="209" t="s">
        <v>1475</v>
      </c>
      <c r="C7" s="214">
        <f>ROUND(C6*F7,0)</f>
        <v>87</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653</v>
      </c>
      <c r="D8" s="216"/>
      <c r="E8" s="214"/>
      <c r="F8" s="215"/>
      <c r="G8" s="1847" t="s">
        <v>3668</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3670</v>
      </c>
      <c r="H9" s="1128"/>
      <c r="I9" s="1849" t="s">
        <v>1479</v>
      </c>
    </row>
    <row r="10" spans="1:9" s="208" customFormat="1" ht="13.5" customHeight="1">
      <c r="A10" s="770" t="s">
        <v>356</v>
      </c>
      <c r="B10" s="218" t="s">
        <v>1480</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34367.43</v>
      </c>
      <c r="E19" s="205">
        <f>'数据-取费表'!B31</f>
        <v>200</v>
      </c>
      <c r="F19" s="225"/>
      <c r="G19" s="1847" t="s">
        <v>3669</v>
      </c>
    </row>
    <row r="20" spans="1:7" s="208" customFormat="1" ht="13.5" customHeight="1">
      <c r="A20" s="249" t="s">
        <v>1493</v>
      </c>
      <c r="B20" s="204" t="s">
        <v>1494</v>
      </c>
      <c r="C20" s="226">
        <f>ROUND((C5+C19)*F20,0)</f>
        <v>54</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125</v>
      </c>
      <c r="D22" s="229">
        <f ca="1">C26</f>
        <v>2.9999999999999997E-4</v>
      </c>
      <c r="E22" s="230" t="s">
        <v>1498</v>
      </c>
      <c r="F22" s="231">
        <f ca="1">'数据-取费表'!B40</f>
        <v>3.4500000000000003E-2</v>
      </c>
      <c r="G22" s="228" t="str">
        <f>IF('数据-取费表'!B22&lt;=1,"单利计息","复利计息")</f>
        <v>单利计息</v>
      </c>
    </row>
    <row r="23" spans="1:7" s="208" customFormat="1" ht="13.5" customHeight="1">
      <c r="A23" s="771" t="s">
        <v>1502</v>
      </c>
      <c r="B23" s="209" t="s">
        <v>1503</v>
      </c>
      <c r="C23" s="1096">
        <f ca="1">ROUND(IF('数据-取费表'!B22&lt;=1,C5*F22*'数据-取费表'!B23,C5*(POWER((1+F22),'数据-取费表'!B23)-1)),0)</f>
        <v>124</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v>
      </c>
      <c r="D25" s="232"/>
      <c r="E25" s="235"/>
      <c r="F25" s="233"/>
      <c r="G25" s="236" t="s">
        <v>1510</v>
      </c>
    </row>
    <row r="26" spans="1:7" s="208" customFormat="1">
      <c r="A26" s="771" t="s">
        <v>350</v>
      </c>
      <c r="B26" s="209" t="s">
        <v>1511</v>
      </c>
      <c r="C26" s="232">
        <f ca="1">ROUND(IF('数据-取费表'!B22&lt;=1,F21*F22*'数据-取费表'!B23/2,F21*(POWER((1+F22),'数据-取费表'!B23/2)-1)),4)</f>
        <v>2.9999999999999997E-4</v>
      </c>
      <c r="D26" s="232"/>
      <c r="E26" s="235"/>
      <c r="F26" s="233"/>
      <c r="G26" s="237"/>
    </row>
    <row r="27" spans="1:7" s="208" customFormat="1" ht="24.75">
      <c r="A27" s="249" t="s">
        <v>1512</v>
      </c>
      <c r="B27" s="238" t="s">
        <v>1513</v>
      </c>
      <c r="C27" s="239">
        <f ca="1">C28</f>
        <v>183</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ROUND((C5+C19+C20)*F27*'数据-取费表'!B21/'数据-取费表'!B20,0)</f>
        <v>183</v>
      </c>
      <c r="D28" s="229"/>
      <c r="E28" s="230"/>
      <c r="F28" s="240"/>
      <c r="G28" s="241"/>
    </row>
    <row r="29" spans="1:7" s="208" customFormat="1" ht="13.5" customHeight="1">
      <c r="A29" s="771" t="s">
        <v>347</v>
      </c>
      <c r="B29" s="242" t="s">
        <v>1517</v>
      </c>
      <c r="C29" s="232">
        <f ca="1">ROUND(C21*F27*'数据-取费表'!B21/'数据-取费表'!B20,4)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4257</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10743</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9623</v>
      </c>
      <c r="D34" s="211"/>
      <c r="E34" s="214"/>
      <c r="F34" s="251">
        <f ca="1">IF('数据-取费表'!B24=0,1,IF(B1="",'数据-取费表'!N16,INDIRECT("'数据-取费表'!n"&amp;$G$1)))</f>
        <v>1</v>
      </c>
      <c r="G34" s="213" t="s">
        <v>1526</v>
      </c>
    </row>
    <row r="35" spans="1:7" ht="13.5" customHeight="1">
      <c r="A35" s="771" t="s">
        <v>351</v>
      </c>
      <c r="B35" s="209" t="s">
        <v>1527</v>
      </c>
      <c r="C35" s="214">
        <f ca="1">ROUND(C34*F35,0)</f>
        <v>289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687</v>
      </c>
      <c r="D37" s="211">
        <f ca="1">D19</f>
        <v>34367.43</v>
      </c>
      <c r="E37" s="243">
        <f>'数据-取费表'!B35</f>
        <v>200</v>
      </c>
      <c r="F37" s="253"/>
      <c r="G37" s="255" t="s">
        <v>1532</v>
      </c>
    </row>
    <row r="38" spans="1:7" ht="13.5" customHeight="1">
      <c r="A38" s="771" t="s">
        <v>354</v>
      </c>
      <c r="B38" s="209" t="s">
        <v>1533</v>
      </c>
      <c r="C38" s="214">
        <f ca="1">ROUND(C34*F38,0)</f>
        <v>144</v>
      </c>
      <c r="D38" s="214"/>
      <c r="E38" s="214"/>
      <c r="F38" s="253">
        <f>'数据-取费表'!B36</f>
        <v>1.4999999999999999E-2</v>
      </c>
      <c r="G38" s="213" t="s">
        <v>1528</v>
      </c>
    </row>
    <row r="39" spans="1:7" s="208" customFormat="1" ht="13.5" customHeight="1">
      <c r="A39" s="249" t="s">
        <v>1534</v>
      </c>
      <c r="B39" s="204" t="s">
        <v>1535</v>
      </c>
      <c r="C39" s="226">
        <f ca="1">ROUND(C33*F20,0)</f>
        <v>161</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188</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ROUND(IF('数据-取费表'!B22&lt;=1,C33*F22*'数据-取费表'!B21/2,C33*(POWER((1+F22),'数据-取费表'!B21/2)-1)),0)</f>
        <v>185</v>
      </c>
      <c r="D42" s="232"/>
      <c r="E42" s="232"/>
      <c r="F42" s="233"/>
      <c r="G42" s="3762" t="s">
        <v>1544</v>
      </c>
    </row>
    <row r="43" spans="1:7" ht="13.5" customHeight="1">
      <c r="A43" s="771" t="s">
        <v>347</v>
      </c>
      <c r="B43" s="209" t="s">
        <v>1545</v>
      </c>
      <c r="C43" s="232">
        <f ca="1">ROUND(IF('数据-取费表'!B22&lt;=1,C39*F22*'数据-取费表'!B21/2,C39*(POWER((1+F22),'数据-取费表'!B21/2)-1)),0)</f>
        <v>3</v>
      </c>
      <c r="D43" s="232"/>
      <c r="E43" s="232"/>
      <c r="F43" s="233"/>
      <c r="G43" s="3763"/>
    </row>
    <row r="44" spans="1:7" ht="13.5" customHeight="1">
      <c r="A44" s="771" t="s">
        <v>348</v>
      </c>
      <c r="B44" s="209" t="s">
        <v>1546</v>
      </c>
      <c r="C44" s="232">
        <f ca="1">ROUND(IF('数据-取费表'!B22&lt;=1,C40*F22*'数据-取费表'!B21/2,C40*(POWER((1+F22),'数据-取费表'!B21/2)-1)),4)</f>
        <v>2.9999999999999997E-4</v>
      </c>
      <c r="D44" s="232"/>
      <c r="E44" s="232"/>
      <c r="F44" s="233"/>
      <c r="G44" s="3764"/>
    </row>
    <row r="45" spans="1:7" s="208" customFormat="1" ht="13.5" customHeight="1">
      <c r="A45" s="249" t="s">
        <v>1547</v>
      </c>
      <c r="B45" s="238" t="s">
        <v>1513</v>
      </c>
      <c r="C45" s="239">
        <f ca="1">C46</f>
        <v>545</v>
      </c>
      <c r="D45" s="229">
        <f ca="1">C47</f>
        <v>8.0000000000000004E-4</v>
      </c>
      <c r="E45" s="230" t="s">
        <v>1539</v>
      </c>
      <c r="F45" s="240">
        <f ca="1">F27</f>
        <v>0.05</v>
      </c>
      <c r="G45" s="241" t="s">
        <v>1548</v>
      </c>
    </row>
    <row r="46" spans="1:7" s="208" customFormat="1" ht="13.5" customHeight="1">
      <c r="A46" s="771" t="s">
        <v>346</v>
      </c>
      <c r="B46" s="242" t="s">
        <v>1549</v>
      </c>
      <c r="C46" s="243">
        <f ca="1">ROUND((C33+C39)*F27,0)</f>
        <v>545</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12493</v>
      </c>
      <c r="D49" s="226"/>
      <c r="E49" s="226"/>
      <c r="F49" s="258"/>
      <c r="G49" s="228" t="s">
        <v>1554</v>
      </c>
    </row>
    <row r="50" spans="1:7" s="252" customFormat="1" ht="24">
      <c r="A50" s="249" t="s">
        <v>1555</v>
      </c>
      <c r="B50" s="204" t="s">
        <v>1556</v>
      </c>
      <c r="C50" s="226"/>
      <c r="D50" s="226"/>
      <c r="E50" s="226"/>
      <c r="F50" s="258">
        <f>IF('数据-取费表'!B24=0,'数据-取费表'!N16,1)</f>
        <v>0.8</v>
      </c>
      <c r="G50" s="241" t="s">
        <v>1557</v>
      </c>
    </row>
    <row r="51" spans="1:7" ht="16.5" customHeight="1">
      <c r="A51" s="249" t="s">
        <v>1558</v>
      </c>
      <c r="B51" s="204" t="s">
        <v>1559</v>
      </c>
      <c r="C51" s="226">
        <f ca="1">ROUND(C49*F50,0)</f>
        <v>9994</v>
      </c>
      <c r="D51" s="226"/>
      <c r="E51" s="226"/>
      <c r="F51" s="258"/>
      <c r="G51" s="228" t="s">
        <v>1560</v>
      </c>
    </row>
    <row r="52" spans="1:7" s="202" customFormat="1" ht="16.5" thickBot="1">
      <c r="A52" s="259" t="s">
        <v>1561</v>
      </c>
      <c r="B52" s="260"/>
      <c r="C52" s="261">
        <f ca="1">C31+C51</f>
        <v>14251</v>
      </c>
      <c r="D52" s="260"/>
      <c r="E52" s="260"/>
      <c r="F52" s="260"/>
      <c r="G52" s="262"/>
    </row>
    <row r="55" spans="1:7" ht="15">
      <c r="B55" s="264" t="s">
        <v>1562</v>
      </c>
      <c r="C55" s="265"/>
    </row>
    <row r="56" spans="1:7">
      <c r="B56" s="267" t="s">
        <v>802</v>
      </c>
      <c r="C56" s="269">
        <f ca="1">1-C57</f>
        <v>0.29900000000000004</v>
      </c>
    </row>
    <row r="57" spans="1:7">
      <c r="B57" s="267" t="s">
        <v>803</v>
      </c>
      <c r="C57" s="268">
        <f ca="1">ROUND(C51/C52,3)</f>
        <v>0.70099999999999996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11578.344300000001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3369</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6529812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6529812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6873486</v>
      </c>
      <c r="D19" s="840">
        <f ca="1">D9+D10</f>
        <v>34367.43</v>
      </c>
      <c r="E19" s="205">
        <f>'数据-取费表'!B31</f>
        <v>200</v>
      </c>
      <c r="F19" s="225"/>
      <c r="G19" s="1847"/>
    </row>
    <row r="20" spans="1:7" s="208" customFormat="1" ht="13.5" customHeight="1">
      <c r="A20" s="249" t="s">
        <v>1574</v>
      </c>
      <c r="B20" s="204" t="s">
        <v>1575</v>
      </c>
      <c r="C20" s="226">
        <f ca="1">ROUND((C5+C19)*F20,0)</f>
        <v>201049</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465882</v>
      </c>
      <c r="D22" s="229">
        <f ca="1">C26</f>
        <v>2.9999999999999997E-4</v>
      </c>
      <c r="E22" s="230" t="s">
        <v>1579</v>
      </c>
      <c r="F22" s="231">
        <f ca="1">'数据-取费表'!B40</f>
        <v>3.4500000000000003E-2</v>
      </c>
      <c r="G22" s="228" t="str">
        <f>IF('数据-取费表'!B22&lt;=1,"单利计息","复利计息")</f>
        <v>单利计息</v>
      </c>
    </row>
    <row r="23" spans="1:7" s="208" customFormat="1" ht="13.5" customHeight="1">
      <c r="A23" s="771" t="s">
        <v>1472</v>
      </c>
      <c r="B23" s="209" t="s">
        <v>1583</v>
      </c>
      <c r="C23" s="1119">
        <f ca="1">ROUND(IF('数据-取费表'!B22&lt;=1,C5*F22*'数据-取费表'!B22,C5*(POWER((1+F22),'数据-取费表'!B22)-1)),0)</f>
        <v>225279</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237135</v>
      </c>
      <c r="D24" s="232"/>
      <c r="E24" s="232"/>
      <c r="F24" s="233"/>
      <c r="G24" s="234" t="s">
        <v>1586</v>
      </c>
    </row>
    <row r="25" spans="1:7" s="208" customFormat="1" ht="24">
      <c r="A25" s="771" t="s">
        <v>1476</v>
      </c>
      <c r="B25" s="209" t="s">
        <v>1587</v>
      </c>
      <c r="C25" s="1119">
        <f ca="1">ROUND(IF('数据-取费表'!B22&lt;=1,C20*F22*'数据-取费表'!B22/2,C20*(POWER((1+F22),'数据-取费表'!B22/2)-1)),0)</f>
        <v>3468</v>
      </c>
      <c r="D25" s="232"/>
      <c r="E25" s="235"/>
      <c r="F25" s="233"/>
      <c r="G25" s="236" t="s">
        <v>1588</v>
      </c>
    </row>
    <row r="26" spans="1:7" s="208" customFormat="1">
      <c r="A26" s="771" t="s">
        <v>350</v>
      </c>
      <c r="B26" s="209" t="s">
        <v>1511</v>
      </c>
      <c r="C26" s="232">
        <f ca="1">ROUND(IF('数据-取费表'!B22&lt;=1,F21*F22*'数据-取费表'!B22/2,F21*(POWER((1+F22),'数据-取费表'!B22/2)-1)),4)</f>
        <v>2.9999999999999997E-4</v>
      </c>
      <c r="D26" s="232"/>
      <c r="E26" s="235"/>
      <c r="F26" s="233"/>
      <c r="G26" s="237"/>
    </row>
    <row r="27" spans="1:7" s="208" customFormat="1" ht="24.75">
      <c r="A27" s="249" t="s">
        <v>1512</v>
      </c>
      <c r="B27" s="238" t="s">
        <v>1513</v>
      </c>
      <c r="C27" s="239">
        <f ca="1">C28</f>
        <v>680217</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ROUND((C5+C19+C20)*F27,0)</f>
        <v>680217</v>
      </c>
      <c r="D28" s="229"/>
      <c r="E28" s="230"/>
      <c r="F28" s="240"/>
      <c r="G28" s="241"/>
    </row>
    <row r="29" spans="1:7" s="208" customFormat="1" ht="13.5" customHeight="1">
      <c r="A29" s="771" t="s">
        <v>347</v>
      </c>
      <c r="B29" s="242" t="s">
        <v>1517</v>
      </c>
      <c r="C29" s="232">
        <f ca="1">ROUND(C21*F27,4)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15835154</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107432586</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96228804</v>
      </c>
      <c r="D34" s="211"/>
      <c r="E34" s="214"/>
      <c r="F34" s="251"/>
      <c r="G34" s="213"/>
    </row>
    <row r="35" spans="1:7" ht="13.5" customHeight="1">
      <c r="A35" s="771" t="s">
        <v>351</v>
      </c>
      <c r="B35" s="209" t="s">
        <v>1527</v>
      </c>
      <c r="C35" s="214">
        <f ca="1">ROUND(C34*F35,0)</f>
        <v>2886864</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6873486</v>
      </c>
      <c r="D37" s="211">
        <f ca="1">D19</f>
        <v>34367.43</v>
      </c>
      <c r="E37" s="243">
        <f>'数据-取费表'!B35</f>
        <v>200</v>
      </c>
      <c r="F37" s="253"/>
      <c r="G37" s="255"/>
    </row>
    <row r="38" spans="1:7" ht="13.5" customHeight="1">
      <c r="A38" s="771" t="s">
        <v>354</v>
      </c>
      <c r="B38" s="209" t="s">
        <v>1533</v>
      </c>
      <c r="C38" s="214">
        <f ca="1">ROUND(C34*F38,0)</f>
        <v>1443432</v>
      </c>
      <c r="D38" s="214"/>
      <c r="E38" s="214"/>
      <c r="F38" s="253">
        <f>'数据-取费表'!B36</f>
        <v>1.4999999999999999E-2</v>
      </c>
      <c r="G38" s="213" t="s">
        <v>1528</v>
      </c>
    </row>
    <row r="39" spans="1:7" s="208" customFormat="1" ht="13.5" customHeight="1">
      <c r="A39" s="249" t="s">
        <v>1534</v>
      </c>
      <c r="B39" s="204" t="s">
        <v>1535</v>
      </c>
      <c r="C39" s="226">
        <f ca="1">ROUND(C33*F20,0)</f>
        <v>1611489</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1881010</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ROUND(IF('数据-取费表'!B22&lt;=1,C33*F22*'数据-取费表'!B20/2,C33*(POWER((1+F22),'数据-取费表'!B20/2)-1)),0)</f>
        <v>1853212</v>
      </c>
      <c r="D42" s="232"/>
      <c r="E42" s="232"/>
      <c r="F42" s="233"/>
      <c r="G42" s="3762" t="s">
        <v>1591</v>
      </c>
    </row>
    <row r="43" spans="1:7" ht="13.5" customHeight="1">
      <c r="A43" s="771" t="s">
        <v>347</v>
      </c>
      <c r="B43" s="209" t="s">
        <v>1545</v>
      </c>
      <c r="C43" s="232">
        <f ca="1">ROUND(IF('数据-取费表'!B22&lt;=1,C39*F22*'数据-取费表'!B20/2,C39*(POWER((1+F22),'数据-取费表'!B20/2)-1)),0)</f>
        <v>27798</v>
      </c>
      <c r="D43" s="232"/>
      <c r="E43" s="232"/>
      <c r="F43" s="233"/>
      <c r="G43" s="3763"/>
    </row>
    <row r="44" spans="1:7" ht="13.5" customHeight="1">
      <c r="A44" s="771" t="s">
        <v>348</v>
      </c>
      <c r="B44" s="209" t="s">
        <v>1546</v>
      </c>
      <c r="C44" s="232">
        <f ca="1">ROUND(IF('数据-取费表'!B22&lt;=1,C40*F22*'数据-取费表'!B20/2,C40*(POWER((1+F22),'数据-取费表'!B20/2)-1)),4)</f>
        <v>2.9999999999999997E-4</v>
      </c>
      <c r="D44" s="232"/>
      <c r="E44" s="232"/>
      <c r="F44" s="233"/>
      <c r="G44" s="3764"/>
    </row>
    <row r="45" spans="1:7" s="208" customFormat="1" ht="13.5" customHeight="1">
      <c r="A45" s="249" t="s">
        <v>1547</v>
      </c>
      <c r="B45" s="238" t="s">
        <v>1513</v>
      </c>
      <c r="C45" s="239">
        <f ca="1">C46</f>
        <v>5452204</v>
      </c>
      <c r="D45" s="229">
        <f ca="1">C47</f>
        <v>8.0000000000000004E-4</v>
      </c>
      <c r="E45" s="230" t="s">
        <v>1539</v>
      </c>
      <c r="F45" s="240">
        <f ca="1">F27</f>
        <v>0.05</v>
      </c>
      <c r="G45" s="241" t="s">
        <v>1548</v>
      </c>
    </row>
    <row r="46" spans="1:7" s="208" customFormat="1" ht="13.5" customHeight="1">
      <c r="A46" s="771" t="s">
        <v>346</v>
      </c>
      <c r="B46" s="242" t="s">
        <v>1549</v>
      </c>
      <c r="C46" s="243">
        <f ca="1">ROUND((C33+C39)*F27,0)</f>
        <v>5452204</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124935361</v>
      </c>
      <c r="D49" s="226"/>
      <c r="E49" s="226"/>
      <c r="F49" s="258"/>
      <c r="G49" s="228" t="s">
        <v>1554</v>
      </c>
    </row>
    <row r="50" spans="1:7" s="252" customFormat="1">
      <c r="A50" s="249" t="s">
        <v>1555</v>
      </c>
      <c r="B50" s="204" t="s">
        <v>1556</v>
      </c>
      <c r="C50" s="226"/>
      <c r="D50" s="226"/>
      <c r="E50" s="226"/>
      <c r="F50" s="258">
        <f>IF('数据-取费表'!B24=0,'数据-取费表'!N16,1)</f>
        <v>0.8</v>
      </c>
      <c r="G50" s="241"/>
    </row>
    <row r="51" spans="1:7" ht="16.5" customHeight="1">
      <c r="A51" s="249" t="s">
        <v>1558</v>
      </c>
      <c r="B51" s="204" t="s">
        <v>1593</v>
      </c>
      <c r="C51" s="226">
        <f ca="1">ROUND(C49*F50,0)</f>
        <v>99948289</v>
      </c>
      <c r="D51" s="226"/>
      <c r="E51" s="226"/>
      <c r="F51" s="258"/>
      <c r="G51" s="228" t="s">
        <v>1560</v>
      </c>
    </row>
    <row r="52" spans="1:7" s="202" customFormat="1" ht="16.5" thickBot="1">
      <c r="A52" s="259" t="s">
        <v>1561</v>
      </c>
      <c r="B52" s="260"/>
      <c r="C52" s="261">
        <f ca="1">C31+C51</f>
        <v>115783443</v>
      </c>
      <c r="D52" s="260"/>
      <c r="E52" s="260"/>
      <c r="F52" s="260"/>
      <c r="G52" s="262"/>
    </row>
    <row r="55" spans="1:7" ht="15">
      <c r="B55" s="264" t="s">
        <v>1562</v>
      </c>
      <c r="C55" s="265"/>
    </row>
    <row r="56" spans="1:7">
      <c r="B56" s="267" t="s">
        <v>802</v>
      </c>
      <c r="C56" s="269">
        <f ca="1">1-C57</f>
        <v>0.13700000000000001</v>
      </c>
    </row>
    <row r="57" spans="1:7">
      <c r="B57" s="267" t="s">
        <v>803</v>
      </c>
      <c r="C57" s="268">
        <f ca="1">ROUND(C51/C52,3)</f>
        <v>0.86299999999999999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3"/>
      <c r="F1" s="2793"/>
      <c r="G1" s="2658"/>
      <c r="H1" s="2793"/>
      <c r="I1" s="2793"/>
      <c r="J1" s="2793"/>
      <c r="K1" s="2794">
        <f>MATCH(C1,'数据-取费表'!A6:A16,0)+5</f>
        <v>7</v>
      </c>
    </row>
    <row r="2" spans="1:33" ht="18" customHeight="1">
      <c r="A2" s="195" t="s">
        <v>1462</v>
      </c>
      <c r="B2" s="198">
        <f ca="1">C32</f>
        <v>0</v>
      </c>
      <c r="C2" s="270" t="s">
        <v>1595</v>
      </c>
      <c r="D2" s="270"/>
      <c r="E2" s="2793"/>
      <c r="F2" s="2793"/>
      <c r="G2" s="2793"/>
      <c r="H2" s="2793"/>
      <c r="I2" s="2793"/>
      <c r="J2" s="2793"/>
      <c r="K2" s="2793"/>
    </row>
    <row r="3" spans="1:33" ht="18" customHeight="1" thickBot="1">
      <c r="A3" s="197" t="s">
        <v>1464</v>
      </c>
      <c r="B3" s="198">
        <f ca="1">ROUND(B2*10000/IF(C1="",'数据-汇总表'!E3,INDIRECT("'数据-取费表'!K"&amp;$K$1)),0)</f>
        <v>0</v>
      </c>
      <c r="C3" s="270" t="s">
        <v>1596</v>
      </c>
      <c r="D3" s="270"/>
      <c r="E3" s="2793"/>
      <c r="F3" s="2793"/>
      <c r="G3" s="2793"/>
      <c r="H3" s="2793"/>
      <c r="I3" s="2793"/>
      <c r="J3" s="2793"/>
      <c r="K3" s="2793"/>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v>38833</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0</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34367.43</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34367.43</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3667</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70" zoomScaleSheetLayoutView="100" workbookViewId="0">
      <selection activeCell="D56" sqref="D56"/>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39.32</v>
      </c>
      <c r="G1" s="1369">
        <f>MATCH(C1,'数据-取费表'!A6:A16,0)+5</f>
        <v>6</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24323</v>
      </c>
      <c r="C2" s="1378" t="s">
        <v>805</v>
      </c>
      <c r="D2" s="1378"/>
      <c r="E2" s="1379"/>
      <c r="F2" s="1380"/>
      <c r="G2" s="2693"/>
      <c r="H2" s="2682"/>
      <c r="I2" s="2682"/>
      <c r="J2" s="2682"/>
      <c r="K2" s="2683"/>
      <c r="L2" s="2682"/>
      <c r="M2" s="2682"/>
    </row>
    <row r="3" spans="1:37" ht="18" customHeight="1" thickBot="1">
      <c r="A3" s="1381" t="s">
        <v>806</v>
      </c>
      <c r="B3" s="1382">
        <f ca="1">IF(ISERROR(B2*10000/F43),0,ROUND(B2*10000/F43,0))</f>
        <v>7077</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1526</v>
      </c>
      <c r="D5" s="1355" t="s">
        <v>693</v>
      </c>
      <c r="E5" s="1062"/>
      <c r="F5" s="1063"/>
      <c r="G5" s="1375"/>
      <c r="H5" s="293">
        <v>1</v>
      </c>
      <c r="I5" s="294" t="s">
        <v>692</v>
      </c>
      <c r="J5" s="1061">
        <f ca="1">J6+J10+J12</f>
        <v>0</v>
      </c>
      <c r="K5" s="1355" t="s">
        <v>693</v>
      </c>
      <c r="L5" s="1062"/>
      <c r="M5" s="1063"/>
    </row>
    <row r="6" spans="1:37" ht="18" customHeight="1">
      <c r="A6" s="1060" t="s">
        <v>398</v>
      </c>
      <c r="B6" s="3767" t="s">
        <v>694</v>
      </c>
      <c r="C6" s="1065">
        <f ca="1">ROUND(F6*F8*F7*(1-F9)/10000,0)</f>
        <v>1524</v>
      </c>
      <c r="D6" s="149" t="s">
        <v>2109</v>
      </c>
      <c r="E6" s="296" t="s">
        <v>696</v>
      </c>
      <c r="F6" s="297">
        <f ca="1">INDIRECT("'数据-取费表'!u"&amp;$G$1)</f>
        <v>1.35</v>
      </c>
      <c r="G6" s="1375"/>
      <c r="H6" s="1060" t="s">
        <v>398</v>
      </c>
      <c r="I6" s="3767" t="s">
        <v>694</v>
      </c>
      <c r="J6" s="295">
        <f ca="1">ROUND(M6*M8*M7*(1-M9)/10000,0)</f>
        <v>0</v>
      </c>
      <c r="K6" s="149" t="s">
        <v>2108</v>
      </c>
      <c r="L6" s="296" t="s">
        <v>696</v>
      </c>
      <c r="M6" s="297">
        <f ca="1">INDIRECT("'数据-取费表'!z"&amp;$G$1)</f>
        <v>0</v>
      </c>
    </row>
    <row r="7" spans="1:37" ht="18" customHeight="1">
      <c r="A7" s="1064"/>
      <c r="B7" s="3768"/>
      <c r="C7" s="1066"/>
      <c r="D7" s="301"/>
      <c r="E7" s="1067" t="s">
        <v>697</v>
      </c>
      <c r="F7" s="297">
        <f ca="1">IF(INDIRECT("'数据-取费表'!ah"&amp;$G$1)="",INDIRECT("'数据-取费表'!k"&amp;$G$1),INDIRECT("'数据-取费表'!ah"&amp;$G$1))</f>
        <v>34367.43</v>
      </c>
      <c r="G7" s="1375"/>
      <c r="H7" s="298"/>
      <c r="I7" s="3768"/>
      <c r="J7" s="300"/>
      <c r="K7" s="301"/>
      <c r="L7" s="296" t="s">
        <v>697</v>
      </c>
      <c r="M7" s="297">
        <f ca="1">F7</f>
        <v>34367.43</v>
      </c>
    </row>
    <row r="8" spans="1:37" ht="18" customHeight="1">
      <c r="A8" s="298"/>
      <c r="B8" s="3768"/>
      <c r="C8" s="300"/>
      <c r="D8" s="301"/>
      <c r="E8" s="296" t="s">
        <v>698</v>
      </c>
      <c r="F8" s="297">
        <f ca="1">INDIRECT("'数据-取费表'!ai"&amp;$G$1)</f>
        <v>365</v>
      </c>
      <c r="G8" s="1375"/>
      <c r="H8" s="298"/>
      <c r="I8" s="3768"/>
      <c r="J8" s="300"/>
      <c r="K8" s="301"/>
      <c r="L8" s="296" t="s">
        <v>698</v>
      </c>
      <c r="M8" s="297">
        <f ca="1">INDIRECT("'数据-取费表'!ai"&amp;$G$1)</f>
        <v>365</v>
      </c>
    </row>
    <row r="9" spans="1:37" ht="18" customHeight="1">
      <c r="A9" s="298"/>
      <c r="B9" s="3769"/>
      <c r="C9" s="300"/>
      <c r="D9" s="301"/>
      <c r="E9" s="296" t="s">
        <v>699</v>
      </c>
      <c r="F9" s="306">
        <f ca="1">INDIRECT("'数据-取费表'!w"&amp;$G$1)</f>
        <v>0.1</v>
      </c>
      <c r="G9" s="1375"/>
      <c r="H9" s="298"/>
      <c r="I9" s="3769"/>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2117</v>
      </c>
      <c r="E10" s="307" t="s">
        <v>701</v>
      </c>
      <c r="F10" s="1107" t="s">
        <v>3712</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9994</v>
      </c>
      <c r="D13" s="1072" t="s">
        <v>705</v>
      </c>
      <c r="E13" s="1072" t="s">
        <v>706</v>
      </c>
      <c r="F13" s="1073">
        <f ca="1">INDIRECT("'数据-取费表'!y"&amp;$G$1)</f>
        <v>0.8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9623</v>
      </c>
      <c r="D14" s="1336" t="s">
        <v>708</v>
      </c>
      <c r="E14" s="1333"/>
      <c r="F14" s="313"/>
      <c r="G14" s="1375"/>
      <c r="H14" s="973" t="s">
        <v>398</v>
      </c>
      <c r="I14" s="296" t="s">
        <v>709</v>
      </c>
      <c r="J14" s="21">
        <f ca="1">C29</f>
        <v>12493</v>
      </c>
      <c r="K14" s="12"/>
      <c r="L14" s="798"/>
      <c r="M14" s="799"/>
    </row>
    <row r="15" spans="1:37" s="1388" customFormat="1" ht="18" customHeight="1" thickBot="1">
      <c r="A15" s="973" t="s">
        <v>399</v>
      </c>
      <c r="B15" s="296" t="s">
        <v>710</v>
      </c>
      <c r="C15" s="21">
        <f ca="1">ROUND(C14*F15,0)</f>
        <v>289</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105</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144</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10743</v>
      </c>
      <c r="D19" s="125" t="s">
        <v>726</v>
      </c>
      <c r="E19" s="1351"/>
      <c r="F19" s="23"/>
      <c r="G19" s="1375"/>
      <c r="H19" s="973" t="s">
        <v>399</v>
      </c>
      <c r="I19" s="296" t="s">
        <v>727</v>
      </c>
      <c r="J19" s="21">
        <f ca="1">IF(K19="按租金收入计税",ROUND(J6*M19/(1+'数据-取费表'!C42),2),ROUND(C29*M19*0.7,2))</f>
        <v>0</v>
      </c>
      <c r="K19" s="1361" t="s">
        <v>3334</v>
      </c>
      <c r="L19" s="296" t="s">
        <v>712</v>
      </c>
      <c r="M19" s="316">
        <f>IF(K19="按租金收入计税",'数据-取费表'!B51,'数据-取费表'!B50)</f>
        <v>0.12</v>
      </c>
    </row>
    <row r="20" spans="1:37" s="1388" customFormat="1" ht="18" customHeight="1">
      <c r="A20" s="973" t="s">
        <v>402</v>
      </c>
      <c r="B20" s="296" t="s">
        <v>728</v>
      </c>
      <c r="C20" s="21">
        <f ca="1">ROUND(C19*F20,0)</f>
        <v>161</v>
      </c>
      <c r="D20" s="317" t="s">
        <v>729</v>
      </c>
      <c r="E20" s="296" t="s">
        <v>712</v>
      </c>
      <c r="F20" s="316">
        <f>'数据-取费表'!B37</f>
        <v>1.4999999999999999E-2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99.94</v>
      </c>
      <c r="K22" s="1335" t="s">
        <v>739</v>
      </c>
      <c r="L22" s="296" t="s">
        <v>712</v>
      </c>
      <c r="M22" s="322">
        <f ca="1">INDIRECT("'数据-取费表'!Ak"&amp;$G$1)</f>
        <v>8.0000000000000002E-3</v>
      </c>
    </row>
    <row r="23" spans="1:37" s="1388" customFormat="1" ht="18" customHeight="1">
      <c r="A23" s="973" t="s">
        <v>397</v>
      </c>
      <c r="B23" s="296" t="s">
        <v>740</v>
      </c>
      <c r="C23" s="21">
        <f ca="1">IF('数据-取费表'!B22&lt;=1,ROUND(C19*F24*F23/2,0)+ROUND(C20*F24*F23/2,0),ROUND(C19*(POWER((1+F24),F23/2)-1),0)+ROUND(C20*(POWER((1+F24),F23/2)-1),0))</f>
        <v>188</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8.0000000000000002E-3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-105</v>
      </c>
      <c r="K25" s="1086" t="s">
        <v>753</v>
      </c>
      <c r="L25" s="1087"/>
      <c r="M25" s="1088"/>
    </row>
    <row r="26" spans="1:37">
      <c r="A26" s="973" t="s">
        <v>397</v>
      </c>
      <c r="B26" s="296" t="s">
        <v>754</v>
      </c>
      <c r="C26" s="21">
        <f ca="1">ROUND((C19+C20)*F26,0)</f>
        <v>545</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12493</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381</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258.97000000000003</v>
      </c>
      <c r="D31" s="1336" t="s">
        <v>720</v>
      </c>
      <c r="E31" s="1335" t="s">
        <v>770</v>
      </c>
      <c r="F31" s="2306">
        <f ca="1">IF(项目基本情况!B11="企业","——",IF(M47="住宅",IF(F6*F7*F8/12/(1+'数据-取费表'!F30)&gt;100000,4%,2.5%),IF(F6*F7*F8/12/(1+'数据-取费表'!F30)&gt;100000,12%,7%)))</f>
        <v>0.12</v>
      </c>
      <c r="G31" s="1375"/>
      <c r="H31" s="2795" t="s">
        <v>2306</v>
      </c>
      <c r="I31" s="1389"/>
      <c r="J31" s="1390"/>
      <c r="K31" s="2464"/>
      <c r="L31" s="2685"/>
      <c r="M31" s="2686"/>
    </row>
    <row r="32" spans="1:37" ht="18" customHeight="1">
      <c r="A32" s="973" t="s">
        <v>397</v>
      </c>
      <c r="B32" s="296" t="s">
        <v>723</v>
      </c>
      <c r="C32" s="21">
        <f ca="1">IF(项目基本情况!B11="自然人","——",ROUND(C6*F32/(1+'数据-取费表'!C42),2))</f>
        <v>79.83</v>
      </c>
      <c r="D32" s="1335" t="s">
        <v>724</v>
      </c>
      <c r="E32" s="296" t="s">
        <v>712</v>
      </c>
      <c r="F32" s="325">
        <f>'数据-取费表'!B41</f>
        <v>5.5000000000000007E-2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174.17</v>
      </c>
      <c r="D33" s="1361" t="s">
        <v>3334</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4.97</v>
      </c>
      <c r="D34" s="318" t="s">
        <v>731</v>
      </c>
      <c r="E34" s="296" t="s">
        <v>732</v>
      </c>
      <c r="F34" s="319">
        <f>'数据-取费表'!B52</f>
        <v>1.5</v>
      </c>
      <c r="G34" s="1375"/>
      <c r="H34" s="2684"/>
      <c r="I34" s="1389"/>
      <c r="J34" s="1390"/>
      <c r="K34" s="2689"/>
      <c r="L34" s="2690"/>
      <c r="M34" s="2690"/>
    </row>
    <row r="35" spans="1:18" ht="18" customHeight="1">
      <c r="A35" s="1094"/>
      <c r="B35" s="1092"/>
      <c r="C35" s="26"/>
      <c r="D35" s="321"/>
      <c r="E35" s="296" t="s">
        <v>736</v>
      </c>
      <c r="F35" s="297">
        <f ca="1">INDIRECT("'数据-取费表'!r"&amp;$G$1)</f>
        <v>33154.39</v>
      </c>
      <c r="G35" s="1375"/>
      <c r="H35" s="2684"/>
      <c r="I35" s="1389"/>
      <c r="J35" s="1390"/>
      <c r="K35" s="2688"/>
      <c r="L35" s="2687"/>
      <c r="M35" s="2687"/>
    </row>
    <row r="36" spans="1:18" ht="18" customHeight="1">
      <c r="A36" s="1093" t="s">
        <v>402</v>
      </c>
      <c r="B36" s="296" t="s">
        <v>738</v>
      </c>
      <c r="C36" s="21">
        <f ca="1">ROUND(C29*F36,2)</f>
        <v>99.94</v>
      </c>
      <c r="D36" s="1335" t="s">
        <v>771</v>
      </c>
      <c r="E36" s="296" t="s">
        <v>712</v>
      </c>
      <c r="F36" s="322">
        <f ca="1">INDIRECT("'数据-取费表'!Ak"&amp;$G$1)</f>
        <v>8.0000000000000002E-3</v>
      </c>
      <c r="G36" s="1375"/>
      <c r="H36" s="2687"/>
      <c r="I36" s="1389"/>
      <c r="J36" s="1390"/>
      <c r="K36" s="2532"/>
      <c r="L36" s="2687"/>
      <c r="M36" s="2687"/>
    </row>
    <row r="37" spans="1:18" ht="18" customHeight="1">
      <c r="A37" s="973" t="s">
        <v>437</v>
      </c>
      <c r="B37" s="296" t="s">
        <v>742</v>
      </c>
      <c r="C37" s="21">
        <f ca="1">ROUND(C13*F37,2)</f>
        <v>9.99</v>
      </c>
      <c r="D37" s="1335" t="s">
        <v>743</v>
      </c>
      <c r="E37" s="296" t="s">
        <v>744</v>
      </c>
      <c r="F37" s="324">
        <f ca="1">INDIRECT("'数据-取费表'!Al"&amp;$G$1)</f>
        <v>1E-3</v>
      </c>
      <c r="G37" s="1375"/>
      <c r="H37" s="2687"/>
      <c r="I37" s="1389"/>
      <c r="J37" s="1390"/>
      <c r="K37" s="2532"/>
      <c r="L37" s="2687"/>
      <c r="M37" s="2687"/>
    </row>
    <row r="38" spans="1:18" ht="18" customHeight="1" thickBot="1">
      <c r="A38" s="1080" t="s">
        <v>684</v>
      </c>
      <c r="B38" s="1081" t="s">
        <v>728</v>
      </c>
      <c r="C38" s="1082">
        <f ca="1">ROUND(C5*F38,2)</f>
        <v>12.21</v>
      </c>
      <c r="D38" s="1083" t="s">
        <v>748</v>
      </c>
      <c r="E38" s="1081" t="s">
        <v>744</v>
      </c>
      <c r="F38" s="1077">
        <f ca="1">INDIRECT("'数据-取费表'!Am"&amp;$G$1)</f>
        <v>8.0000000000000002E-3</v>
      </c>
      <c r="G38" s="1375"/>
      <c r="H38" s="2687"/>
      <c r="I38" s="1389"/>
      <c r="J38" s="1390"/>
      <c r="K38" s="2691"/>
      <c r="L38" s="2687"/>
      <c r="M38" s="2687"/>
    </row>
    <row r="39" spans="1:18" ht="24.6" customHeight="1" thickTop="1">
      <c r="A39" s="1070" t="s">
        <v>394</v>
      </c>
      <c r="B39" s="1085" t="s">
        <v>772</v>
      </c>
      <c r="C39" s="304">
        <f ca="1">C5-C30</f>
        <v>1145</v>
      </c>
      <c r="D39" s="1086" t="s">
        <v>773</v>
      </c>
      <c r="E39" s="1087"/>
      <c r="F39" s="1088"/>
      <c r="G39" s="1375"/>
      <c r="H39" s="2687"/>
      <c r="I39" s="1389"/>
      <c r="J39" s="1390"/>
      <c r="K39" s="2691"/>
      <c r="L39" s="2687"/>
      <c r="M39" s="2687"/>
    </row>
    <row r="40" spans="1:18" ht="18" customHeight="1">
      <c r="A40" s="293" t="s">
        <v>395</v>
      </c>
      <c r="B40" s="294" t="s">
        <v>774</v>
      </c>
      <c r="C40" s="295">
        <f ca="1">ROUND(C39*(1-((1+F42)/(1+F40))^F41)/(F40-F42),0)</f>
        <v>24032</v>
      </c>
      <c r="D40" s="318" t="s">
        <v>758</v>
      </c>
      <c r="E40" s="296" t="s">
        <v>759</v>
      </c>
      <c r="F40" s="306">
        <f ca="1">INDIRECT("'数据-取费表'!I"&amp;$G$1)</f>
        <v>5.5E-2</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39.32</v>
      </c>
      <c r="G41" s="1375"/>
      <c r="H41" s="1182"/>
      <c r="I41" s="1389"/>
      <c r="J41" s="1390"/>
      <c r="K41" s="2532"/>
      <c r="L41" s="1182"/>
      <c r="M41" s="1182"/>
    </row>
    <row r="42" spans="1:18" ht="18" customHeight="1">
      <c r="A42" s="302"/>
      <c r="B42" s="303"/>
      <c r="C42" s="304"/>
      <c r="D42" s="321"/>
      <c r="E42" s="296" t="s">
        <v>766</v>
      </c>
      <c r="F42" s="306">
        <f ca="1">INDIRECT("'数据-取费表'!v"&amp;$G$1)</f>
        <v>0.02</v>
      </c>
      <c r="G42" s="1375"/>
      <c r="H42" s="1182"/>
      <c r="I42" s="1389"/>
      <c r="J42" s="1390"/>
      <c r="K42" s="2532"/>
      <c r="L42" s="1182"/>
      <c r="M42" s="1182"/>
    </row>
    <row r="43" spans="1:18" ht="18" customHeight="1" thickBot="1">
      <c r="A43" s="328" t="s">
        <v>396</v>
      </c>
      <c r="B43" s="329" t="s">
        <v>776</v>
      </c>
      <c r="C43" s="330">
        <f ca="1">ROUND(C40*10000/F43,0)</f>
        <v>6993</v>
      </c>
      <c r="D43" s="331" t="s">
        <v>777</v>
      </c>
      <c r="E43" s="332" t="s">
        <v>778</v>
      </c>
      <c r="F43" s="333">
        <f ca="1">INDIRECT("'数据-取费表'!k"&amp;$G$1)</f>
        <v>34367.43</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5" thickBot="1">
      <c r="A46" s="1395" t="s">
        <v>809</v>
      </c>
      <c r="C46" s="1396">
        <f ca="1">C68-C40</f>
        <v>-25868</v>
      </c>
      <c r="D46" s="1397" t="str">
        <f>C2</f>
        <v>万元</v>
      </c>
      <c r="E46" s="1391"/>
      <c r="F46" s="1391"/>
      <c r="I46" s="1398" t="s">
        <v>810</v>
      </c>
      <c r="J46" s="1399"/>
      <c r="K46" s="1400"/>
      <c r="L46" s="1401">
        <f ca="1">IF(M47="住宅",0,IF(L48&gt;J51,L60,J60))</f>
        <v>291</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3713</v>
      </c>
      <c r="K47" s="1407" t="s">
        <v>816</v>
      </c>
      <c r="L47" s="1408">
        <f ca="1">INDIRECT("'数据-取费表'!d"&amp;$G$1)</f>
        <v>50</v>
      </c>
      <c r="M47" s="1371" t="str">
        <f>IF(ISNUMBER(FIND("住宅",C1)),"住宅","非住宅")</f>
        <v>非住宅</v>
      </c>
      <c r="O47" s="1409" t="s">
        <v>403</v>
      </c>
      <c r="P47" s="1410" t="s">
        <v>817</v>
      </c>
      <c r="Q47" s="1411">
        <f ca="1">C40+J29</f>
        <v>24032</v>
      </c>
      <c r="R47" s="1411" t="s">
        <v>818</v>
      </c>
    </row>
    <row r="48" spans="1:18" s="1375" customFormat="1" ht="28.5" thickBot="1">
      <c r="A48" s="1101" t="s">
        <v>438</v>
      </c>
      <c r="B48" s="294" t="s">
        <v>692</v>
      </c>
      <c r="C48" s="1350">
        <f ca="1">C49+C53+C55</f>
        <v>0</v>
      </c>
      <c r="D48" s="1103"/>
      <c r="E48" s="1104"/>
      <c r="F48" s="953"/>
      <c r="G48" s="713"/>
      <c r="H48" s="714"/>
      <c r="I48" s="1412" t="s">
        <v>819</v>
      </c>
      <c r="J48" s="1413" t="s">
        <v>3714</v>
      </c>
      <c r="K48" s="1414" t="s">
        <v>820</v>
      </c>
      <c r="L48" s="1415">
        <f ca="1">INDIRECT("'数据-取费表'!f"&amp;$G$1)</f>
        <v>39.32</v>
      </c>
      <c r="O48" s="1409" t="s">
        <v>404</v>
      </c>
      <c r="P48" s="1410" t="s">
        <v>821</v>
      </c>
      <c r="Q48" s="1411">
        <f ca="1">J60</f>
        <v>291</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v>2010</v>
      </c>
      <c r="K49" s="1414" t="s">
        <v>824</v>
      </c>
      <c r="L49" s="1418"/>
      <c r="O49" s="1419" t="s">
        <v>405</v>
      </c>
      <c r="P49" s="1410" t="s">
        <v>825</v>
      </c>
      <c r="Q49" s="1411">
        <f ca="1">C29</f>
        <v>12493</v>
      </c>
      <c r="R49" s="1411" t="s">
        <v>818</v>
      </c>
    </row>
    <row r="50" spans="1:18" s="1375" customFormat="1" ht="13.5" thickBot="1">
      <c r="A50" s="967"/>
      <c r="B50" s="970"/>
      <c r="C50" s="1109"/>
      <c r="D50" s="944"/>
      <c r="E50" s="1047" t="s">
        <v>697</v>
      </c>
      <c r="F50" s="1048">
        <f ca="1">F7</f>
        <v>34367.43</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46</v>
      </c>
      <c r="K51" s="1425" t="s">
        <v>830</v>
      </c>
      <c r="L51" s="1426">
        <f ca="1">ROUND(-PV(INDIRECT("'数据-取费表'!h"&amp;$G$1),J51,(C39-C13*C76),0),0)</f>
        <v>8591</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39.32</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39.32</v>
      </c>
      <c r="K53" s="3765" t="s">
        <v>837</v>
      </c>
      <c r="L53" s="3766"/>
      <c r="O53" s="1409" t="s">
        <v>409</v>
      </c>
      <c r="P53" s="1410" t="s">
        <v>838</v>
      </c>
      <c r="Q53" s="1411">
        <f ca="1">Q47+Q48</f>
        <v>24323</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0.111</v>
      </c>
      <c r="K55" s="1436" t="s">
        <v>841</v>
      </c>
      <c r="L55" s="1437"/>
      <c r="O55" s="1402" t="s">
        <v>811</v>
      </c>
      <c r="P55" s="1403" t="s">
        <v>812</v>
      </c>
      <c r="Q55" s="1404" t="s">
        <v>813</v>
      </c>
      <c r="R55" s="1404" t="s">
        <v>814</v>
      </c>
    </row>
    <row r="56" spans="1:18" s="1375" customFormat="1" ht="25.5" thickTop="1" thickBot="1">
      <c r="A56" s="948">
        <v>2</v>
      </c>
      <c r="B56" s="949" t="s">
        <v>704</v>
      </c>
      <c r="C56" s="226">
        <f ca="1">C13</f>
        <v>9994</v>
      </c>
      <c r="D56" s="1438"/>
      <c r="E56" s="1439"/>
      <c r="F56" s="1431"/>
      <c r="I56" s="1440" t="s">
        <v>842</v>
      </c>
      <c r="J56" s="1441" t="s">
        <v>3715</v>
      </c>
      <c r="K56" s="1412" t="s">
        <v>843</v>
      </c>
      <c r="L56" s="1415" t="str">
        <f ca="1">IF(L48&lt;J51,"——",L48-J53)</f>
        <v>——</v>
      </c>
      <c r="O56" s="1409" t="s">
        <v>403</v>
      </c>
      <c r="P56" s="1410" t="s">
        <v>817</v>
      </c>
      <c r="Q56" s="1411">
        <f ca="1">C40+J29</f>
        <v>24032</v>
      </c>
      <c r="R56" s="1411" t="s">
        <v>818</v>
      </c>
    </row>
    <row r="57" spans="1:18" s="1375" customFormat="1" ht="24.75" thickBot="1">
      <c r="A57" s="1442"/>
      <c r="B57" s="941" t="s">
        <v>767</v>
      </c>
      <c r="C57" s="232">
        <f ca="1">C29</f>
        <v>12493</v>
      </c>
      <c r="D57" s="1443"/>
      <c r="E57" s="1444"/>
      <c r="F57" s="1445"/>
      <c r="I57" s="1446" t="s">
        <v>844</v>
      </c>
      <c r="J57" s="1447">
        <f ca="1">IF(OR(M47="住宅",J51&lt;L48,J56="是"),"——",J51-L48)</f>
        <v>6.68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115</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5</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4997</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291</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3334</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24032</v>
      </c>
      <c r="R62" s="1411" t="s">
        <v>410</v>
      </c>
    </row>
    <row r="63" spans="1:18" s="1375" customFormat="1" ht="13.5"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99.94</v>
      </c>
      <c r="D64" s="955" t="s">
        <v>791</v>
      </c>
      <c r="E64" s="941" t="s">
        <v>783</v>
      </c>
      <c r="F64" s="322">
        <f t="shared" ca="1" si="0"/>
        <v>8.0000000000000002E-3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9.99</v>
      </c>
      <c r="D65" s="955" t="s">
        <v>743</v>
      </c>
      <c r="E65" s="941" t="s">
        <v>744</v>
      </c>
      <c r="F65" s="324">
        <f t="shared" ca="1" si="0"/>
        <v>1E-3</v>
      </c>
      <c r="I65" s="1453" t="s">
        <v>867</v>
      </c>
      <c r="J65" s="1454">
        <v>40</v>
      </c>
      <c r="K65" s="1454">
        <v>30</v>
      </c>
      <c r="L65" s="1454">
        <v>50</v>
      </c>
      <c r="M65" s="1456">
        <v>0.02</v>
      </c>
      <c r="O65" s="1409" t="s">
        <v>403</v>
      </c>
      <c r="P65" s="1410" t="s">
        <v>868</v>
      </c>
      <c r="Q65" s="1411">
        <f ca="1">C40+J29</f>
        <v>24032</v>
      </c>
      <c r="R65" s="1411" t="s">
        <v>818</v>
      </c>
    </row>
    <row r="66" spans="1:18" s="1375" customFormat="1" ht="16.5" thickBot="1">
      <c r="A66" s="973" t="s">
        <v>793</v>
      </c>
      <c r="B66" s="941" t="s">
        <v>728</v>
      </c>
      <c r="C66" s="21">
        <f ca="1">ROUND(C48*F66,2)</f>
        <v>0</v>
      </c>
      <c r="D66" s="955" t="s">
        <v>794</v>
      </c>
      <c r="E66" s="941" t="s">
        <v>712</v>
      </c>
      <c r="F66" s="306">
        <f t="shared" ca="1" si="0"/>
        <v>8.0000000000000002E-3</v>
      </c>
      <c r="O66" s="1409" t="s">
        <v>404</v>
      </c>
      <c r="P66" s="1410" t="s">
        <v>846</v>
      </c>
      <c r="Q66" s="1411">
        <f ca="1">L60</f>
        <v>0</v>
      </c>
      <c r="R66" s="1411" t="s">
        <v>869</v>
      </c>
    </row>
    <row r="67" spans="1:18" s="1375" customFormat="1" ht="16.5" thickBot="1">
      <c r="A67" s="948" t="s">
        <v>394</v>
      </c>
      <c r="B67" s="958" t="s">
        <v>752</v>
      </c>
      <c r="C67" s="310">
        <f ca="1">C48-C58</f>
        <v>-115</v>
      </c>
      <c r="D67" s="954" t="s">
        <v>753</v>
      </c>
      <c r="E67" s="959"/>
      <c r="F67" s="960"/>
      <c r="O67" s="1419" t="s">
        <v>405</v>
      </c>
      <c r="P67" s="1410" t="s">
        <v>850</v>
      </c>
      <c r="Q67" s="1457">
        <f ca="1">L51</f>
        <v>8591</v>
      </c>
      <c r="R67" s="1411" t="s">
        <v>870</v>
      </c>
    </row>
    <row r="68" spans="1:18" s="1375" customFormat="1" ht="16.5" thickBot="1">
      <c r="A68" s="938" t="s">
        <v>395</v>
      </c>
      <c r="B68" s="939" t="s">
        <v>774</v>
      </c>
      <c r="C68" s="295">
        <f ca="1">ROUND(C67*(1-((1+F70)/(1+F68))^F69)/(F68-F70),0)</f>
        <v>-1836</v>
      </c>
      <c r="D68" s="956" t="s">
        <v>758</v>
      </c>
      <c r="E68" s="941" t="s">
        <v>759</v>
      </c>
      <c r="F68" s="306">
        <f ca="1">F40</f>
        <v>5.5E-2</v>
      </c>
      <c r="O68" s="1419" t="s">
        <v>406</v>
      </c>
      <c r="P68" s="1458" t="s">
        <v>871</v>
      </c>
      <c r="Q68" s="1411">
        <f ca="1">ROUND(Q69-Q70*Q71,0)</f>
        <v>445</v>
      </c>
      <c r="R68" s="1411" t="s">
        <v>414</v>
      </c>
    </row>
    <row r="69" spans="1:18" s="1375" customFormat="1" ht="13.5" thickBot="1">
      <c r="A69" s="942"/>
      <c r="B69" s="943"/>
      <c r="C69" s="300"/>
      <c r="D69" s="961" t="s">
        <v>762</v>
      </c>
      <c r="E69" s="941" t="s">
        <v>763</v>
      </c>
      <c r="F69" s="327">
        <f ca="1">F41</f>
        <v>39.32</v>
      </c>
      <c r="O69" s="1419" t="s">
        <v>411</v>
      </c>
      <c r="P69" s="1458" t="s">
        <v>872</v>
      </c>
      <c r="Q69" s="1411">
        <f ca="1">C39</f>
        <v>1145</v>
      </c>
      <c r="R69" s="1411" t="s">
        <v>818</v>
      </c>
    </row>
    <row r="70" spans="1:18" s="1375" customFormat="1" ht="13.5" thickBot="1">
      <c r="A70" s="945"/>
      <c r="B70" s="946"/>
      <c r="C70" s="304"/>
      <c r="D70" s="957"/>
      <c r="E70" s="941" t="s">
        <v>766</v>
      </c>
      <c r="F70" s="1045"/>
      <c r="O70" s="1419" t="s">
        <v>412</v>
      </c>
      <c r="P70" s="1458" t="s">
        <v>873</v>
      </c>
      <c r="Q70" s="1411">
        <f ca="1">C13</f>
        <v>9994</v>
      </c>
      <c r="R70" s="1411" t="s">
        <v>818</v>
      </c>
    </row>
    <row r="71" spans="1:18" s="1375" customFormat="1" ht="13.5" thickBot="1">
      <c r="A71" s="962" t="s">
        <v>396</v>
      </c>
      <c r="B71" s="963" t="s">
        <v>776</v>
      </c>
      <c r="C71" s="330">
        <f ca="1">ROUND(C68*10000/F71,0)</f>
        <v>-534</v>
      </c>
      <c r="D71" s="964" t="s">
        <v>777</v>
      </c>
      <c r="E71" s="965" t="s">
        <v>778</v>
      </c>
      <c r="F71" s="333">
        <f ca="1">F43</f>
        <v>34367.43</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700</v>
      </c>
      <c r="D75" s="1375"/>
      <c r="E75" s="1375"/>
      <c r="F75" s="1375"/>
      <c r="K75" s="1393"/>
      <c r="L75" s="1375"/>
      <c r="O75" s="1409" t="s">
        <v>409</v>
      </c>
      <c r="P75" s="1410" t="s">
        <v>838</v>
      </c>
      <c r="Q75" s="1411">
        <f ca="1">Q65+Q66</f>
        <v>24032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0.38900000000000001</v>
      </c>
    </row>
    <row r="80" spans="1:18">
      <c r="B80" s="334" t="s">
        <v>800</v>
      </c>
      <c r="C80" s="268">
        <f ca="1">ROUND(C75/C39,3)</f>
        <v>0.61099999999999999</v>
      </c>
    </row>
    <row r="81" spans="2:3">
      <c r="B81" s="264" t="s">
        <v>801</v>
      </c>
      <c r="C81" s="232"/>
    </row>
    <row r="82" spans="2:3">
      <c r="B82" s="267" t="s">
        <v>802</v>
      </c>
      <c r="C82" s="269">
        <f ca="1">1-C83</f>
        <v>0.58400000000000007</v>
      </c>
    </row>
    <row r="83" spans="2:3">
      <c r="B83" s="267" t="s">
        <v>803</v>
      </c>
      <c r="C83" s="268">
        <f ca="1">ROUND(C13/C40,3)</f>
        <v>0.41599999999999998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67" t="s">
        <v>694</v>
      </c>
      <c r="C6" s="1065">
        <f ca="1">ROUND(F6*F8*F7*(1-F9),0)</f>
        <v>0</v>
      </c>
      <c r="D6" s="149" t="s">
        <v>2106</v>
      </c>
      <c r="E6" s="296" t="s">
        <v>696</v>
      </c>
      <c r="F6" s="297">
        <f ca="1">INDIRECT("'数据-取费表'!u"&amp;$G$1)</f>
        <v>0</v>
      </c>
      <c r="G6" s="1375"/>
      <c r="H6" s="1060" t="s">
        <v>398</v>
      </c>
      <c r="I6" s="3767" t="s">
        <v>694</v>
      </c>
      <c r="J6" s="295">
        <f ca="1">ROUND(M6*M8*M7*(1-M9),0)</f>
        <v>0</v>
      </c>
      <c r="K6" s="1367" t="s">
        <v>2107</v>
      </c>
      <c r="L6" s="296" t="s">
        <v>696</v>
      </c>
      <c r="M6" s="297">
        <f ca="1">INDIRECT("'数据-取费表'!z"&amp;$G$1)</f>
        <v>0</v>
      </c>
    </row>
    <row r="7" spans="1:37" ht="18" customHeight="1">
      <c r="A7" s="1064"/>
      <c r="B7" s="3768"/>
      <c r="C7" s="1066"/>
      <c r="D7" s="301"/>
      <c r="E7" s="1067" t="s">
        <v>697</v>
      </c>
      <c r="F7" s="297">
        <f ca="1">IF(INDIRECT("'数据-取费表'!ah"&amp;$G$1)="",INDIRECT("'数据-取费表'!k"&amp;$G$1),INDIRECT("'数据-取费表'!ah"&amp;$G$1))</f>
        <v>0</v>
      </c>
      <c r="G7" s="1375"/>
      <c r="H7" s="298"/>
      <c r="I7" s="3768"/>
      <c r="J7" s="300"/>
      <c r="K7" s="301"/>
      <c r="L7" s="296" t="s">
        <v>697</v>
      </c>
      <c r="M7" s="297">
        <f ca="1">F7</f>
        <v>0</v>
      </c>
    </row>
    <row r="8" spans="1:37" ht="18" customHeight="1">
      <c r="A8" s="298"/>
      <c r="B8" s="3768"/>
      <c r="C8" s="300"/>
      <c r="D8" s="301"/>
      <c r="E8" s="296" t="s">
        <v>698</v>
      </c>
      <c r="F8" s="297">
        <f ca="1">INDIRECT("'数据-取费表'!ai"&amp;$G$1)</f>
        <v>0</v>
      </c>
      <c r="G8" s="1375"/>
      <c r="H8" s="298"/>
      <c r="I8" s="3768"/>
      <c r="J8" s="300"/>
      <c r="K8" s="301"/>
      <c r="L8" s="296" t="s">
        <v>698</v>
      </c>
      <c r="M8" s="297">
        <f ca="1">INDIRECT("'数据-取费表'!ai"&amp;$G$1)</f>
        <v>0</v>
      </c>
    </row>
    <row r="9" spans="1:37" ht="18" customHeight="1">
      <c r="A9" s="298"/>
      <c r="B9" s="3769"/>
      <c r="C9" s="300"/>
      <c r="D9" s="301"/>
      <c r="E9" s="296" t="s">
        <v>699</v>
      </c>
      <c r="F9" s="306">
        <f ca="1">INDIRECT("'数据-取费表'!w"&amp;$G$1)</f>
        <v>0</v>
      </c>
      <c r="G9" s="1375"/>
      <c r="H9" s="298"/>
      <c r="I9" s="376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3334</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3334</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1.5</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3350</v>
      </c>
      <c r="B45" s="1391"/>
      <c r="C45" s="1463" t="e">
        <f ca="1">ROUND((C68-C40)/10000,4)</f>
        <v>#DIV/0!</v>
      </c>
      <c r="D45" s="3419" t="s">
        <v>3351</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65" t="s">
        <v>837</v>
      </c>
      <c r="L53" s="3766"/>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3334</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15" customHeight="1">
      <c r="A2" s="1376" t="s">
        <v>2315</v>
      </c>
      <c r="B2" s="2830" t="e">
        <f>IF(D2="——",C40,C40+E2)</f>
        <v>#DIV/0!</v>
      </c>
      <c r="C2" s="2831" t="s">
        <v>2316</v>
      </c>
      <c r="D2" s="3430" t="s">
        <v>3357</v>
      </c>
      <c r="E2" s="3431"/>
      <c r="F2" s="2833"/>
      <c r="G2" s="2834"/>
      <c r="H2" s="2835"/>
      <c r="I2" s="2836"/>
      <c r="J2" s="3776" t="s">
        <v>2317</v>
      </c>
      <c r="K2" s="3777"/>
      <c r="L2" s="2837" t="s">
        <v>2318</v>
      </c>
      <c r="M2" s="2837" t="s">
        <v>2319</v>
      </c>
      <c r="N2" s="2837" t="s">
        <v>2320</v>
      </c>
      <c r="O2" s="2837" t="s">
        <v>2321</v>
      </c>
      <c r="P2" s="2837" t="s">
        <v>2322</v>
      </c>
      <c r="Q2" s="2838" t="s">
        <v>2323</v>
      </c>
      <c r="R2" s="2839" t="s">
        <v>2324</v>
      </c>
      <c r="S2" s="2828"/>
      <c r="T2" s="2828"/>
      <c r="U2" s="2828"/>
      <c r="V2" s="2836"/>
    </row>
    <row r="3" spans="1:22" s="2840" customFormat="1" ht="13.15" customHeight="1">
      <c r="A3" s="2841" t="s">
        <v>2325</v>
      </c>
      <c r="B3" s="2842" t="e">
        <f>ROUND(B2*10000/B4,0)</f>
        <v>#DIV/0!</v>
      </c>
      <c r="C3" s="2831" t="s">
        <v>2326</v>
      </c>
      <c r="D3" s="2831"/>
      <c r="E3" s="2832"/>
      <c r="F3" s="2833"/>
      <c r="G3" s="2834"/>
      <c r="H3" s="2835"/>
      <c r="I3" s="2836"/>
      <c r="J3" s="3778" t="s">
        <v>2327</v>
      </c>
      <c r="K3" s="3779"/>
      <c r="L3" s="2843"/>
      <c r="M3" s="2843"/>
      <c r="N3" s="2843"/>
      <c r="O3" s="2843"/>
      <c r="P3" s="2843"/>
      <c r="Q3" s="2844"/>
      <c r="R3" s="2845">
        <f>SUM(L3:Q3)</f>
        <v>0</v>
      </c>
      <c r="S3" s="2828"/>
      <c r="T3" s="2828"/>
      <c r="U3" s="2828"/>
      <c r="V3" s="2836"/>
    </row>
    <row r="4" spans="1:22" s="2840" customFormat="1" ht="13.15" customHeight="1">
      <c r="A4" s="2846" t="s">
        <v>2328</v>
      </c>
      <c r="B4" s="2847"/>
      <c r="C4" s="2831"/>
      <c r="D4" s="2831"/>
      <c r="E4" s="2832"/>
      <c r="F4" s="2833"/>
      <c r="G4" s="2834"/>
      <c r="H4" s="2835"/>
      <c r="I4" s="2836"/>
      <c r="J4" s="3778" t="s">
        <v>2329</v>
      </c>
      <c r="K4" s="3779"/>
      <c r="L4" s="2848"/>
      <c r="M4" s="2848"/>
      <c r="N4" s="2848"/>
      <c r="O4" s="2848"/>
      <c r="P4" s="2848"/>
      <c r="Q4" s="2849"/>
      <c r="R4" s="2850">
        <f>SUM(L4:Q4)</f>
        <v>0</v>
      </c>
      <c r="S4" s="2828"/>
      <c r="T4" s="2828"/>
      <c r="U4" s="2828"/>
      <c r="V4" s="2836"/>
    </row>
    <row r="5" spans="1:22" s="2840" customFormat="1" ht="13.15"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15" customHeight="1" thickBot="1">
      <c r="A6" s="3784" t="s">
        <v>2333</v>
      </c>
      <c r="B6" s="3785"/>
      <c r="C6" s="3786"/>
      <c r="D6" s="2857"/>
      <c r="E6" s="2858"/>
      <c r="F6" s="2859"/>
      <c r="G6" s="2860"/>
      <c r="H6" s="2835"/>
      <c r="I6" s="2836"/>
      <c r="J6" s="3770">
        <v>1</v>
      </c>
      <c r="K6" s="3771"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15" customHeight="1">
      <c r="A7" s="2863" t="s">
        <v>2343</v>
      </c>
      <c r="B7" s="2864"/>
      <c r="C7" s="2865"/>
      <c r="D7" s="2866">
        <f>SUM(D9,D10,D11,D17,0)</f>
        <v>0</v>
      </c>
      <c r="E7" s="2867" t="e">
        <f>E9+E10+E11+E17</f>
        <v>#DIV/0!</v>
      </c>
      <c r="F7" s="2868"/>
      <c r="G7" s="2869"/>
      <c r="H7" s="2835"/>
      <c r="I7" s="2836"/>
      <c r="J7" s="3770"/>
      <c r="K7" s="3772"/>
      <c r="L7" s="2870" t="s">
        <v>2344</v>
      </c>
      <c r="M7" s="2871"/>
      <c r="N7" s="2847"/>
      <c r="O7" s="2872"/>
      <c r="P7" s="2872"/>
      <c r="Q7" s="2873">
        <v>365</v>
      </c>
      <c r="R7" s="2874">
        <f>ROUND(M7*N7*O7*P7*Q7/10000,0)</f>
        <v>0</v>
      </c>
      <c r="S7" s="2828"/>
      <c r="T7" s="2828" t="s">
        <v>2345</v>
      </c>
      <c r="U7" s="2828"/>
      <c r="V7" s="2836"/>
    </row>
    <row r="8" spans="1:22" s="2840" customFormat="1" ht="13.15" customHeight="1">
      <c r="A8" s="2875" t="s">
        <v>2346</v>
      </c>
      <c r="B8" s="3787" t="s">
        <v>2347</v>
      </c>
      <c r="C8" s="3788"/>
      <c r="D8" s="2876" t="s">
        <v>2348</v>
      </c>
      <c r="E8" s="2877" t="s">
        <v>2349</v>
      </c>
      <c r="F8" s="2878" t="s">
        <v>2350</v>
      </c>
      <c r="G8" s="2879"/>
      <c r="H8" s="2835"/>
      <c r="I8" s="2836"/>
      <c r="J8" s="3770"/>
      <c r="K8" s="3772"/>
      <c r="L8" s="2870" t="s">
        <v>2351</v>
      </c>
      <c r="M8" s="2871"/>
      <c r="N8" s="2847"/>
      <c r="O8" s="2872"/>
      <c r="P8" s="2872"/>
      <c r="Q8" s="2873">
        <v>365</v>
      </c>
      <c r="R8" s="2874">
        <f t="shared" ref="R8:R13" si="0">ROUND(M8*N8*O8*P8*Q8/10000,0)</f>
        <v>0</v>
      </c>
      <c r="S8" s="2828"/>
      <c r="T8" s="2828" t="s">
        <v>2352</v>
      </c>
      <c r="U8" s="2828"/>
      <c r="V8" s="2836"/>
    </row>
    <row r="9" spans="1:22" s="2840" customFormat="1" ht="13.15" customHeight="1">
      <c r="A9" s="2875">
        <v>1</v>
      </c>
      <c r="B9" s="3787" t="s">
        <v>2353</v>
      </c>
      <c r="C9" s="3788"/>
      <c r="D9" s="2876">
        <f>ROUND(D6*E9,0)</f>
        <v>0</v>
      </c>
      <c r="E9" s="2880"/>
      <c r="F9" s="2881" t="s">
        <v>2354</v>
      </c>
      <c r="G9" s="2860"/>
      <c r="H9" s="2835"/>
      <c r="I9" s="2836"/>
      <c r="J9" s="3770"/>
      <c r="K9" s="3772"/>
      <c r="L9" s="2870" t="s">
        <v>2355</v>
      </c>
      <c r="M9" s="2871"/>
      <c r="N9" s="2847"/>
      <c r="O9" s="2872"/>
      <c r="P9" s="2872"/>
      <c r="Q9" s="2873">
        <v>365</v>
      </c>
      <c r="R9" s="2874">
        <f t="shared" si="0"/>
        <v>0</v>
      </c>
      <c r="S9" s="2828"/>
      <c r="T9" s="2828"/>
      <c r="U9" s="2828"/>
      <c r="V9" s="2836"/>
    </row>
    <row r="10" spans="1:22" s="2840" customFormat="1" ht="13.15" customHeight="1">
      <c r="A10" s="2875">
        <v>2</v>
      </c>
      <c r="B10" s="3787" t="s">
        <v>2356</v>
      </c>
      <c r="C10" s="3788"/>
      <c r="D10" s="2876">
        <f>ROUND(D6*E10,0)</f>
        <v>0</v>
      </c>
      <c r="E10" s="2880"/>
      <c r="F10" s="2881" t="s">
        <v>2357</v>
      </c>
      <c r="G10" s="2860"/>
      <c r="H10" s="2835"/>
      <c r="I10" s="2836"/>
      <c r="J10" s="3770"/>
      <c r="K10" s="3772"/>
      <c r="L10" s="2870" t="s">
        <v>2358</v>
      </c>
      <c r="M10" s="2871"/>
      <c r="N10" s="2847"/>
      <c r="O10" s="2872"/>
      <c r="P10" s="2872"/>
      <c r="Q10" s="2873">
        <v>365</v>
      </c>
      <c r="R10" s="2874">
        <f t="shared" si="0"/>
        <v>0</v>
      </c>
      <c r="S10" s="2828"/>
      <c r="T10" s="2828"/>
      <c r="U10" s="2828"/>
      <c r="V10" s="2836"/>
    </row>
    <row r="11" spans="1:22" s="2840" customFormat="1" ht="13.15" customHeight="1">
      <c r="A11" s="2875">
        <v>3</v>
      </c>
      <c r="B11" s="3787" t="s">
        <v>2359</v>
      </c>
      <c r="C11" s="3788"/>
      <c r="D11" s="2876">
        <f>D12+D14+D15+D16</f>
        <v>0</v>
      </c>
      <c r="E11" s="2882" t="e">
        <f>D11/D6</f>
        <v>#DIV/0!</v>
      </c>
      <c r="F11" s="2878"/>
      <c r="G11" s="2879"/>
      <c r="H11" s="2835"/>
      <c r="I11" s="2836"/>
      <c r="J11" s="3770"/>
      <c r="K11" s="3772"/>
      <c r="L11" s="2870" t="s">
        <v>2360</v>
      </c>
      <c r="M11" s="2871"/>
      <c r="N11" s="2847"/>
      <c r="O11" s="2872"/>
      <c r="P11" s="2872"/>
      <c r="Q11" s="2873">
        <v>365</v>
      </c>
      <c r="R11" s="2874">
        <f t="shared" si="0"/>
        <v>0</v>
      </c>
      <c r="S11" s="2828"/>
      <c r="T11" s="2828"/>
      <c r="U11" s="2828"/>
      <c r="V11" s="2836"/>
    </row>
    <row r="12" spans="1:22" s="2840" customFormat="1" ht="13.15" customHeight="1">
      <c r="A12" s="2883" t="s">
        <v>2361</v>
      </c>
      <c r="B12" s="3780" t="s">
        <v>2362</v>
      </c>
      <c r="C12" s="3781"/>
      <c r="D12" s="2884">
        <f>ROUND(D13*1.2%*(1-30%),0)</f>
        <v>0</v>
      </c>
      <c r="E12" s="2885">
        <v>1.2E-2</v>
      </c>
      <c r="F12" s="2878" t="s">
        <v>2363</v>
      </c>
      <c r="G12" s="2879"/>
      <c r="H12" s="2835"/>
      <c r="I12" s="2836"/>
      <c r="J12" s="3770"/>
      <c r="K12" s="3772"/>
      <c r="L12" s="2870" t="s">
        <v>2364</v>
      </c>
      <c r="M12" s="2871"/>
      <c r="N12" s="2847"/>
      <c r="O12" s="2872"/>
      <c r="P12" s="2872"/>
      <c r="Q12" s="2873">
        <v>365</v>
      </c>
      <c r="R12" s="2874">
        <f t="shared" si="0"/>
        <v>0</v>
      </c>
      <c r="S12" s="2828"/>
      <c r="T12" s="2828"/>
      <c r="U12" s="2828"/>
      <c r="V12" s="2836"/>
    </row>
    <row r="13" spans="1:22" s="2840" customFormat="1" ht="13.15" customHeight="1">
      <c r="A13" s="2883"/>
      <c r="B13" s="2886"/>
      <c r="C13" s="2887" t="s">
        <v>2365</v>
      </c>
      <c r="D13" s="2888"/>
      <c r="E13" s="2889"/>
      <c r="F13" s="2878"/>
      <c r="G13" s="2879"/>
      <c r="H13" s="2835"/>
      <c r="I13" s="2836"/>
      <c r="J13" s="3770"/>
      <c r="K13" s="3772"/>
      <c r="L13" s="2870" t="s">
        <v>2366</v>
      </c>
      <c r="M13" s="2871"/>
      <c r="N13" s="2847"/>
      <c r="O13" s="2872"/>
      <c r="P13" s="2872"/>
      <c r="Q13" s="2873">
        <v>365</v>
      </c>
      <c r="R13" s="2874">
        <f t="shared" si="0"/>
        <v>0</v>
      </c>
      <c r="S13" s="2828"/>
      <c r="T13" s="2828"/>
      <c r="U13" s="2828"/>
      <c r="V13" s="2836"/>
    </row>
    <row r="14" spans="1:22" s="2840" customFormat="1" ht="13.15" customHeight="1">
      <c r="A14" s="2883" t="s">
        <v>2367</v>
      </c>
      <c r="B14" s="3780" t="s">
        <v>2368</v>
      </c>
      <c r="C14" s="3781"/>
      <c r="D14" s="2884">
        <f>ROUND(E14*B5/10000,0)</f>
        <v>0</v>
      </c>
      <c r="E14" s="2873"/>
      <c r="F14" s="2878" t="s">
        <v>2369</v>
      </c>
      <c r="G14" s="2879"/>
      <c r="H14" s="2835"/>
      <c r="I14" s="2836"/>
      <c r="J14" s="3770"/>
      <c r="K14" s="3773"/>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2371</v>
      </c>
      <c r="B15" s="3780" t="s">
        <v>2372</v>
      </c>
      <c r="C15" s="3781"/>
      <c r="D15" s="2884">
        <f>ROUND(D6*E15,0)</f>
        <v>0</v>
      </c>
      <c r="E15" s="2885">
        <v>5.5E-2</v>
      </c>
      <c r="F15" s="2878" t="s">
        <v>2373</v>
      </c>
      <c r="G15" s="2860"/>
      <c r="H15" s="2835"/>
      <c r="I15" s="2836"/>
      <c r="J15" s="3770">
        <v>2</v>
      </c>
      <c r="K15" s="3771"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15" customHeight="1">
      <c r="A16" s="2883" t="s">
        <v>2380</v>
      </c>
      <c r="B16" s="3780" t="s">
        <v>2381</v>
      </c>
      <c r="C16" s="3781"/>
      <c r="D16" s="2895">
        <f>D6*E16</f>
        <v>0</v>
      </c>
      <c r="E16" s="2896"/>
      <c r="F16" s="2881" t="s">
        <v>2382</v>
      </c>
      <c r="G16" s="2860"/>
      <c r="H16" s="2835"/>
      <c r="I16" s="2836"/>
      <c r="J16" s="3770"/>
      <c r="K16" s="3772"/>
      <c r="L16" s="2870" t="s">
        <v>2383</v>
      </c>
      <c r="M16" s="2871"/>
      <c r="N16" s="2871"/>
      <c r="O16" s="2872"/>
      <c r="P16" s="2873">
        <v>365</v>
      </c>
      <c r="Q16" s="2847"/>
      <c r="R16" s="2894">
        <f>ROUND(M16*N16*O16*P16/10000,0)</f>
        <v>0</v>
      </c>
      <c r="S16" s="2828"/>
      <c r="T16" s="2828"/>
      <c r="U16" s="2828"/>
      <c r="V16" s="2836"/>
    </row>
    <row r="17" spans="1:22" s="2840" customFormat="1" ht="13.15" customHeight="1" thickBot="1">
      <c r="A17" s="2897">
        <v>4</v>
      </c>
      <c r="B17" s="3782" t="s">
        <v>2384</v>
      </c>
      <c r="C17" s="3783"/>
      <c r="D17" s="2898">
        <f>ROUND(D6*E17,0)</f>
        <v>0</v>
      </c>
      <c r="E17" s="2899"/>
      <c r="F17" s="2900" t="s">
        <v>2385</v>
      </c>
      <c r="G17" s="2860"/>
      <c r="H17" s="2835"/>
      <c r="I17" s="2836"/>
      <c r="J17" s="3770"/>
      <c r="K17" s="3772"/>
      <c r="L17" s="2870" t="s">
        <v>2386</v>
      </c>
      <c r="M17" s="2871"/>
      <c r="N17" s="2871"/>
      <c r="O17" s="2872"/>
      <c r="P17" s="2873">
        <v>365</v>
      </c>
      <c r="Q17" s="2847"/>
      <c r="R17" s="2894">
        <f>ROUND(M17*N17*O17*P17/10000,0)</f>
        <v>0</v>
      </c>
      <c r="S17" s="2828"/>
      <c r="T17" s="2828"/>
      <c r="U17" s="2828"/>
      <c r="V17" s="2836"/>
    </row>
    <row r="18" spans="1:22" s="2840" customFormat="1" ht="13.15" customHeight="1" thickBot="1">
      <c r="A18" s="2863" t="s">
        <v>2387</v>
      </c>
      <c r="B18" s="2864"/>
      <c r="C18" s="2864"/>
      <c r="D18" s="2901">
        <f>ROUND(D6*E18,0)</f>
        <v>0</v>
      </c>
      <c r="E18" s="2902"/>
      <c r="F18" s="2903" t="s">
        <v>2388</v>
      </c>
      <c r="G18" s="2860"/>
      <c r="H18" s="2835"/>
      <c r="I18" s="2836"/>
      <c r="J18" s="3770"/>
      <c r="K18" s="3772"/>
      <c r="L18" s="2870" t="s">
        <v>2389</v>
      </c>
      <c r="M18" s="2871"/>
      <c r="N18" s="2871"/>
      <c r="O18" s="2872"/>
      <c r="P18" s="2873">
        <v>365</v>
      </c>
      <c r="Q18" s="2847"/>
      <c r="R18" s="2894">
        <f>ROUND(M18*N18*O18*P18/10000,0)</f>
        <v>0</v>
      </c>
      <c r="S18" s="2828"/>
      <c r="T18" s="2828"/>
      <c r="U18" s="2828"/>
      <c r="V18" s="2836"/>
    </row>
    <row r="19" spans="1:22" s="2840" customFormat="1" ht="13.15" customHeight="1" thickBot="1">
      <c r="A19" s="2904" t="s">
        <v>2390</v>
      </c>
      <c r="B19" s="2858"/>
      <c r="C19" s="2858"/>
      <c r="D19" s="2858"/>
      <c r="E19" s="2858"/>
      <c r="F19" s="2859"/>
      <c r="G19" s="2879"/>
      <c r="H19" s="2835"/>
      <c r="I19" s="2836"/>
      <c r="J19" s="3770"/>
      <c r="K19" s="3773"/>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70">
        <v>3</v>
      </c>
      <c r="K20" s="3771"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15" customHeight="1">
      <c r="A21" s="2863"/>
      <c r="B21" s="2864"/>
      <c r="C21" s="2910" t="s">
        <v>2399</v>
      </c>
      <c r="D21" s="2911" t="s">
        <v>2400</v>
      </c>
      <c r="E21" s="2912" t="s">
        <v>2401</v>
      </c>
      <c r="F21" s="2907"/>
      <c r="G21" s="2879"/>
      <c r="H21" s="2835"/>
      <c r="I21" s="2836"/>
      <c r="J21" s="3770"/>
      <c r="K21" s="3772"/>
      <c r="L21" s="2870" t="s">
        <v>2402</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2403</v>
      </c>
      <c r="D22" s="2915" t="s">
        <v>2404</v>
      </c>
      <c r="E22" s="2916" t="s">
        <v>2405</v>
      </c>
      <c r="F22" s="2907"/>
      <c r="G22" s="2917"/>
      <c r="H22" s="2835"/>
      <c r="I22" s="2836"/>
      <c r="J22" s="3770"/>
      <c r="K22" s="3772"/>
      <c r="L22" s="2870" t="s">
        <v>2406</v>
      </c>
      <c r="M22" s="2871"/>
      <c r="N22" s="2871"/>
      <c r="O22" s="2872"/>
      <c r="P22" s="2873">
        <v>365</v>
      </c>
      <c r="Q22" s="2847"/>
      <c r="R22" s="2913">
        <f>ROUND(M22*N22*O22*P22/10000,0)</f>
        <v>0</v>
      </c>
      <c r="S22" s="2909"/>
      <c r="T22" s="2909"/>
      <c r="U22" s="2909"/>
      <c r="V22" s="2836"/>
    </row>
    <row r="23" spans="1:22" s="2840" customFormat="1" ht="13.15" customHeight="1">
      <c r="A23" s="2918">
        <v>1</v>
      </c>
      <c r="B23" s="2919" t="s">
        <v>2407</v>
      </c>
      <c r="C23" s="2920">
        <f>D6</f>
        <v>0</v>
      </c>
      <c r="D23" s="2921">
        <f>C23*(1+D24)</f>
        <v>0</v>
      </c>
      <c r="E23" s="2922">
        <f>D23*(1+E24)</f>
        <v>0</v>
      </c>
      <c r="F23" s="2923"/>
      <c r="G23" s="2924"/>
      <c r="H23" s="2835"/>
      <c r="I23" s="2836"/>
      <c r="J23" s="3770"/>
      <c r="K23" s="3772"/>
      <c r="L23" s="2870" t="s">
        <v>2408</v>
      </c>
      <c r="M23" s="2871"/>
      <c r="N23" s="2871"/>
      <c r="O23" s="2872"/>
      <c r="P23" s="2873">
        <v>365</v>
      </c>
      <c r="Q23" s="2847"/>
      <c r="R23" s="2913">
        <f>ROUND(M23*N23*O23*P23/10000,0)</f>
        <v>0</v>
      </c>
      <c r="S23" s="2828"/>
      <c r="T23" s="2828"/>
      <c r="U23" s="2828"/>
      <c r="V23" s="2836"/>
    </row>
    <row r="24" spans="1:22" s="2840" customFormat="1" ht="13.15" customHeight="1">
      <c r="A24" s="2925"/>
      <c r="B24" s="2926" t="s">
        <v>2409</v>
      </c>
      <c r="C24" s="2927"/>
      <c r="D24" s="2928"/>
      <c r="E24" s="2929"/>
      <c r="F24" s="2930"/>
      <c r="G24" s="2924"/>
      <c r="H24" s="2835"/>
      <c r="I24" s="2836"/>
      <c r="J24" s="3770"/>
      <c r="K24" s="3773"/>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15" customHeight="1">
      <c r="A26" s="2918">
        <v>2</v>
      </c>
      <c r="B26" s="2919" t="s">
        <v>2411</v>
      </c>
      <c r="C26" s="2920">
        <f>D7</f>
        <v>0</v>
      </c>
      <c r="D26" s="2921">
        <f>D23*D27</f>
        <v>0</v>
      </c>
      <c r="E26" s="2922">
        <f>E23*E27</f>
        <v>0</v>
      </c>
      <c r="F26" s="2923"/>
      <c r="G26" s="2924"/>
      <c r="H26" s="2835"/>
      <c r="I26" s="2836"/>
      <c r="J26" s="3774">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15" customHeight="1">
      <c r="A27" s="2925"/>
      <c r="B27" s="2926" t="s">
        <v>2417</v>
      </c>
      <c r="C27" s="2944" t="e">
        <f>E7</f>
        <v>#DIV/0!</v>
      </c>
      <c r="D27" s="2928"/>
      <c r="E27" s="2929"/>
      <c r="F27" s="2930"/>
      <c r="G27" s="2924"/>
      <c r="H27" s="2945"/>
      <c r="I27" s="2936"/>
      <c r="J27" s="3775"/>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15"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15" customHeight="1">
      <c r="A32" s="2918">
        <v>4</v>
      </c>
      <c r="B32" s="2919" t="s">
        <v>2425</v>
      </c>
      <c r="C32" s="2920">
        <f>C23-C26-C29</f>
        <v>0</v>
      </c>
      <c r="D32" s="2921">
        <f>D23-D26-D29</f>
        <v>0</v>
      </c>
      <c r="E32" s="2922">
        <f>E23-E26-E29</f>
        <v>0</v>
      </c>
      <c r="F32" s="2923"/>
      <c r="G32" s="2917"/>
      <c r="H32" s="2835"/>
      <c r="I32" s="2836"/>
      <c r="J32" s="3776" t="s">
        <v>2317</v>
      </c>
      <c r="K32" s="3777"/>
      <c r="L32" s="2837" t="s">
        <v>2318</v>
      </c>
      <c r="M32" s="2837" t="s">
        <v>2319</v>
      </c>
      <c r="N32" s="2837" t="s">
        <v>2320</v>
      </c>
      <c r="O32" s="2837" t="s">
        <v>2321</v>
      </c>
      <c r="P32" s="2837" t="s">
        <v>2322</v>
      </c>
      <c r="Q32" s="2838" t="s">
        <v>2323</v>
      </c>
      <c r="R32" s="2960" t="s">
        <v>2324</v>
      </c>
      <c r="S32" s="2909"/>
      <c r="T32" s="2828"/>
      <c r="U32" s="2828"/>
      <c r="V32" s="2936"/>
    </row>
    <row r="33" spans="1:23" s="2840" customFormat="1" ht="13.15" customHeight="1">
      <c r="A33" s="2918"/>
      <c r="B33" s="2919"/>
      <c r="C33" s="2920"/>
      <c r="D33" s="2961"/>
      <c r="E33" s="2962"/>
      <c r="F33" s="2923"/>
      <c r="G33" s="2917"/>
      <c r="H33" s="2945"/>
      <c r="I33" s="2936"/>
      <c r="J33" s="3778" t="s">
        <v>2327</v>
      </c>
      <c r="K33" s="3779"/>
      <c r="L33" s="2843"/>
      <c r="M33" s="2843"/>
      <c r="N33" s="2843"/>
      <c r="O33" s="2843"/>
      <c r="P33" s="2843"/>
      <c r="Q33" s="2844"/>
      <c r="R33" s="2963">
        <f>SUM(L33:Q33)</f>
        <v>0</v>
      </c>
      <c r="S33" s="2909"/>
      <c r="T33" s="2828"/>
      <c r="U33" s="2828"/>
      <c r="V33" s="2836"/>
    </row>
    <row r="34" spans="1:23" s="2840" customFormat="1" ht="13.15" customHeight="1">
      <c r="A34" s="2918">
        <v>5</v>
      </c>
      <c r="B34" s="2919" t="s">
        <v>2426</v>
      </c>
      <c r="C34" s="2964"/>
      <c r="D34" s="2965"/>
      <c r="E34" s="2966"/>
      <c r="F34" s="2923"/>
      <c r="G34" s="2917"/>
      <c r="H34" s="2945"/>
      <c r="I34" s="2936"/>
      <c r="J34" s="3778" t="s">
        <v>2329</v>
      </c>
      <c r="K34" s="3779"/>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15" customHeight="1" thickBot="1">
      <c r="A36" s="2918">
        <v>7</v>
      </c>
      <c r="B36" s="2973" t="s">
        <v>2428</v>
      </c>
      <c r="C36" s="2974"/>
      <c r="D36" s="2975"/>
      <c r="E36" s="2976"/>
      <c r="F36" s="2977">
        <f>C36+D36+E36</f>
        <v>0</v>
      </c>
      <c r="G36" s="2917"/>
      <c r="H36" s="2835"/>
      <c r="I36" s="2836"/>
      <c r="J36" s="3770">
        <v>1</v>
      </c>
      <c r="K36" s="3771" t="s">
        <v>2429</v>
      </c>
      <c r="L36" s="2861"/>
      <c r="M36" s="2862"/>
      <c r="N36" s="2862"/>
      <c r="O36" s="2862"/>
      <c r="P36" s="2862"/>
      <c r="Q36" s="2862"/>
      <c r="R36" s="2845" t="s">
        <v>2341</v>
      </c>
      <c r="S36" s="2909"/>
      <c r="T36" s="2828" t="s">
        <v>2342</v>
      </c>
      <c r="U36" s="2828"/>
      <c r="V36" s="2836"/>
    </row>
    <row r="37" spans="1:23" s="2840" customFormat="1" ht="13.15" customHeight="1">
      <c r="A37" s="2918"/>
      <c r="B37" s="2919"/>
      <c r="C37" s="2919"/>
      <c r="D37" s="2919"/>
      <c r="E37" s="2919"/>
      <c r="F37" s="2923"/>
      <c r="G37" s="2917"/>
      <c r="H37" s="2835"/>
      <c r="I37" s="2836"/>
      <c r="J37" s="3770"/>
      <c r="K37" s="3772"/>
      <c r="L37" s="2870"/>
      <c r="M37" s="2871"/>
      <c r="N37" s="2847"/>
      <c r="O37" s="2872"/>
      <c r="P37" s="2872"/>
      <c r="Q37" s="2873"/>
      <c r="R37" s="2874"/>
      <c r="S37" s="2909"/>
      <c r="T37" s="2828" t="s">
        <v>2345</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70"/>
      <c r="K38" s="3772"/>
      <c r="L38" s="2870"/>
      <c r="M38" s="2871"/>
      <c r="N38" s="2847"/>
      <c r="O38" s="2872"/>
      <c r="P38" s="2872"/>
      <c r="Q38" s="2873"/>
      <c r="R38" s="2874"/>
      <c r="S38" s="2909"/>
      <c r="T38" s="2828" t="s">
        <v>2352</v>
      </c>
      <c r="U38" s="2828"/>
      <c r="V38" s="2836"/>
    </row>
    <row r="39" spans="1:23" s="2840" customFormat="1" ht="13.15" customHeight="1">
      <c r="A39" s="2918">
        <v>9</v>
      </c>
      <c r="B39" s="2919" t="s">
        <v>2430</v>
      </c>
      <c r="C39" s="2884" t="e">
        <f>C38</f>
        <v>#DIV/0!</v>
      </c>
      <c r="D39" s="2919">
        <f>D38/(1+D34)^C36</f>
        <v>0</v>
      </c>
      <c r="E39" s="2919">
        <f>E38/(1+E34)^(C36+D36)</f>
        <v>0</v>
      </c>
      <c r="F39" s="2923"/>
      <c r="G39" s="2978"/>
      <c r="H39" s="2835"/>
      <c r="I39" s="2836"/>
      <c r="J39" s="3770"/>
      <c r="K39" s="3772"/>
      <c r="L39" s="2870"/>
      <c r="M39" s="2871"/>
      <c r="N39" s="2847"/>
      <c r="O39" s="2872"/>
      <c r="P39" s="2872"/>
      <c r="Q39" s="2873"/>
      <c r="R39" s="2874"/>
      <c r="S39" s="2909"/>
      <c r="T39" s="2828"/>
      <c r="U39" s="2828"/>
      <c r="V39" s="2836"/>
    </row>
    <row r="40" spans="1:23" s="2840" customFormat="1" ht="13.15" customHeight="1">
      <c r="A40" s="2979">
        <v>10</v>
      </c>
      <c r="B40" s="2919" t="s">
        <v>2431</v>
      </c>
      <c r="C40" s="2980" t="e">
        <f>C39+D39+E39</f>
        <v>#DIV/0!</v>
      </c>
      <c r="D40" s="2981"/>
      <c r="E40" s="2981"/>
      <c r="F40" s="2982"/>
      <c r="G40" s="2917"/>
      <c r="H40" s="2835"/>
      <c r="I40" s="2836"/>
      <c r="J40" s="3770"/>
      <c r="K40" s="3773"/>
      <c r="L40" s="2890" t="s">
        <v>2370</v>
      </c>
      <c r="M40" s="2891"/>
      <c r="N40" s="2891"/>
      <c r="O40" s="2892"/>
      <c r="P40" s="2892"/>
      <c r="Q40" s="2893"/>
      <c r="R40" s="2839">
        <f>SUM(R37:R39)</f>
        <v>0</v>
      </c>
      <c r="S40" s="2909"/>
      <c r="T40" s="2828"/>
      <c r="U40" s="2828"/>
      <c r="V40" s="2836"/>
    </row>
    <row r="41" spans="1:23" s="2840" customFormat="1" ht="13.15"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15" customHeight="1">
      <c r="G42" s="2987"/>
      <c r="H42" s="2835"/>
      <c r="I42" s="2836"/>
      <c r="J42" s="3774">
        <v>3</v>
      </c>
      <c r="K42" s="2938" t="s">
        <v>2412</v>
      </c>
      <c r="L42" s="2939"/>
      <c r="M42" s="2940"/>
      <c r="N42" s="2941" t="s">
        <v>2413</v>
      </c>
      <c r="O42" s="2941" t="s">
        <v>2414</v>
      </c>
      <c r="P42" s="2942" t="s">
        <v>2415</v>
      </c>
      <c r="Q42" s="2942" t="s">
        <v>2416</v>
      </c>
      <c r="R42" s="2845" t="s">
        <v>2341</v>
      </c>
      <c r="S42" s="2943"/>
      <c r="T42" s="2943"/>
      <c r="U42" s="2828"/>
      <c r="V42" s="2836"/>
    </row>
    <row r="43" spans="1:23" ht="13.15" customHeight="1">
      <c r="A43" s="2840"/>
      <c r="B43" s="2840"/>
      <c r="C43" s="2840"/>
      <c r="D43" s="2840"/>
      <c r="E43" s="2840"/>
      <c r="F43" s="2840"/>
      <c r="I43" s="2823"/>
      <c r="J43" s="3775"/>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4"/>
      <c r="G1" s="1480"/>
      <c r="H1" s="1480"/>
      <c r="I1" s="1480"/>
      <c r="J1" s="1480"/>
      <c r="K1" s="1480"/>
      <c r="L1" s="1480"/>
      <c r="M1" s="1480"/>
      <c r="N1" s="1480"/>
      <c r="O1" s="1480"/>
      <c r="P1" s="1480"/>
      <c r="Q1" s="1480"/>
      <c r="R1" s="1480"/>
      <c r="S1" s="1480"/>
    </row>
    <row r="2" spans="1:22" ht="15.75">
      <c r="A2" s="1861" t="s">
        <v>1462</v>
      </c>
      <c r="B2" s="1862">
        <f ca="1">SUMIF(B6:B13,"&lt;&gt;#ref!",B6:B13)</f>
        <v>24323</v>
      </c>
      <c r="C2" s="1863" t="s">
        <v>1651</v>
      </c>
      <c r="D2" s="1864" t="s">
        <v>1652</v>
      </c>
      <c r="E2" s="2595">
        <f>SUM(E6:E13)</f>
        <v>34367.43</v>
      </c>
      <c r="F2" s="2694"/>
      <c r="G2" s="1480"/>
      <c r="H2" s="1480"/>
      <c r="I2" s="1480"/>
      <c r="J2" s="1480"/>
      <c r="K2" s="1480"/>
      <c r="L2" s="1480"/>
      <c r="M2" s="1480"/>
      <c r="N2" s="1480"/>
      <c r="O2" s="1480"/>
      <c r="P2" s="1480"/>
      <c r="Q2" s="1480"/>
      <c r="R2" s="1480"/>
      <c r="S2" s="1480"/>
    </row>
    <row r="3" spans="1:22" ht="15.75">
      <c r="A3" s="1861" t="s">
        <v>686</v>
      </c>
      <c r="B3" s="2589">
        <f ca="1">ROUND(B2*10000/E2,0)</f>
        <v>7077</v>
      </c>
      <c r="C3" s="1863" t="s">
        <v>1659</v>
      </c>
      <c r="D3" s="2696"/>
      <c r="E3" s="2698"/>
      <c r="F3" s="2694"/>
      <c r="G3" s="1480"/>
      <c r="H3" s="1480"/>
      <c r="I3" s="1480"/>
      <c r="J3" s="1480"/>
      <c r="K3" s="1480"/>
      <c r="L3" s="1480"/>
      <c r="M3" s="1480"/>
      <c r="N3" s="1480"/>
      <c r="O3" s="1480"/>
      <c r="P3" s="1480"/>
      <c r="Q3" s="1480"/>
      <c r="R3" s="1480"/>
      <c r="S3" s="1480"/>
    </row>
    <row r="4" spans="1:22" ht="15.75">
      <c r="A4" s="2699"/>
      <c r="B4" s="2696"/>
      <c r="C4" s="2696"/>
      <c r="D4" s="2696"/>
      <c r="E4" s="2698"/>
      <c r="F4" s="2694"/>
      <c r="G4" s="1480"/>
      <c r="H4" s="1480"/>
      <c r="I4" s="1480"/>
      <c r="J4" s="1480"/>
      <c r="K4" s="1480"/>
      <c r="L4" s="1480"/>
      <c r="M4" s="1480"/>
      <c r="N4" s="1480"/>
      <c r="O4" s="1480"/>
      <c r="P4" s="1480"/>
      <c r="Q4" s="1480"/>
      <c r="R4" s="1480"/>
      <c r="S4" s="1480"/>
    </row>
    <row r="5" spans="1:22" ht="15">
      <c r="A5" s="2591" t="s">
        <v>1653</v>
      </c>
      <c r="B5" s="3789" t="s">
        <v>1654</v>
      </c>
      <c r="C5" s="3790"/>
      <c r="D5" s="2695"/>
      <c r="E5" s="1865" t="s">
        <v>1655</v>
      </c>
      <c r="F5" s="1866" t="s">
        <v>1656</v>
      </c>
      <c r="G5" s="1480"/>
      <c r="H5" s="1480"/>
      <c r="I5" s="1480"/>
      <c r="J5" s="1480"/>
      <c r="K5" s="1480"/>
      <c r="L5" s="1480"/>
      <c r="M5" s="1480"/>
      <c r="N5" s="1480"/>
      <c r="O5" s="1480"/>
      <c r="P5" s="1480"/>
      <c r="Q5" s="1480"/>
      <c r="R5" s="1480"/>
      <c r="S5" s="1480"/>
    </row>
    <row r="6" spans="1:22">
      <c r="A6" s="2592" t="str">
        <f>'数据-取费表'!AN6</f>
        <v>收益法</v>
      </c>
      <c r="B6" s="2590">
        <f ca="1">IF(F6="是",'数据-取费表'!AO6,0)</f>
        <v>24323</v>
      </c>
      <c r="C6" s="1863" t="s">
        <v>1651</v>
      </c>
      <c r="D6" s="2696"/>
      <c r="E6" s="2594">
        <f>IF(OR(A6=0,F6="否"),0,'数据-取费表'!K6+'数据-取费表'!S6)</f>
        <v>34367.43</v>
      </c>
      <c r="F6" s="1867" t="s">
        <v>1657</v>
      </c>
      <c r="G6" s="1480"/>
      <c r="H6" s="1480"/>
      <c r="I6" s="1480"/>
      <c r="J6" s="1480"/>
      <c r="K6" s="1480"/>
      <c r="L6" s="1480"/>
      <c r="M6" s="1480"/>
      <c r="N6" s="1480"/>
      <c r="O6" s="1480"/>
      <c r="P6" s="1480"/>
      <c r="Q6" s="1480"/>
      <c r="R6" s="1480"/>
      <c r="S6" s="1480"/>
    </row>
    <row r="7" spans="1:22">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受贵公司委托，我公司对北京市密云区科技路77号院1号楼房地产抵押价值进行了预评估。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属开发建设的，该项目尚在开发建设中。根据《国有土地使用证》[]，估价对象（分摊）出让国有建设用地使用权面积为33154.39平方米，规划建筑面积为34367.43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2024年1月19日（评估专业人员实地查勘之日）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34367.43</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5">
      <c r="A4" s="349" t="s">
        <v>1666</v>
      </c>
      <c r="B4" s="350"/>
      <c r="C4" s="3705" t="s">
        <v>1667</v>
      </c>
      <c r="D4" s="3717"/>
      <c r="E4" s="3718" t="s">
        <v>1668</v>
      </c>
      <c r="F4" s="3719"/>
      <c r="G4" s="3705" t="s">
        <v>1669</v>
      </c>
      <c r="H4" s="3717"/>
      <c r="I4" s="3705" t="s">
        <v>1670</v>
      </c>
      <c r="J4" s="3717"/>
      <c r="K4" s="1880" t="s">
        <v>1671</v>
      </c>
      <c r="L4" s="2702"/>
      <c r="M4" s="2703"/>
      <c r="N4" s="2703"/>
      <c r="O4" s="2703"/>
      <c r="P4" s="3720" t="s">
        <v>1672</v>
      </c>
      <c r="Q4" s="3721"/>
      <c r="R4" s="3726" t="s">
        <v>1668</v>
      </c>
      <c r="S4" s="3727"/>
      <c r="T4" s="3726" t="s">
        <v>1669</v>
      </c>
      <c r="U4" s="3727"/>
      <c r="V4" s="3713" t="s">
        <v>1670</v>
      </c>
      <c r="W4" s="3713"/>
      <c r="X4" s="1346"/>
      <c r="Y4" s="3726" t="s">
        <v>1672</v>
      </c>
      <c r="Z4" s="3727"/>
      <c r="AA4" s="3714" t="s">
        <v>1668</v>
      </c>
      <c r="AB4" s="3714" t="s">
        <v>1669</v>
      </c>
      <c r="AC4" s="3714" t="s">
        <v>1670</v>
      </c>
    </row>
    <row r="5" spans="1:29" ht="15">
      <c r="A5" s="352"/>
      <c r="B5" s="353"/>
      <c r="C5" s="3734" t="s">
        <v>1673</v>
      </c>
      <c r="D5" s="3735"/>
      <c r="E5" s="3741" t="s">
        <v>1674</v>
      </c>
      <c r="F5" s="3742"/>
      <c r="G5" s="3734" t="s">
        <v>1675</v>
      </c>
      <c r="H5" s="3735"/>
      <c r="I5" s="3734" t="s">
        <v>1676</v>
      </c>
      <c r="J5" s="3735"/>
      <c r="K5" s="1881"/>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1881"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736" t="s">
        <v>1680</v>
      </c>
      <c r="Q7" s="3738"/>
      <c r="R7" s="692" t="s">
        <v>20</v>
      </c>
      <c r="S7" s="693">
        <f t="shared" ref="S7:S15" si="0">F7</f>
        <v>0</v>
      </c>
      <c r="T7" s="692" t="s">
        <v>20</v>
      </c>
      <c r="U7" s="693">
        <f t="shared" ref="U7:U15" si="1">H7</f>
        <v>0</v>
      </c>
      <c r="V7" s="692" t="s">
        <v>20</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736" t="s">
        <v>1683</v>
      </c>
      <c r="Q8" s="3737"/>
      <c r="R8" s="692" t="s">
        <v>20</v>
      </c>
      <c r="S8" s="693">
        <f t="shared" si="0"/>
        <v>100</v>
      </c>
      <c r="T8" s="692" t="s">
        <v>20</v>
      </c>
      <c r="U8" s="693">
        <f t="shared" si="1"/>
        <v>100</v>
      </c>
      <c r="V8" s="692" t="s">
        <v>20</v>
      </c>
      <c r="W8" s="693">
        <f t="shared" si="2"/>
        <v>100</v>
      </c>
      <c r="X8" s="694"/>
      <c r="Y8" s="3736" t="s">
        <v>1683</v>
      </c>
      <c r="Z8" s="3737"/>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707"/>
      <c r="Q11" s="1334" t="str">
        <f t="shared" si="6"/>
        <v>容积率</v>
      </c>
      <c r="R11" s="692" t="s">
        <v>18</v>
      </c>
      <c r="S11" s="693" t="e">
        <f t="shared" si="0"/>
        <v>#N/A</v>
      </c>
      <c r="T11" s="692" t="s">
        <v>18</v>
      </c>
      <c r="U11" s="693" t="e">
        <f t="shared" si="1"/>
        <v>#N/A</v>
      </c>
      <c r="V11" s="692" t="s">
        <v>18</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707"/>
      <c r="Q12" s="1334">
        <f t="shared" si="6"/>
        <v>111</v>
      </c>
      <c r="R12" s="692" t="s">
        <v>18</v>
      </c>
      <c r="S12" s="693">
        <f t="shared" si="0"/>
        <v>100</v>
      </c>
      <c r="T12" s="692" t="s">
        <v>18</v>
      </c>
      <c r="U12" s="693">
        <f t="shared" si="1"/>
        <v>100</v>
      </c>
      <c r="V12" s="692" t="s">
        <v>18</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707"/>
      <c r="Q13" s="1334">
        <f t="shared" si="6"/>
        <v>111</v>
      </c>
      <c r="R13" s="692" t="s">
        <v>18</v>
      </c>
      <c r="S13" s="693">
        <f t="shared" si="0"/>
        <v>100</v>
      </c>
      <c r="T13" s="692" t="s">
        <v>18</v>
      </c>
      <c r="U13" s="693">
        <f t="shared" si="1"/>
        <v>100</v>
      </c>
      <c r="V13" s="692" t="s">
        <v>18</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707"/>
      <c r="Q14" s="1334">
        <f t="shared" si="6"/>
        <v>111</v>
      </c>
      <c r="R14" s="692" t="s">
        <v>18</v>
      </c>
      <c r="S14" s="693">
        <f t="shared" si="0"/>
        <v>100</v>
      </c>
      <c r="T14" s="692" t="s">
        <v>18</v>
      </c>
      <c r="U14" s="693">
        <f t="shared" si="1"/>
        <v>100</v>
      </c>
      <c r="V14" s="692" t="s">
        <v>18</v>
      </c>
      <c r="W14" s="693">
        <f t="shared" si="2"/>
        <v>100</v>
      </c>
      <c r="X14" s="694"/>
      <c r="Y14" s="3608"/>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97" t="s">
        <v>1691</v>
      </c>
      <c r="Q15" s="1343" t="str">
        <f t="shared" si="6"/>
        <v>居住社区成熟度</v>
      </c>
      <c r="R15" s="696" t="s">
        <v>18</v>
      </c>
      <c r="S15" s="697">
        <f t="shared" si="0"/>
        <v>100</v>
      </c>
      <c r="T15" s="696" t="s">
        <v>18</v>
      </c>
      <c r="U15" s="697">
        <f t="shared" si="1"/>
        <v>100</v>
      </c>
      <c r="V15" s="696" t="s">
        <v>18</v>
      </c>
      <c r="W15" s="697">
        <f t="shared" si="2"/>
        <v>100</v>
      </c>
      <c r="X15" s="1346"/>
      <c r="Y15" s="3709"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98"/>
      <c r="Q16" s="1343"/>
      <c r="R16" s="696"/>
      <c r="S16" s="697"/>
      <c r="T16" s="696"/>
      <c r="U16" s="697"/>
      <c r="V16" s="696"/>
      <c r="W16" s="697"/>
      <c r="X16" s="1346"/>
      <c r="Y16" s="3710"/>
      <c r="Z16" s="1347"/>
      <c r="AA16" s="1344">
        <v>1</v>
      </c>
      <c r="AB16" s="1344">
        <v>1</v>
      </c>
      <c r="AC16" s="1344">
        <v>1</v>
      </c>
    </row>
    <row r="17" spans="1:29" ht="128.2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98"/>
      <c r="Q17" s="1343" t="str">
        <f>B17</f>
        <v>交通便捷度</v>
      </c>
      <c r="R17" s="696" t="s">
        <v>18</v>
      </c>
      <c r="S17" s="697">
        <f>F17</f>
        <v>100</v>
      </c>
      <c r="T17" s="696" t="s">
        <v>18</v>
      </c>
      <c r="U17" s="697">
        <f>H17</f>
        <v>100</v>
      </c>
      <c r="V17" s="696" t="s">
        <v>18</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98"/>
      <c r="Q18" s="1343"/>
      <c r="R18" s="696"/>
      <c r="S18" s="697"/>
      <c r="T18" s="696"/>
      <c r="U18" s="697"/>
      <c r="V18" s="696"/>
      <c r="W18" s="697"/>
      <c r="X18" s="1346"/>
      <c r="Y18" s="3710"/>
      <c r="Z18" s="1347"/>
      <c r="AA18" s="1344">
        <v>1</v>
      </c>
      <c r="AB18" s="1344">
        <v>1</v>
      </c>
      <c r="AC18" s="1344">
        <v>1</v>
      </c>
    </row>
    <row r="19" spans="1:29" ht="171">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98"/>
      <c r="Q19" s="1343" t="str">
        <f>B19</f>
        <v>公共配套设施</v>
      </c>
      <c r="R19" s="696" t="s">
        <v>18</v>
      </c>
      <c r="S19" s="697">
        <f>F19</f>
        <v>100</v>
      </c>
      <c r="T19" s="696" t="s">
        <v>18</v>
      </c>
      <c r="U19" s="697">
        <f>H19</f>
        <v>100</v>
      </c>
      <c r="V19" s="696" t="s">
        <v>18</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98"/>
      <c r="Q20" s="1343"/>
      <c r="R20" s="696"/>
      <c r="S20" s="697"/>
      <c r="T20" s="696"/>
      <c r="U20" s="697"/>
      <c r="V20" s="696"/>
      <c r="W20" s="697"/>
      <c r="X20" s="1346"/>
      <c r="Y20" s="371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98"/>
      <c r="Q22" s="1343"/>
      <c r="R22" s="696"/>
      <c r="S22" s="697"/>
      <c r="T22" s="696"/>
      <c r="U22" s="697"/>
      <c r="V22" s="696"/>
      <c r="W22" s="697"/>
      <c r="X22" s="1346"/>
      <c r="Y22" s="3710"/>
      <c r="Z22" s="1347"/>
      <c r="AA22" s="1344">
        <v>1</v>
      </c>
      <c r="AB22" s="1344">
        <v>1</v>
      </c>
      <c r="AC22" s="1344">
        <v>1</v>
      </c>
    </row>
    <row r="23" spans="1:29" ht="85.5">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98"/>
      <c r="Q23" s="1343" t="str">
        <f>B23</f>
        <v>自然及人文环境</v>
      </c>
      <c r="R23" s="696" t="s">
        <v>18</v>
      </c>
      <c r="S23" s="697">
        <f>F23</f>
        <v>100</v>
      </c>
      <c r="T23" s="696" t="s">
        <v>18</v>
      </c>
      <c r="U23" s="697">
        <f>H23</f>
        <v>100</v>
      </c>
      <c r="V23" s="696" t="s">
        <v>18</v>
      </c>
      <c r="W23" s="697">
        <f>J23</f>
        <v>100</v>
      </c>
      <c r="X23" s="1346"/>
      <c r="Y23" s="371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98"/>
      <c r="Q24" s="1343"/>
      <c r="R24" s="696"/>
      <c r="S24" s="697"/>
      <c r="T24" s="696"/>
      <c r="U24" s="697"/>
      <c r="V24" s="696"/>
      <c r="W24" s="697"/>
      <c r="X24" s="1346"/>
      <c r="Y24" s="3710"/>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98"/>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0"/>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98"/>
      <c r="Q26" s="1343" t="str">
        <f t="shared" si="11"/>
        <v>朝向</v>
      </c>
      <c r="R26" s="696" t="s">
        <v>18</v>
      </c>
      <c r="S26" s="697">
        <f t="shared" si="12"/>
        <v>100</v>
      </c>
      <c r="T26" s="696" t="s">
        <v>18</v>
      </c>
      <c r="U26" s="697">
        <f t="shared" si="13"/>
        <v>100</v>
      </c>
      <c r="V26" s="696" t="s">
        <v>18</v>
      </c>
      <c r="W26" s="697">
        <f t="shared" si="14"/>
        <v>100</v>
      </c>
      <c r="X26" s="1346"/>
      <c r="Y26" s="371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98"/>
      <c r="Q27" s="1334">
        <f t="shared" si="11"/>
        <v>111</v>
      </c>
      <c r="R27" s="692" t="s">
        <v>18</v>
      </c>
      <c r="S27" s="693">
        <f t="shared" si="12"/>
        <v>100</v>
      </c>
      <c r="T27" s="692" t="s">
        <v>18</v>
      </c>
      <c r="U27" s="693">
        <f t="shared" si="13"/>
        <v>100</v>
      </c>
      <c r="V27" s="692" t="s">
        <v>18</v>
      </c>
      <c r="W27" s="693">
        <f t="shared" si="14"/>
        <v>100</v>
      </c>
      <c r="X27" s="694"/>
      <c r="Y27" s="371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98"/>
      <c r="Q28" s="1343">
        <f t="shared" si="11"/>
        <v>111</v>
      </c>
      <c r="R28" s="696" t="s">
        <v>18</v>
      </c>
      <c r="S28" s="697">
        <f t="shared" si="12"/>
        <v>100</v>
      </c>
      <c r="T28" s="696" t="s">
        <v>18</v>
      </c>
      <c r="U28" s="697">
        <f t="shared" si="13"/>
        <v>100</v>
      </c>
      <c r="V28" s="696" t="s">
        <v>18</v>
      </c>
      <c r="W28" s="697">
        <f t="shared" si="14"/>
        <v>100</v>
      </c>
      <c r="X28" s="1346"/>
      <c r="Y28" s="371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98"/>
      <c r="Q29" s="1343">
        <f t="shared" si="11"/>
        <v>111</v>
      </c>
      <c r="R29" s="696" t="s">
        <v>18</v>
      </c>
      <c r="S29" s="697">
        <f t="shared" si="12"/>
        <v>100</v>
      </c>
      <c r="T29" s="696" t="s">
        <v>18</v>
      </c>
      <c r="U29" s="697">
        <f t="shared" si="13"/>
        <v>100</v>
      </c>
      <c r="V29" s="696" t="s">
        <v>18</v>
      </c>
      <c r="W29" s="697">
        <f t="shared" si="14"/>
        <v>100</v>
      </c>
      <c r="X29" s="1346"/>
      <c r="Y29" s="371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98"/>
      <c r="Q30" s="1343">
        <f t="shared" si="11"/>
        <v>111</v>
      </c>
      <c r="R30" s="696" t="s">
        <v>18</v>
      </c>
      <c r="S30" s="697">
        <f t="shared" si="12"/>
        <v>100</v>
      </c>
      <c r="T30" s="696" t="s">
        <v>18</v>
      </c>
      <c r="U30" s="697">
        <f t="shared" si="13"/>
        <v>100</v>
      </c>
      <c r="V30" s="696" t="s">
        <v>18</v>
      </c>
      <c r="W30" s="697">
        <f t="shared" si="14"/>
        <v>100</v>
      </c>
      <c r="X30" s="1346"/>
      <c r="Y30" s="371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98"/>
      <c r="Q31" s="1343">
        <f t="shared" si="11"/>
        <v>111</v>
      </c>
      <c r="R31" s="696" t="s">
        <v>18</v>
      </c>
      <c r="S31" s="697">
        <f t="shared" si="12"/>
        <v>100</v>
      </c>
      <c r="T31" s="696" t="s">
        <v>18</v>
      </c>
      <c r="U31" s="697">
        <f t="shared" si="13"/>
        <v>100</v>
      </c>
      <c r="V31" s="696" t="s">
        <v>18</v>
      </c>
      <c r="W31" s="697">
        <f t="shared" si="14"/>
        <v>100</v>
      </c>
      <c r="X31" s="1346"/>
      <c r="Y31" s="3710"/>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93" t="s">
        <v>1696</v>
      </c>
      <c r="Q32" s="1343" t="str">
        <f t="shared" si="11"/>
        <v>建筑类型</v>
      </c>
      <c r="R32" s="696" t="s">
        <v>18</v>
      </c>
      <c r="S32" s="697">
        <f t="shared" si="12"/>
        <v>100</v>
      </c>
      <c r="T32" s="696" t="s">
        <v>18</v>
      </c>
      <c r="U32" s="697">
        <f t="shared" si="13"/>
        <v>100</v>
      </c>
      <c r="V32" s="696" t="s">
        <v>18</v>
      </c>
      <c r="W32" s="697">
        <f t="shared" si="14"/>
        <v>100</v>
      </c>
      <c r="X32" s="1346"/>
      <c r="Y32" s="3712"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94"/>
      <c r="Q33" s="698" t="str">
        <f t="shared" si="11"/>
        <v>项目建筑规模</v>
      </c>
      <c r="R33" s="699" t="s">
        <v>18</v>
      </c>
      <c r="S33" s="700" t="e">
        <f t="shared" si="12"/>
        <v>#N/A</v>
      </c>
      <c r="T33" s="699" t="s">
        <v>18</v>
      </c>
      <c r="U33" s="700" t="e">
        <f t="shared" si="13"/>
        <v>#N/A</v>
      </c>
      <c r="V33" s="699" t="s">
        <v>18</v>
      </c>
      <c r="W33" s="700" t="e">
        <f t="shared" si="14"/>
        <v>#N/A</v>
      </c>
      <c r="X33" s="701"/>
      <c r="Y33" s="3712"/>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94"/>
      <c r="Q34" s="1343" t="str">
        <f t="shared" si="11"/>
        <v>建筑结构</v>
      </c>
      <c r="R34" s="696" t="s">
        <v>18</v>
      </c>
      <c r="S34" s="697">
        <f t="shared" si="12"/>
        <v>100</v>
      </c>
      <c r="T34" s="696" t="s">
        <v>18</v>
      </c>
      <c r="U34" s="697">
        <f t="shared" si="13"/>
        <v>100</v>
      </c>
      <c r="V34" s="696" t="s">
        <v>18</v>
      </c>
      <c r="W34" s="697">
        <f t="shared" si="14"/>
        <v>100</v>
      </c>
      <c r="X34" s="1346"/>
      <c r="Y34" s="3712"/>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94"/>
      <c r="Q35" s="1343" t="str">
        <f t="shared" si="11"/>
        <v>建筑品质</v>
      </c>
      <c r="R35" s="696" t="s">
        <v>18</v>
      </c>
      <c r="S35" s="697">
        <f t="shared" si="12"/>
        <v>100</v>
      </c>
      <c r="T35" s="696" t="s">
        <v>18</v>
      </c>
      <c r="U35" s="697">
        <f t="shared" si="13"/>
        <v>100</v>
      </c>
      <c r="V35" s="696" t="s">
        <v>18</v>
      </c>
      <c r="W35" s="697">
        <f t="shared" si="14"/>
        <v>100</v>
      </c>
      <c r="X35" s="1346"/>
      <c r="Y35" s="3712"/>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94"/>
      <c r="Q36" s="1343" t="str">
        <f t="shared" si="11"/>
        <v>公共部分装修</v>
      </c>
      <c r="R36" s="696" t="s">
        <v>18</v>
      </c>
      <c r="S36" s="697">
        <f t="shared" si="12"/>
        <v>100</v>
      </c>
      <c r="T36" s="696" t="s">
        <v>18</v>
      </c>
      <c r="U36" s="697">
        <f t="shared" si="13"/>
        <v>100</v>
      </c>
      <c r="V36" s="696" t="s">
        <v>18</v>
      </c>
      <c r="W36" s="697">
        <f t="shared" si="14"/>
        <v>100</v>
      </c>
      <c r="X36" s="1346"/>
      <c r="Y36" s="3712"/>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94"/>
      <c r="Q37" s="1334" t="str">
        <f t="shared" si="11"/>
        <v>成新度</v>
      </c>
      <c r="R37" s="692" t="s">
        <v>18</v>
      </c>
      <c r="S37" s="693" t="e">
        <f t="shared" si="12"/>
        <v>#N/A</v>
      </c>
      <c r="T37" s="692" t="s">
        <v>18</v>
      </c>
      <c r="U37" s="693" t="e">
        <f t="shared" si="13"/>
        <v>#N/A</v>
      </c>
      <c r="V37" s="692" t="s">
        <v>18</v>
      </c>
      <c r="W37" s="693" t="e">
        <f t="shared" si="14"/>
        <v>#N/A</v>
      </c>
      <c r="X37" s="694"/>
      <c r="Y37" s="3712"/>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94" t="s">
        <v>1696</v>
      </c>
      <c r="Q38" s="1343" t="str">
        <f t="shared" si="11"/>
        <v>物业管理</v>
      </c>
      <c r="R38" s="696" t="s">
        <v>18</v>
      </c>
      <c r="S38" s="697">
        <f t="shared" si="12"/>
        <v>100</v>
      </c>
      <c r="T38" s="696" t="s">
        <v>18</v>
      </c>
      <c r="U38" s="697">
        <f t="shared" si="13"/>
        <v>100</v>
      </c>
      <c r="V38" s="696" t="s">
        <v>18</v>
      </c>
      <c r="W38" s="697">
        <f t="shared" si="14"/>
        <v>100</v>
      </c>
      <c r="X38" s="1346"/>
      <c r="Y38" s="3712"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94"/>
      <c r="Q39" s="1343" t="str">
        <f t="shared" si="11"/>
        <v>市政基础设施</v>
      </c>
      <c r="R39" s="696" t="s">
        <v>18</v>
      </c>
      <c r="S39" s="697">
        <f t="shared" si="12"/>
        <v>100</v>
      </c>
      <c r="T39" s="696" t="s">
        <v>18</v>
      </c>
      <c r="U39" s="697">
        <f t="shared" si="13"/>
        <v>100</v>
      </c>
      <c r="V39" s="696" t="s">
        <v>18</v>
      </c>
      <c r="W39" s="697">
        <f t="shared" si="14"/>
        <v>100</v>
      </c>
      <c r="X39" s="1346"/>
      <c r="Y39" s="3712"/>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94"/>
      <c r="Q40" s="1343" t="str">
        <f t="shared" si="11"/>
        <v>房型</v>
      </c>
      <c r="R40" s="696" t="s">
        <v>18</v>
      </c>
      <c r="S40" s="697">
        <f t="shared" si="12"/>
        <v>100</v>
      </c>
      <c r="T40" s="696" t="s">
        <v>18</v>
      </c>
      <c r="U40" s="697">
        <f t="shared" si="13"/>
        <v>100</v>
      </c>
      <c r="V40" s="696" t="s">
        <v>18</v>
      </c>
      <c r="W40" s="697">
        <f t="shared" si="14"/>
        <v>100</v>
      </c>
      <c r="X40" s="1346"/>
      <c r="Y40" s="3712"/>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94"/>
      <c r="Q41" s="698" t="str">
        <f t="shared" si="11"/>
        <v>单套/主力户型建筑面积</v>
      </c>
      <c r="R41" s="699" t="s">
        <v>18</v>
      </c>
      <c r="S41" s="700">
        <f t="shared" si="12"/>
        <v>100</v>
      </c>
      <c r="T41" s="699" t="s">
        <v>18</v>
      </c>
      <c r="U41" s="700">
        <f t="shared" si="13"/>
        <v>100</v>
      </c>
      <c r="V41" s="699" t="s">
        <v>18</v>
      </c>
      <c r="W41" s="700">
        <f t="shared" si="14"/>
        <v>100</v>
      </c>
      <c r="X41" s="701"/>
      <c r="Y41" s="3712"/>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94"/>
      <c r="Q42" s="1343" t="str">
        <f t="shared" si="11"/>
        <v>内部装修</v>
      </c>
      <c r="R42" s="696" t="s">
        <v>18</v>
      </c>
      <c r="S42" s="697">
        <f t="shared" si="12"/>
        <v>100</v>
      </c>
      <c r="T42" s="696" t="s">
        <v>18</v>
      </c>
      <c r="U42" s="697">
        <f t="shared" si="13"/>
        <v>100</v>
      </c>
      <c r="V42" s="696" t="s">
        <v>18</v>
      </c>
      <c r="W42" s="697">
        <f t="shared" si="14"/>
        <v>100</v>
      </c>
      <c r="X42" s="1346"/>
      <c r="Y42" s="3712"/>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94"/>
      <c r="Q43" s="1343" t="str">
        <f t="shared" si="11"/>
        <v>内部装修维护情况</v>
      </c>
      <c r="R43" s="696" t="s">
        <v>18</v>
      </c>
      <c r="S43" s="697">
        <f t="shared" si="12"/>
        <v>100</v>
      </c>
      <c r="T43" s="696" t="s">
        <v>18</v>
      </c>
      <c r="U43" s="697">
        <f t="shared" si="13"/>
        <v>100</v>
      </c>
      <c r="V43" s="696" t="s">
        <v>18</v>
      </c>
      <c r="W43" s="697">
        <f t="shared" si="14"/>
        <v>100</v>
      </c>
      <c r="X43" s="1346"/>
      <c r="Y43" s="371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94"/>
      <c r="Q44" s="1334">
        <f t="shared" si="11"/>
        <v>111</v>
      </c>
      <c r="R44" s="692" t="s">
        <v>18</v>
      </c>
      <c r="S44" s="693">
        <f t="shared" si="12"/>
        <v>100</v>
      </c>
      <c r="T44" s="692" t="s">
        <v>18</v>
      </c>
      <c r="U44" s="693">
        <f t="shared" si="13"/>
        <v>100</v>
      </c>
      <c r="V44" s="692" t="s">
        <v>18</v>
      </c>
      <c r="W44" s="693">
        <f t="shared" si="14"/>
        <v>100</v>
      </c>
      <c r="X44" s="694"/>
      <c r="Y44" s="371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94"/>
      <c r="Q45" s="1343">
        <f t="shared" si="11"/>
        <v>111</v>
      </c>
      <c r="R45" s="696" t="s">
        <v>18</v>
      </c>
      <c r="S45" s="697">
        <f t="shared" si="12"/>
        <v>100</v>
      </c>
      <c r="T45" s="696" t="s">
        <v>18</v>
      </c>
      <c r="U45" s="697">
        <f t="shared" si="13"/>
        <v>100</v>
      </c>
      <c r="V45" s="696" t="s">
        <v>18</v>
      </c>
      <c r="W45" s="697">
        <f t="shared" si="14"/>
        <v>100</v>
      </c>
      <c r="X45" s="1346"/>
      <c r="Y45" s="371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95"/>
      <c r="Q46" s="1343">
        <f t="shared" si="11"/>
        <v>111</v>
      </c>
      <c r="R46" s="696" t="s">
        <v>17</v>
      </c>
      <c r="S46" s="697">
        <f t="shared" si="12"/>
        <v>100</v>
      </c>
      <c r="T46" s="696" t="s">
        <v>17</v>
      </c>
      <c r="U46" s="697">
        <f t="shared" si="13"/>
        <v>100</v>
      </c>
      <c r="V46" s="696" t="s">
        <v>17</v>
      </c>
      <c r="W46" s="697">
        <f t="shared" si="14"/>
        <v>100</v>
      </c>
      <c r="X46" s="1346"/>
      <c r="Y46" s="3796"/>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1"/>
      <c r="M47" s="2712"/>
      <c r="N47" s="2703"/>
      <c r="O47" s="2712"/>
      <c r="P47" s="3708" t="str">
        <f>A47</f>
        <v>成交单价（元/平方米）</v>
      </c>
      <c r="Q47" s="3708"/>
      <c r="R47" s="3792">
        <f>E47</f>
        <v>0</v>
      </c>
      <c r="S47" s="3792"/>
      <c r="T47" s="3792">
        <f>G47</f>
        <v>0</v>
      </c>
      <c r="U47" s="3792"/>
      <c r="V47" s="3792">
        <f>I47</f>
        <v>0</v>
      </c>
      <c r="W47" s="3792"/>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708" t="str">
        <f>A48</f>
        <v>比较价值（元/平方米）</v>
      </c>
      <c r="Q48" s="3708"/>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1"/>
      <c r="M49" s="2712"/>
      <c r="N49" s="2712"/>
      <c r="O49" s="2712"/>
      <c r="P49" s="3702" t="str">
        <f>A49</f>
        <v>估价对象XX用房的比较价值（楼面单价，元/平方米）</v>
      </c>
      <c r="Q49" s="3703"/>
      <c r="R49" s="3791" t="e">
        <f>IF(F1="售价",ROUND(IF(D48="简单平均",AVERAGE(R48:V48),R48*F48+T48*H48+V48*J48),0),ROUND(IF(D48="简单平均",AVERAGE(R48:V48),R48*F48+T48*H48+V48*J48),1))</f>
        <v>#DIV/0!</v>
      </c>
      <c r="S49" s="3791"/>
      <c r="T49" s="3791"/>
      <c r="U49" s="3791"/>
      <c r="V49" s="3791"/>
      <c r="W49" s="379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34367.43</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3"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3"/>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3"/>
      <c r="AC6" s="3716"/>
    </row>
    <row r="7" spans="1:29" s="108" customFormat="1" ht="15.75" thickBot="1">
      <c r="A7" s="356" t="s">
        <v>1679</v>
      </c>
      <c r="B7" s="357"/>
      <c r="C7" s="358">
        <f>'数据-取费表'!B2</f>
        <v>45310</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707"/>
      <c r="Q11" s="1334" t="str">
        <f t="shared" si="6"/>
        <v>容积率</v>
      </c>
      <c r="R11" s="692" t="s">
        <v>14</v>
      </c>
      <c r="S11" s="693" t="e">
        <f t="shared" si="0"/>
        <v>#N/A</v>
      </c>
      <c r="T11" s="692" t="s">
        <v>14</v>
      </c>
      <c r="U11" s="693" t="e">
        <f t="shared" si="1"/>
        <v>#N/A</v>
      </c>
      <c r="V11" s="692" t="s">
        <v>14</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707"/>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707"/>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707"/>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97" t="s">
        <v>1691</v>
      </c>
      <c r="Q15" s="1343" t="str">
        <f t="shared" si="6"/>
        <v>商业繁华度</v>
      </c>
      <c r="R15" s="696" t="s">
        <v>14</v>
      </c>
      <c r="S15" s="697">
        <f t="shared" si="0"/>
        <v>100</v>
      </c>
      <c r="T15" s="696" t="s">
        <v>14</v>
      </c>
      <c r="U15" s="697">
        <f t="shared" si="1"/>
        <v>100</v>
      </c>
      <c r="V15" s="696" t="s">
        <v>14</v>
      </c>
      <c r="W15" s="697">
        <f t="shared" si="2"/>
        <v>100</v>
      </c>
      <c r="X15" s="1346"/>
      <c r="Y15" s="3709"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98"/>
      <c r="Q16" s="1343"/>
      <c r="R16" s="696"/>
      <c r="S16" s="697"/>
      <c r="T16" s="696"/>
      <c r="U16" s="697"/>
      <c r="V16" s="696"/>
      <c r="W16" s="697"/>
      <c r="X16" s="1346"/>
      <c r="Y16" s="3710"/>
      <c r="Z16" s="1347"/>
      <c r="AA16" s="1344">
        <v>1</v>
      </c>
      <c r="AB16" s="1344">
        <v>1</v>
      </c>
      <c r="AC16" s="1344">
        <v>1</v>
      </c>
    </row>
    <row r="17" spans="1:29" ht="156.7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98"/>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98"/>
      <c r="Q18" s="1343"/>
      <c r="R18" s="696"/>
      <c r="S18" s="697"/>
      <c r="T18" s="696"/>
      <c r="U18" s="697"/>
      <c r="V18" s="696"/>
      <c r="W18" s="697"/>
      <c r="X18" s="1346"/>
      <c r="Y18" s="3710"/>
      <c r="Z18" s="1347"/>
      <c r="AA18" s="1344">
        <v>1</v>
      </c>
      <c r="AB18" s="1344">
        <v>1</v>
      </c>
      <c r="AC18" s="1344">
        <v>1</v>
      </c>
    </row>
    <row r="19" spans="1:29" ht="185.25">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98"/>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98"/>
      <c r="Q20" s="1343"/>
      <c r="R20" s="696"/>
      <c r="S20" s="697"/>
      <c r="T20" s="696"/>
      <c r="U20" s="697"/>
      <c r="V20" s="696"/>
      <c r="W20" s="697"/>
      <c r="X20" s="1346"/>
      <c r="Y20" s="3710"/>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98"/>
      <c r="Q22" s="1343"/>
      <c r="R22" s="696"/>
      <c r="S22" s="697"/>
      <c r="T22" s="696"/>
      <c r="U22" s="697"/>
      <c r="V22" s="696"/>
      <c r="W22" s="697"/>
      <c r="X22" s="1346"/>
      <c r="Y22" s="3710"/>
      <c r="Z22" s="1347"/>
      <c r="AA22" s="1344">
        <v>1</v>
      </c>
      <c r="AB22" s="1344">
        <v>1</v>
      </c>
      <c r="AC22" s="1344">
        <v>1</v>
      </c>
    </row>
    <row r="23" spans="1:29" ht="85.5">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98"/>
      <c r="Q23" s="1343" t="str">
        <f>B23</f>
        <v>自然及人文环境</v>
      </c>
      <c r="R23" s="696" t="s">
        <v>14</v>
      </c>
      <c r="S23" s="697">
        <f>F23</f>
        <v>100</v>
      </c>
      <c r="T23" s="696" t="s">
        <v>14</v>
      </c>
      <c r="U23" s="697">
        <f>H23</f>
        <v>100</v>
      </c>
      <c r="V23" s="696" t="s">
        <v>14</v>
      </c>
      <c r="W23" s="697">
        <f>J23</f>
        <v>100</v>
      </c>
      <c r="X23" s="1346"/>
      <c r="Y23" s="371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98"/>
      <c r="Q24" s="1343"/>
      <c r="R24" s="696"/>
      <c r="S24" s="697"/>
      <c r="T24" s="696"/>
      <c r="U24" s="697"/>
      <c r="V24" s="696"/>
      <c r="W24" s="697"/>
      <c r="X24" s="1346"/>
      <c r="Y24" s="3710"/>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98"/>
      <c r="Q25" s="1343" t="str">
        <f t="shared" ref="Q25:Q46" si="11">B25</f>
        <v>临街状况</v>
      </c>
      <c r="R25" s="696" t="s">
        <v>14</v>
      </c>
      <c r="S25" s="697">
        <f>F25</f>
        <v>100</v>
      </c>
      <c r="T25" s="696" t="s">
        <v>14</v>
      </c>
      <c r="U25" s="697">
        <f>H25</f>
        <v>100</v>
      </c>
      <c r="V25" s="696" t="s">
        <v>14</v>
      </c>
      <c r="W25" s="697">
        <f>J25</f>
        <v>100</v>
      </c>
      <c r="X25" s="1346"/>
      <c r="Y25" s="3710"/>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98"/>
      <c r="Q26" s="1343" t="str">
        <f t="shared" si="11"/>
        <v>平面位置/可视性</v>
      </c>
      <c r="R26" s="696" t="s">
        <v>14</v>
      </c>
      <c r="S26" s="697">
        <f>F26</f>
        <v>100</v>
      </c>
      <c r="T26" s="696" t="s">
        <v>14</v>
      </c>
      <c r="U26" s="697">
        <f>H26</f>
        <v>100</v>
      </c>
      <c r="V26" s="696" t="s">
        <v>14</v>
      </c>
      <c r="W26" s="697">
        <f>J26</f>
        <v>100</v>
      </c>
      <c r="X26" s="1346"/>
      <c r="Y26" s="3710"/>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98"/>
      <c r="Q27" s="1334" t="str">
        <f t="shared" si="11"/>
        <v>人流量</v>
      </c>
      <c r="R27" s="692" t="s">
        <v>14</v>
      </c>
      <c r="S27" s="693">
        <f>F27</f>
        <v>100</v>
      </c>
      <c r="T27" s="692" t="s">
        <v>14</v>
      </c>
      <c r="U27" s="693">
        <f>H27</f>
        <v>100</v>
      </c>
      <c r="V27" s="692" t="s">
        <v>14</v>
      </c>
      <c r="W27" s="693">
        <f>J27</f>
        <v>100</v>
      </c>
      <c r="X27" s="694"/>
      <c r="Y27" s="3710"/>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98"/>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1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98"/>
      <c r="Q29" s="1343">
        <f t="shared" si="11"/>
        <v>111</v>
      </c>
      <c r="R29" s="696" t="s">
        <v>14</v>
      </c>
      <c r="S29" s="697">
        <f t="shared" si="12"/>
        <v>100</v>
      </c>
      <c r="T29" s="696" t="s">
        <v>14</v>
      </c>
      <c r="U29" s="697">
        <f t="shared" si="13"/>
        <v>100</v>
      </c>
      <c r="V29" s="696" t="s">
        <v>14</v>
      </c>
      <c r="W29" s="697">
        <f t="shared" si="14"/>
        <v>100</v>
      </c>
      <c r="X29" s="1346"/>
      <c r="Y29" s="371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98"/>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98"/>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93" t="s">
        <v>1696</v>
      </c>
      <c r="Q32" s="1343" t="str">
        <f t="shared" si="11"/>
        <v>商业类型</v>
      </c>
      <c r="R32" s="696" t="s">
        <v>14</v>
      </c>
      <c r="S32" s="697">
        <f t="shared" si="12"/>
        <v>100</v>
      </c>
      <c r="T32" s="696" t="s">
        <v>14</v>
      </c>
      <c r="U32" s="697">
        <f t="shared" si="13"/>
        <v>100</v>
      </c>
      <c r="V32" s="696" t="s">
        <v>14</v>
      </c>
      <c r="W32" s="697">
        <f t="shared" si="14"/>
        <v>100</v>
      </c>
      <c r="X32" s="1346"/>
      <c r="Y32" s="3712"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94"/>
      <c r="Q33" s="698" t="str">
        <f t="shared" si="11"/>
        <v>项目建筑规模</v>
      </c>
      <c r="R33" s="699" t="s">
        <v>14</v>
      </c>
      <c r="S33" s="700" t="e">
        <f t="shared" si="12"/>
        <v>#N/A</v>
      </c>
      <c r="T33" s="699" t="s">
        <v>14</v>
      </c>
      <c r="U33" s="700" t="e">
        <f t="shared" si="13"/>
        <v>#N/A</v>
      </c>
      <c r="V33" s="699" t="s">
        <v>14</v>
      </c>
      <c r="W33" s="700" t="e">
        <f t="shared" si="14"/>
        <v>#N/A</v>
      </c>
      <c r="X33" s="701"/>
      <c r="Y33" s="3712"/>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94"/>
      <c r="Q34" s="1343" t="str">
        <f t="shared" si="11"/>
        <v>建筑结构</v>
      </c>
      <c r="R34" s="696" t="s">
        <v>14</v>
      </c>
      <c r="S34" s="697">
        <f t="shared" si="12"/>
        <v>100</v>
      </c>
      <c r="T34" s="696" t="s">
        <v>14</v>
      </c>
      <c r="U34" s="697">
        <f t="shared" si="13"/>
        <v>100</v>
      </c>
      <c r="V34" s="696" t="s">
        <v>14</v>
      </c>
      <c r="W34" s="697">
        <f t="shared" si="14"/>
        <v>100</v>
      </c>
      <c r="X34" s="1346"/>
      <c r="Y34" s="3712"/>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94"/>
      <c r="Q35" s="1343" t="str">
        <f t="shared" si="11"/>
        <v>公共部分装修</v>
      </c>
      <c r="R35" s="696" t="s">
        <v>14</v>
      </c>
      <c r="S35" s="697">
        <f t="shared" si="12"/>
        <v>100</v>
      </c>
      <c r="T35" s="696" t="s">
        <v>14</v>
      </c>
      <c r="U35" s="697">
        <f t="shared" si="13"/>
        <v>100</v>
      </c>
      <c r="V35" s="696" t="s">
        <v>14</v>
      </c>
      <c r="W35" s="697">
        <f t="shared" si="14"/>
        <v>100</v>
      </c>
      <c r="X35" s="1346"/>
      <c r="Y35" s="3712"/>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94"/>
      <c r="Q36" s="1343" t="str">
        <f t="shared" si="11"/>
        <v>成新度</v>
      </c>
      <c r="R36" s="696" t="s">
        <v>14</v>
      </c>
      <c r="S36" s="697" t="e">
        <f t="shared" si="12"/>
        <v>#N/A</v>
      </c>
      <c r="T36" s="696" t="s">
        <v>14</v>
      </c>
      <c r="U36" s="697" t="e">
        <f t="shared" si="13"/>
        <v>#N/A</v>
      </c>
      <c r="V36" s="696" t="s">
        <v>14</v>
      </c>
      <c r="W36" s="697" t="e">
        <f t="shared" si="14"/>
        <v>#N/A</v>
      </c>
      <c r="X36" s="1346"/>
      <c r="Y36" s="3712"/>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94"/>
      <c r="Q37" s="1334" t="str">
        <f t="shared" si="11"/>
        <v>市政基础设施</v>
      </c>
      <c r="R37" s="692" t="s">
        <v>14</v>
      </c>
      <c r="S37" s="693">
        <f t="shared" si="12"/>
        <v>100</v>
      </c>
      <c r="T37" s="692" t="s">
        <v>14</v>
      </c>
      <c r="U37" s="693">
        <f t="shared" si="13"/>
        <v>100</v>
      </c>
      <c r="V37" s="692" t="s">
        <v>14</v>
      </c>
      <c r="W37" s="693">
        <f t="shared" si="14"/>
        <v>100</v>
      </c>
      <c r="X37" s="694"/>
      <c r="Y37" s="3712"/>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94" t="s">
        <v>1696</v>
      </c>
      <c r="Q38" s="1343" t="str">
        <f t="shared" si="11"/>
        <v>业态</v>
      </c>
      <c r="R38" s="696" t="s">
        <v>14</v>
      </c>
      <c r="S38" s="697">
        <f t="shared" si="12"/>
        <v>100</v>
      </c>
      <c r="T38" s="696" t="s">
        <v>14</v>
      </c>
      <c r="U38" s="697">
        <f t="shared" si="13"/>
        <v>100</v>
      </c>
      <c r="V38" s="696" t="s">
        <v>14</v>
      </c>
      <c r="W38" s="697">
        <f t="shared" si="14"/>
        <v>100</v>
      </c>
      <c r="X38" s="1346"/>
      <c r="Y38" s="3712"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94"/>
      <c r="Q39" s="1343" t="str">
        <f t="shared" si="11"/>
        <v>层高</v>
      </c>
      <c r="R39" s="696" t="s">
        <v>14</v>
      </c>
      <c r="S39" s="697">
        <f t="shared" si="12"/>
        <v>100</v>
      </c>
      <c r="T39" s="696" t="s">
        <v>14</v>
      </c>
      <c r="U39" s="697">
        <f t="shared" si="13"/>
        <v>100</v>
      </c>
      <c r="V39" s="696" t="s">
        <v>14</v>
      </c>
      <c r="W39" s="697">
        <f t="shared" si="14"/>
        <v>100</v>
      </c>
      <c r="X39" s="1346"/>
      <c r="Y39" s="3712"/>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94"/>
      <c r="Q40" s="1343" t="str">
        <f t="shared" si="11"/>
        <v>单套建筑面积</v>
      </c>
      <c r="R40" s="696" t="s">
        <v>14</v>
      </c>
      <c r="S40" s="697">
        <f t="shared" si="12"/>
        <v>100</v>
      </c>
      <c r="T40" s="696" t="s">
        <v>14</v>
      </c>
      <c r="U40" s="697">
        <f t="shared" si="13"/>
        <v>100</v>
      </c>
      <c r="V40" s="696" t="s">
        <v>14</v>
      </c>
      <c r="W40" s="697">
        <f t="shared" si="14"/>
        <v>100</v>
      </c>
      <c r="X40" s="1346"/>
      <c r="Y40" s="3712"/>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94"/>
      <c r="Q41" s="698" t="str">
        <f t="shared" si="11"/>
        <v>进深比</v>
      </c>
      <c r="R41" s="699" t="s">
        <v>14</v>
      </c>
      <c r="S41" s="700">
        <f t="shared" si="12"/>
        <v>100</v>
      </c>
      <c r="T41" s="699" t="s">
        <v>14</v>
      </c>
      <c r="U41" s="700">
        <f t="shared" si="13"/>
        <v>100</v>
      </c>
      <c r="V41" s="699" t="s">
        <v>14</v>
      </c>
      <c r="W41" s="700">
        <f t="shared" si="14"/>
        <v>100</v>
      </c>
      <c r="X41" s="701"/>
      <c r="Y41" s="3712"/>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94"/>
      <c r="Q42" s="1343" t="str">
        <f t="shared" si="11"/>
        <v>内部装修</v>
      </c>
      <c r="R42" s="696" t="s">
        <v>14</v>
      </c>
      <c r="S42" s="697">
        <f t="shared" si="12"/>
        <v>100</v>
      </c>
      <c r="T42" s="696" t="s">
        <v>14</v>
      </c>
      <c r="U42" s="697">
        <f t="shared" si="13"/>
        <v>100</v>
      </c>
      <c r="V42" s="696" t="s">
        <v>14</v>
      </c>
      <c r="W42" s="697">
        <f t="shared" si="14"/>
        <v>100</v>
      </c>
      <c r="X42" s="1346"/>
      <c r="Y42" s="3712"/>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94"/>
      <c r="Q43" s="1343" t="str">
        <f t="shared" si="11"/>
        <v>内部装修维护情况</v>
      </c>
      <c r="R43" s="696" t="s">
        <v>14</v>
      </c>
      <c r="S43" s="697">
        <f t="shared" si="12"/>
        <v>100</v>
      </c>
      <c r="T43" s="696" t="s">
        <v>14</v>
      </c>
      <c r="U43" s="697">
        <f t="shared" si="13"/>
        <v>100</v>
      </c>
      <c r="V43" s="696" t="s">
        <v>14</v>
      </c>
      <c r="W43" s="697">
        <f t="shared" si="14"/>
        <v>100</v>
      </c>
      <c r="X43" s="1346"/>
      <c r="Y43" s="371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94"/>
      <c r="Q44" s="1334">
        <f t="shared" si="11"/>
        <v>111</v>
      </c>
      <c r="R44" s="692" t="s">
        <v>14</v>
      </c>
      <c r="S44" s="693">
        <f t="shared" si="12"/>
        <v>100</v>
      </c>
      <c r="T44" s="692" t="s">
        <v>14</v>
      </c>
      <c r="U44" s="693">
        <f t="shared" si="13"/>
        <v>100</v>
      </c>
      <c r="V44" s="692" t="s">
        <v>14</v>
      </c>
      <c r="W44" s="693">
        <f t="shared" si="14"/>
        <v>100</v>
      </c>
      <c r="X44" s="694"/>
      <c r="Y44" s="371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94"/>
      <c r="Q45" s="1343">
        <f t="shared" si="11"/>
        <v>111</v>
      </c>
      <c r="R45" s="696" t="s">
        <v>14</v>
      </c>
      <c r="S45" s="697">
        <f t="shared" si="12"/>
        <v>100</v>
      </c>
      <c r="T45" s="696" t="s">
        <v>14</v>
      </c>
      <c r="U45" s="697">
        <f t="shared" si="13"/>
        <v>100</v>
      </c>
      <c r="V45" s="696" t="s">
        <v>14</v>
      </c>
      <c r="W45" s="697">
        <f t="shared" si="14"/>
        <v>100</v>
      </c>
      <c r="X45" s="1346"/>
      <c r="Y45" s="371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95"/>
      <c r="Q46" s="1343">
        <f t="shared" si="11"/>
        <v>111</v>
      </c>
      <c r="R46" s="696" t="s">
        <v>14</v>
      </c>
      <c r="S46" s="697">
        <f t="shared" si="12"/>
        <v>100</v>
      </c>
      <c r="T46" s="696" t="s">
        <v>14</v>
      </c>
      <c r="U46" s="697">
        <f t="shared" si="13"/>
        <v>100</v>
      </c>
      <c r="V46" s="696" t="s">
        <v>14</v>
      </c>
      <c r="W46" s="697">
        <f t="shared" si="14"/>
        <v>100</v>
      </c>
      <c r="X46" s="1346"/>
      <c r="Y46" s="3796"/>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1"/>
      <c r="M47" s="2712"/>
      <c r="N47" s="2703"/>
      <c r="O47" s="2712"/>
      <c r="P47" s="3708" t="str">
        <f>A47</f>
        <v>成交单价（元/平方米）</v>
      </c>
      <c r="Q47" s="3708"/>
      <c r="R47" s="3713">
        <f>E47</f>
        <v>0</v>
      </c>
      <c r="S47" s="3713"/>
      <c r="T47" s="3713">
        <f>G47</f>
        <v>0</v>
      </c>
      <c r="U47" s="3713"/>
      <c r="V47" s="3713">
        <f>I47</f>
        <v>0</v>
      </c>
      <c r="W47" s="3713"/>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708" t="str">
        <f>A48</f>
        <v>比较价值（元/平方米）</v>
      </c>
      <c r="Q48" s="3708"/>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1"/>
      <c r="M49" s="2712"/>
      <c r="N49" s="2703"/>
      <c r="O49" s="2712"/>
      <c r="P49" s="3702" t="str">
        <f>A49</f>
        <v>估价对象XX用房的比较价值（楼面单价，元/平方米）</v>
      </c>
      <c r="Q49" s="3703"/>
      <c r="R49" s="3791" t="e">
        <f>IF(F1="售价",ROUND(IF(D48="简单平均",AVERAGE(R48:V48),R48*F48+T48*H48+V48*J48),0),ROUND(IF(D48="简单平均",AVERAGE(R48:V48),R48*F48+T48*H48+V48*J48),1))</f>
        <v>#DIV/0!</v>
      </c>
      <c r="S49" s="3791"/>
      <c r="T49" s="3791"/>
      <c r="U49" s="3791"/>
      <c r="V49" s="3791"/>
      <c r="W49" s="379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7"/>
      <c r="Q58" s="2728"/>
      <c r="R58" s="2728"/>
      <c r="S58" s="2728"/>
      <c r="T58" s="2728"/>
      <c r="U58" s="2728"/>
      <c r="V58" s="2728"/>
      <c r="W58" s="2728"/>
      <c r="X58" s="2728"/>
      <c r="Y58" s="2728"/>
      <c r="Z58" s="2728"/>
      <c r="AA58" s="2728"/>
      <c r="AB58" s="2728"/>
      <c r="AC58" s="2728"/>
    </row>
    <row r="59" spans="1:29" s="108" customFormat="1" ht="15">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34367.43</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805" t="s">
        <v>1775</v>
      </c>
      <c r="Q4" s="3806"/>
      <c r="R4" s="3809" t="s">
        <v>1771</v>
      </c>
      <c r="S4" s="3810"/>
      <c r="T4" s="3809" t="s">
        <v>1772</v>
      </c>
      <c r="U4" s="3810"/>
      <c r="V4" s="3811" t="s">
        <v>1773</v>
      </c>
      <c r="W4" s="3811"/>
      <c r="X4" s="1949"/>
      <c r="Y4" s="3809" t="s">
        <v>1775</v>
      </c>
      <c r="Z4" s="3810"/>
      <c r="AA4" s="3813" t="s">
        <v>1771</v>
      </c>
      <c r="AB4" s="3813" t="s">
        <v>1772</v>
      </c>
      <c r="AC4" s="3802" t="s">
        <v>1773</v>
      </c>
    </row>
    <row r="5" spans="1:29" ht="15">
      <c r="A5" s="352"/>
      <c r="B5" s="353"/>
      <c r="C5" s="3734" t="s">
        <v>1673</v>
      </c>
      <c r="D5" s="3735"/>
      <c r="E5" s="3741" t="s">
        <v>1674</v>
      </c>
      <c r="F5" s="3742"/>
      <c r="G5" s="3734" t="s">
        <v>1675</v>
      </c>
      <c r="H5" s="3735"/>
      <c r="I5" s="3734" t="s">
        <v>1676</v>
      </c>
      <c r="J5" s="3735"/>
      <c r="K5" s="553"/>
      <c r="L5" s="2702"/>
      <c r="M5" s="2703"/>
      <c r="N5" s="2703"/>
      <c r="O5" s="2703"/>
      <c r="P5" s="3807"/>
      <c r="Q5" s="3723"/>
      <c r="R5" s="3728"/>
      <c r="S5" s="3729"/>
      <c r="T5" s="3728"/>
      <c r="U5" s="3729"/>
      <c r="V5" s="3713"/>
      <c r="W5" s="3713"/>
      <c r="X5" s="1346"/>
      <c r="Y5" s="3728"/>
      <c r="Z5" s="3729"/>
      <c r="AA5" s="3715"/>
      <c r="AB5" s="3715"/>
      <c r="AC5" s="3803"/>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808"/>
      <c r="Q6" s="3725"/>
      <c r="R6" s="3728"/>
      <c r="S6" s="3729"/>
      <c r="T6" s="3730"/>
      <c r="U6" s="3731"/>
      <c r="V6" s="3713"/>
      <c r="W6" s="3713"/>
      <c r="X6" s="1346"/>
      <c r="Y6" s="3730"/>
      <c r="Z6" s="3731"/>
      <c r="AA6" s="3716"/>
      <c r="AB6" s="3716"/>
      <c r="AC6" s="3804"/>
    </row>
    <row r="7" spans="1:29" s="108" customFormat="1" ht="15.75" thickBot="1">
      <c r="A7" s="356" t="s">
        <v>1679</v>
      </c>
      <c r="B7" s="357"/>
      <c r="C7" s="358">
        <f>'数据-取费表'!B2</f>
        <v>45310</v>
      </c>
      <c r="D7" s="359">
        <v>100</v>
      </c>
      <c r="E7" s="360"/>
      <c r="F7" s="361">
        <f>SUMIF(59:59,YEAR(E7)&amp;"-"&amp;MONTH(E7),60:60)</f>
        <v>0</v>
      </c>
      <c r="G7" s="360"/>
      <c r="H7" s="359">
        <f>SUMIF(59:59,YEAR(G7)&amp;"-"&amp;MONTH(G7),60:60)</f>
        <v>0</v>
      </c>
      <c r="I7" s="360"/>
      <c r="J7" s="359">
        <f>SUMIF(59:59,YEAR(I7)&amp;"-"&amp;MONTH(I7),60:60)</f>
        <v>0</v>
      </c>
      <c r="K7" s="554"/>
      <c r="L7" s="2704"/>
      <c r="M7" s="2705"/>
      <c r="N7" s="2705"/>
      <c r="O7" s="2705"/>
      <c r="P7" s="3812"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812" t="s">
        <v>1683</v>
      </c>
      <c r="Q8" s="3737"/>
      <c r="R8" s="692" t="s">
        <v>14</v>
      </c>
      <c r="S8" s="693">
        <f t="shared" si="0"/>
        <v>100</v>
      </c>
      <c r="T8" s="692" t="s">
        <v>14</v>
      </c>
      <c r="U8" s="693">
        <f t="shared" si="1"/>
        <v>100</v>
      </c>
      <c r="V8" s="692" t="s">
        <v>14</v>
      </c>
      <c r="W8" s="693">
        <f t="shared" si="2"/>
        <v>100</v>
      </c>
      <c r="X8" s="694"/>
      <c r="Y8" s="3736" t="s">
        <v>1683</v>
      </c>
      <c r="Z8" s="3737"/>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1950">
        <f t="shared" si="5"/>
        <v>1</v>
      </c>
    </row>
    <row r="10" spans="1:29" s="372" customFormat="1" ht="27">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07"/>
      <c r="Q11" s="1334" t="str">
        <f t="shared" si="6"/>
        <v>容积率</v>
      </c>
      <c r="R11" s="692" t="s">
        <v>14</v>
      </c>
      <c r="S11" s="693">
        <f t="shared" si="0"/>
        <v>100</v>
      </c>
      <c r="T11" s="692" t="s">
        <v>14</v>
      </c>
      <c r="U11" s="693">
        <f t="shared" si="1"/>
        <v>100</v>
      </c>
      <c r="V11" s="692" t="s">
        <v>14</v>
      </c>
      <c r="W11" s="693">
        <f t="shared" si="2"/>
        <v>100</v>
      </c>
      <c r="X11" s="694"/>
      <c r="Y11" s="3608"/>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707"/>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707"/>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707"/>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1950">
        <f t="shared" si="5"/>
        <v>1</v>
      </c>
    </row>
    <row r="15" spans="1:29" ht="71.25">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97" t="s">
        <v>1691</v>
      </c>
      <c r="Q15" s="1343" t="str">
        <f t="shared" si="6"/>
        <v>办公集聚程度</v>
      </c>
      <c r="R15" s="696" t="s">
        <v>14</v>
      </c>
      <c r="S15" s="697">
        <f t="shared" si="0"/>
        <v>100</v>
      </c>
      <c r="T15" s="696" t="s">
        <v>14</v>
      </c>
      <c r="U15" s="697">
        <f t="shared" si="1"/>
        <v>100</v>
      </c>
      <c r="V15" s="696" t="s">
        <v>14</v>
      </c>
      <c r="W15" s="697">
        <f t="shared" si="2"/>
        <v>100</v>
      </c>
      <c r="X15" s="1346"/>
      <c r="Y15" s="3709"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98"/>
      <c r="Q16" s="1343"/>
      <c r="R16" s="696"/>
      <c r="S16" s="697"/>
      <c r="T16" s="696"/>
      <c r="U16" s="697"/>
      <c r="V16" s="696"/>
      <c r="W16" s="697"/>
      <c r="X16" s="1346"/>
      <c r="Y16" s="3710"/>
      <c r="Z16" s="1347"/>
      <c r="AA16" s="1344">
        <v>1</v>
      </c>
      <c r="AB16" s="1344">
        <v>1</v>
      </c>
      <c r="AC16" s="1953">
        <v>1</v>
      </c>
    </row>
    <row r="17" spans="1:29" ht="142.5">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98"/>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98"/>
      <c r="Q18" s="1343"/>
      <c r="R18" s="696"/>
      <c r="S18" s="697"/>
      <c r="T18" s="696"/>
      <c r="U18" s="697"/>
      <c r="V18" s="696"/>
      <c r="W18" s="697"/>
      <c r="X18" s="1346"/>
      <c r="Y18" s="3710"/>
      <c r="Z18" s="1347"/>
      <c r="AA18" s="1344">
        <v>1</v>
      </c>
      <c r="AB18" s="1344">
        <v>1</v>
      </c>
      <c r="AC18" s="1953">
        <v>1</v>
      </c>
    </row>
    <row r="19" spans="1:29" ht="171">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98"/>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98"/>
      <c r="Q20" s="1343"/>
      <c r="R20" s="696"/>
      <c r="S20" s="697"/>
      <c r="T20" s="696"/>
      <c r="U20" s="697"/>
      <c r="V20" s="696"/>
      <c r="W20" s="697"/>
      <c r="X20" s="1346"/>
      <c r="Y20" s="3710"/>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98"/>
      <c r="Q22" s="1343"/>
      <c r="R22" s="696"/>
      <c r="S22" s="697"/>
      <c r="T22" s="696"/>
      <c r="U22" s="697"/>
      <c r="V22" s="696"/>
      <c r="W22" s="697"/>
      <c r="X22" s="1346"/>
      <c r="Y22" s="3710"/>
      <c r="Z22" s="1347"/>
      <c r="AA22" s="1344">
        <v>1</v>
      </c>
      <c r="AB22" s="1344">
        <v>1</v>
      </c>
      <c r="AC22" s="1953">
        <v>1</v>
      </c>
    </row>
    <row r="23" spans="1:29" ht="85.5">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98"/>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98"/>
      <c r="Q24" s="1343"/>
      <c r="R24" s="696"/>
      <c r="S24" s="697"/>
      <c r="T24" s="696"/>
      <c r="U24" s="697"/>
      <c r="V24" s="696"/>
      <c r="W24" s="697"/>
      <c r="X24" s="1346"/>
      <c r="Y24" s="3710"/>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98"/>
      <c r="Q25" s="1343" t="str">
        <f>B25</f>
        <v>毗邻道路的类型与等级</v>
      </c>
      <c r="R25" s="696" t="s">
        <v>14</v>
      </c>
      <c r="S25" s="697">
        <f>F25</f>
        <v>100</v>
      </c>
      <c r="T25" s="696" t="s">
        <v>14</v>
      </c>
      <c r="U25" s="697">
        <f>H25</f>
        <v>100</v>
      </c>
      <c r="V25" s="696" t="s">
        <v>14</v>
      </c>
      <c r="W25" s="697">
        <f>J25</f>
        <v>100</v>
      </c>
      <c r="X25" s="1346"/>
      <c r="Y25" s="371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98"/>
      <c r="Q26" s="1343"/>
      <c r="R26" s="696"/>
      <c r="S26" s="697"/>
      <c r="T26" s="696"/>
      <c r="U26" s="697"/>
      <c r="V26" s="696"/>
      <c r="W26" s="697"/>
      <c r="X26" s="1346"/>
      <c r="Y26" s="3710"/>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98"/>
      <c r="Q27" s="1343" t="str">
        <f t="shared" ref="Q27:Q47" si="11">B27</f>
        <v>楼层</v>
      </c>
      <c r="R27" s="696" t="s">
        <v>14</v>
      </c>
      <c r="S27" s="697">
        <f>F27</f>
        <v>100</v>
      </c>
      <c r="T27" s="696" t="s">
        <v>14</v>
      </c>
      <c r="U27" s="697">
        <f>H27</f>
        <v>100</v>
      </c>
      <c r="V27" s="696" t="s">
        <v>14</v>
      </c>
      <c r="W27" s="697">
        <f>J27</f>
        <v>100</v>
      </c>
      <c r="X27" s="1346"/>
      <c r="Y27" s="3710"/>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98"/>
      <c r="Q28" s="1334" t="str">
        <f t="shared" si="11"/>
        <v>朝向</v>
      </c>
      <c r="R28" s="692" t="s">
        <v>14</v>
      </c>
      <c r="S28" s="693">
        <f>F28</f>
        <v>100</v>
      </c>
      <c r="T28" s="692" t="s">
        <v>14</v>
      </c>
      <c r="U28" s="693">
        <f>H28</f>
        <v>100</v>
      </c>
      <c r="V28" s="692" t="s">
        <v>14</v>
      </c>
      <c r="W28" s="693">
        <f>J28</f>
        <v>100</v>
      </c>
      <c r="X28" s="694"/>
      <c r="Y28" s="371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98"/>
      <c r="Q29" s="1343">
        <f t="shared" si="11"/>
        <v>111</v>
      </c>
      <c r="R29" s="696" t="s">
        <v>14</v>
      </c>
      <c r="S29" s="697">
        <f t="shared" ref="S29:S47" si="12">F29</f>
        <v>100</v>
      </c>
      <c r="T29" s="696" t="s">
        <v>14</v>
      </c>
      <c r="U29" s="697">
        <f t="shared" ref="U29:U47" si="13">H29</f>
        <v>100</v>
      </c>
      <c r="V29" s="696" t="s">
        <v>14</v>
      </c>
      <c r="W29" s="697">
        <f t="shared" ref="W29:W47" si="14">J29</f>
        <v>100</v>
      </c>
      <c r="X29" s="1346"/>
      <c r="Y29" s="371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98"/>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98"/>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98"/>
      <c r="Q32" s="1343">
        <f t="shared" si="11"/>
        <v>111</v>
      </c>
      <c r="R32" s="696" t="s">
        <v>14</v>
      </c>
      <c r="S32" s="697">
        <f t="shared" si="12"/>
        <v>100</v>
      </c>
      <c r="T32" s="696" t="s">
        <v>14</v>
      </c>
      <c r="U32" s="697">
        <f t="shared" si="13"/>
        <v>100</v>
      </c>
      <c r="V32" s="696" t="s">
        <v>14</v>
      </c>
      <c r="W32" s="697">
        <f t="shared" si="14"/>
        <v>100</v>
      </c>
      <c r="X32" s="1346"/>
      <c r="Y32" s="3710"/>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93" t="s">
        <v>1696</v>
      </c>
      <c r="Q33" s="1343" t="str">
        <f t="shared" si="11"/>
        <v>建筑类型</v>
      </c>
      <c r="R33" s="696" t="s">
        <v>14</v>
      </c>
      <c r="S33" s="697">
        <f t="shared" si="12"/>
        <v>100</v>
      </c>
      <c r="T33" s="696" t="s">
        <v>14</v>
      </c>
      <c r="U33" s="697">
        <f t="shared" si="13"/>
        <v>100</v>
      </c>
      <c r="V33" s="696" t="s">
        <v>14</v>
      </c>
      <c r="W33" s="697">
        <f t="shared" si="14"/>
        <v>100</v>
      </c>
      <c r="X33" s="1346"/>
      <c r="Y33" s="3712"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94"/>
      <c r="Q34" s="698" t="str">
        <f t="shared" si="11"/>
        <v>项目建筑规模</v>
      </c>
      <c r="R34" s="699" t="s">
        <v>14</v>
      </c>
      <c r="S34" s="700" t="e">
        <f t="shared" si="12"/>
        <v>#N/A</v>
      </c>
      <c r="T34" s="699" t="s">
        <v>14</v>
      </c>
      <c r="U34" s="700" t="e">
        <f t="shared" si="13"/>
        <v>#N/A</v>
      </c>
      <c r="V34" s="699" t="s">
        <v>14</v>
      </c>
      <c r="W34" s="700" t="e">
        <f t="shared" si="14"/>
        <v>#N/A</v>
      </c>
      <c r="X34" s="701"/>
      <c r="Y34" s="3712"/>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94"/>
      <c r="Q35" s="1343" t="str">
        <f t="shared" si="11"/>
        <v>建筑结构</v>
      </c>
      <c r="R35" s="696" t="s">
        <v>14</v>
      </c>
      <c r="S35" s="697">
        <f t="shared" si="12"/>
        <v>100</v>
      </c>
      <c r="T35" s="696" t="s">
        <v>14</v>
      </c>
      <c r="U35" s="697">
        <f t="shared" si="13"/>
        <v>100</v>
      </c>
      <c r="V35" s="696" t="s">
        <v>14</v>
      </c>
      <c r="W35" s="697">
        <f t="shared" si="14"/>
        <v>100</v>
      </c>
      <c r="X35" s="1346"/>
      <c r="Y35" s="3712"/>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94"/>
      <c r="Q36" s="1343" t="str">
        <f t="shared" si="11"/>
        <v>公共部分装修</v>
      </c>
      <c r="R36" s="696" t="s">
        <v>14</v>
      </c>
      <c r="S36" s="697">
        <f t="shared" si="12"/>
        <v>100</v>
      </c>
      <c r="T36" s="696" t="s">
        <v>14</v>
      </c>
      <c r="U36" s="697">
        <f t="shared" si="13"/>
        <v>100</v>
      </c>
      <c r="V36" s="696" t="s">
        <v>14</v>
      </c>
      <c r="W36" s="697">
        <f t="shared" si="14"/>
        <v>100</v>
      </c>
      <c r="X36" s="1346"/>
      <c r="Y36" s="3712"/>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94"/>
      <c r="Q37" s="1343" t="str">
        <f t="shared" si="11"/>
        <v>成新度</v>
      </c>
      <c r="R37" s="696" t="s">
        <v>14</v>
      </c>
      <c r="S37" s="697" t="e">
        <f t="shared" si="12"/>
        <v>#N/A</v>
      </c>
      <c r="T37" s="696" t="s">
        <v>14</v>
      </c>
      <c r="U37" s="697" t="e">
        <f t="shared" si="13"/>
        <v>#N/A</v>
      </c>
      <c r="V37" s="696" t="s">
        <v>14</v>
      </c>
      <c r="W37" s="697" t="e">
        <f t="shared" si="14"/>
        <v>#N/A</v>
      </c>
      <c r="X37" s="1346"/>
      <c r="Y37" s="3712"/>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94"/>
      <c r="Q38" s="1334" t="str">
        <f t="shared" si="11"/>
        <v>写字楼等级</v>
      </c>
      <c r="R38" s="692" t="s">
        <v>14</v>
      </c>
      <c r="S38" s="693">
        <f t="shared" si="12"/>
        <v>100</v>
      </c>
      <c r="T38" s="692" t="s">
        <v>14</v>
      </c>
      <c r="U38" s="693">
        <f t="shared" si="13"/>
        <v>100</v>
      </c>
      <c r="V38" s="692" t="s">
        <v>14</v>
      </c>
      <c r="W38" s="693">
        <f t="shared" si="14"/>
        <v>100</v>
      </c>
      <c r="X38" s="694"/>
      <c r="Y38" s="3712"/>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94" t="s">
        <v>1696</v>
      </c>
      <c r="Q39" s="1343" t="str">
        <f t="shared" si="11"/>
        <v>物业管理</v>
      </c>
      <c r="R39" s="696" t="s">
        <v>14</v>
      </c>
      <c r="S39" s="697">
        <f t="shared" si="12"/>
        <v>100</v>
      </c>
      <c r="T39" s="696" t="s">
        <v>14</v>
      </c>
      <c r="U39" s="697">
        <f t="shared" si="13"/>
        <v>100</v>
      </c>
      <c r="V39" s="696" t="s">
        <v>14</v>
      </c>
      <c r="W39" s="697">
        <f t="shared" si="14"/>
        <v>100</v>
      </c>
      <c r="X39" s="1346"/>
      <c r="Y39" s="3712"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94"/>
      <c r="Q40" s="1343" t="str">
        <f t="shared" si="11"/>
        <v>市政基础设施</v>
      </c>
      <c r="R40" s="696" t="s">
        <v>14</v>
      </c>
      <c r="S40" s="697">
        <f t="shared" si="12"/>
        <v>100</v>
      </c>
      <c r="T40" s="696" t="s">
        <v>14</v>
      </c>
      <c r="U40" s="697">
        <f t="shared" si="13"/>
        <v>100</v>
      </c>
      <c r="V40" s="696" t="s">
        <v>14</v>
      </c>
      <c r="W40" s="697">
        <f t="shared" si="14"/>
        <v>100</v>
      </c>
      <c r="X40" s="1346"/>
      <c r="Y40" s="3712"/>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94"/>
      <c r="Q41" s="1343" t="str">
        <f t="shared" si="11"/>
        <v>层高</v>
      </c>
      <c r="R41" s="696" t="s">
        <v>14</v>
      </c>
      <c r="S41" s="697">
        <f t="shared" si="12"/>
        <v>100</v>
      </c>
      <c r="T41" s="696" t="s">
        <v>14</v>
      </c>
      <c r="U41" s="697">
        <f t="shared" si="13"/>
        <v>100</v>
      </c>
      <c r="V41" s="696" t="s">
        <v>14</v>
      </c>
      <c r="W41" s="697">
        <f t="shared" si="14"/>
        <v>100</v>
      </c>
      <c r="X41" s="1346"/>
      <c r="Y41" s="3712"/>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94"/>
      <c r="Q42" s="698" t="str">
        <f t="shared" si="11"/>
        <v>单套建筑面积</v>
      </c>
      <c r="R42" s="699" t="s">
        <v>14</v>
      </c>
      <c r="S42" s="700">
        <f t="shared" si="12"/>
        <v>100</v>
      </c>
      <c r="T42" s="699" t="s">
        <v>14</v>
      </c>
      <c r="U42" s="700">
        <f t="shared" si="13"/>
        <v>100</v>
      </c>
      <c r="V42" s="699" t="s">
        <v>14</v>
      </c>
      <c r="W42" s="700">
        <f t="shared" si="14"/>
        <v>100</v>
      </c>
      <c r="X42" s="701"/>
      <c r="Y42" s="3712"/>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94"/>
      <c r="Q43" s="1343" t="str">
        <f t="shared" si="11"/>
        <v>内部装修</v>
      </c>
      <c r="R43" s="696" t="s">
        <v>14</v>
      </c>
      <c r="S43" s="697">
        <f t="shared" si="12"/>
        <v>100</v>
      </c>
      <c r="T43" s="696" t="s">
        <v>14</v>
      </c>
      <c r="U43" s="697">
        <f t="shared" si="13"/>
        <v>100</v>
      </c>
      <c r="V43" s="696" t="s">
        <v>14</v>
      </c>
      <c r="W43" s="697">
        <f t="shared" si="14"/>
        <v>100</v>
      </c>
      <c r="X43" s="1346"/>
      <c r="Y43" s="3712"/>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94"/>
      <c r="Q44" s="1343" t="str">
        <f t="shared" si="11"/>
        <v>内部装修维护情况</v>
      </c>
      <c r="R44" s="696" t="s">
        <v>14</v>
      </c>
      <c r="S44" s="697">
        <f t="shared" si="12"/>
        <v>100</v>
      </c>
      <c r="T44" s="696" t="s">
        <v>14</v>
      </c>
      <c r="U44" s="697">
        <f t="shared" si="13"/>
        <v>100</v>
      </c>
      <c r="V44" s="696" t="s">
        <v>14</v>
      </c>
      <c r="W44" s="697">
        <f t="shared" si="14"/>
        <v>100</v>
      </c>
      <c r="X44" s="1346"/>
      <c r="Y44" s="371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94"/>
      <c r="Q45" s="1334">
        <f t="shared" si="11"/>
        <v>111</v>
      </c>
      <c r="R45" s="692" t="s">
        <v>14</v>
      </c>
      <c r="S45" s="693">
        <f t="shared" si="12"/>
        <v>100</v>
      </c>
      <c r="T45" s="692" t="s">
        <v>14</v>
      </c>
      <c r="U45" s="693">
        <f t="shared" si="13"/>
        <v>100</v>
      </c>
      <c r="V45" s="692" t="s">
        <v>14</v>
      </c>
      <c r="W45" s="693">
        <f t="shared" si="14"/>
        <v>100</v>
      </c>
      <c r="X45" s="694"/>
      <c r="Y45" s="371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94"/>
      <c r="Q46" s="1343">
        <f t="shared" si="11"/>
        <v>111</v>
      </c>
      <c r="R46" s="696" t="s">
        <v>14</v>
      </c>
      <c r="S46" s="697">
        <f t="shared" si="12"/>
        <v>100</v>
      </c>
      <c r="T46" s="696" t="s">
        <v>14</v>
      </c>
      <c r="U46" s="697">
        <f t="shared" si="13"/>
        <v>100</v>
      </c>
      <c r="V46" s="696" t="s">
        <v>14</v>
      </c>
      <c r="W46" s="697">
        <f t="shared" si="14"/>
        <v>100</v>
      </c>
      <c r="X46" s="1346"/>
      <c r="Y46" s="371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95"/>
      <c r="Q47" s="1343">
        <f t="shared" si="11"/>
        <v>111</v>
      </c>
      <c r="R47" s="696" t="s">
        <v>14</v>
      </c>
      <c r="S47" s="697">
        <f t="shared" si="12"/>
        <v>100</v>
      </c>
      <c r="T47" s="696" t="s">
        <v>14</v>
      </c>
      <c r="U47" s="697">
        <f t="shared" si="13"/>
        <v>100</v>
      </c>
      <c r="V47" s="696" t="s">
        <v>14</v>
      </c>
      <c r="W47" s="697">
        <f t="shared" si="14"/>
        <v>100</v>
      </c>
      <c r="X47" s="1346"/>
      <c r="Y47" s="3796"/>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1"/>
      <c r="M48" s="2703"/>
      <c r="N48" s="2703"/>
      <c r="O48" s="2703"/>
      <c r="P48" s="3707" t="str">
        <f>A48</f>
        <v>成交单价（元/平方米）</v>
      </c>
      <c r="Q48" s="3708"/>
      <c r="R48" s="3792">
        <f>E48</f>
        <v>0</v>
      </c>
      <c r="S48" s="3792"/>
      <c r="T48" s="3792">
        <f>G48</f>
        <v>0</v>
      </c>
      <c r="U48" s="3792"/>
      <c r="V48" s="3792">
        <f>I48</f>
        <v>0</v>
      </c>
      <c r="W48" s="3792"/>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707" t="str">
        <f>A49</f>
        <v>比较价值（元/平方米）</v>
      </c>
      <c r="Q49" s="3708"/>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1"/>
      <c r="M50" s="2703"/>
      <c r="N50" s="2703"/>
      <c r="O50" s="2703"/>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6"/>
      <c r="Q59" s="2728"/>
      <c r="R59" s="2728"/>
      <c r="S59" s="2728"/>
      <c r="T59" s="2728"/>
      <c r="U59" s="2728"/>
      <c r="V59" s="2728"/>
      <c r="W59" s="2728"/>
      <c r="X59" s="2728"/>
      <c r="Y59" s="2728"/>
      <c r="Z59" s="2728"/>
      <c r="AA59" s="2728"/>
      <c r="AB59" s="2728"/>
      <c r="AC59" s="2728"/>
    </row>
    <row r="60" spans="1:29" s="108" customFormat="1" ht="15">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904"/>
      <c r="M4" s="905"/>
      <c r="N4" s="905"/>
      <c r="O4" s="905"/>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904"/>
      <c r="M5" s="905"/>
      <c r="N5" s="905"/>
      <c r="O5" s="905"/>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904"/>
      <c r="M6" s="905"/>
      <c r="N6" s="905"/>
      <c r="O6" s="905"/>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45310</v>
      </c>
      <c r="D7" s="359">
        <v>100</v>
      </c>
      <c r="E7" s="360"/>
      <c r="F7" s="361">
        <f>SUMIF(52:52,YEAR(E7)&amp;"-"&amp;MONTH(E7),53:53)</f>
        <v>0</v>
      </c>
      <c r="G7" s="360"/>
      <c r="H7" s="359">
        <f>SUMIF(52:52,YEAR(G7)&amp;"-"&amp;MONTH(G7),53:53)</f>
        <v>0</v>
      </c>
      <c r="I7" s="360"/>
      <c r="J7" s="359">
        <f>SUMIF(52:52,YEAR(I7)&amp;"-"&amp;MONTH(I7),53:53)</f>
        <v>0</v>
      </c>
      <c r="K7" s="554"/>
      <c r="L7" s="906"/>
      <c r="M7" s="907"/>
      <c r="N7" s="907"/>
      <c r="O7" s="907"/>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36" t="s">
        <v>1683</v>
      </c>
      <c r="Q8" s="3737"/>
      <c r="R8" s="692" t="s">
        <v>14</v>
      </c>
      <c r="S8" s="693">
        <f t="shared" si="0"/>
        <v>100</v>
      </c>
      <c r="T8" s="692" t="s">
        <v>14</v>
      </c>
      <c r="U8" s="693">
        <f t="shared" si="1"/>
        <v>100</v>
      </c>
      <c r="V8" s="692" t="s">
        <v>14</v>
      </c>
      <c r="W8" s="693">
        <f t="shared" si="2"/>
        <v>100</v>
      </c>
      <c r="X8" s="694"/>
      <c r="Y8" s="3736" t="s">
        <v>1683</v>
      </c>
      <c r="Z8" s="3737"/>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8"/>
      <c r="Q11" s="1334" t="str">
        <f t="shared" si="6"/>
        <v>容积率</v>
      </c>
      <c r="R11" s="692" t="s">
        <v>14</v>
      </c>
      <c r="S11" s="693">
        <f t="shared" si="0"/>
        <v>100</v>
      </c>
      <c r="T11" s="692" t="s">
        <v>14</v>
      </c>
      <c r="U11" s="693">
        <f t="shared" si="1"/>
        <v>100</v>
      </c>
      <c r="V11" s="692" t="s">
        <v>14</v>
      </c>
      <c r="W11" s="693">
        <f t="shared" si="2"/>
        <v>100</v>
      </c>
      <c r="X11" s="694"/>
      <c r="Y11" s="3608"/>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9" t="s">
        <v>1691</v>
      </c>
      <c r="Q15" s="1343" t="str">
        <f t="shared" si="6"/>
        <v>产业集聚程度</v>
      </c>
      <c r="R15" s="696" t="s">
        <v>14</v>
      </c>
      <c r="S15" s="697">
        <f t="shared" si="0"/>
        <v>100</v>
      </c>
      <c r="T15" s="696" t="s">
        <v>14</v>
      </c>
      <c r="U15" s="697">
        <f t="shared" si="1"/>
        <v>100</v>
      </c>
      <c r="V15" s="696" t="s">
        <v>14</v>
      </c>
      <c r="W15" s="697">
        <f t="shared" si="2"/>
        <v>100</v>
      </c>
      <c r="X15" s="1346"/>
      <c r="Y15" s="3709"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0"/>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0"/>
      <c r="Q18" s="1343"/>
      <c r="R18" s="696"/>
      <c r="S18" s="697"/>
      <c r="T18" s="696"/>
      <c r="U18" s="697"/>
      <c r="V18" s="696"/>
      <c r="W18" s="697"/>
      <c r="X18" s="1346"/>
      <c r="Y18" s="3710"/>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0"/>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0"/>
      <c r="Q20" s="1343"/>
      <c r="R20" s="696"/>
      <c r="S20" s="697"/>
      <c r="T20" s="696"/>
      <c r="U20" s="697"/>
      <c r="V20" s="696"/>
      <c r="W20" s="697"/>
      <c r="X20" s="1346"/>
      <c r="Y20" s="3710"/>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0"/>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0"/>
      <c r="Q22" s="1343"/>
      <c r="R22" s="696"/>
      <c r="S22" s="697"/>
      <c r="T22" s="696"/>
      <c r="U22" s="697"/>
      <c r="V22" s="696"/>
      <c r="W22" s="697"/>
      <c r="X22" s="1346"/>
      <c r="Y22" s="3710"/>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0"/>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0"/>
      <c r="Q24" s="1343"/>
      <c r="R24" s="696"/>
      <c r="S24" s="697"/>
      <c r="T24" s="696"/>
      <c r="U24" s="697"/>
      <c r="V24" s="696"/>
      <c r="W24" s="697"/>
      <c r="X24" s="1346"/>
      <c r="Y24" s="371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0"/>
      <c r="Q25" s="1343">
        <f>B25</f>
        <v>111</v>
      </c>
      <c r="R25" s="696" t="s">
        <v>14</v>
      </c>
      <c r="S25" s="697">
        <f>F25</f>
        <v>100</v>
      </c>
      <c r="T25" s="696" t="s">
        <v>14</v>
      </c>
      <c r="U25" s="697">
        <f>H25</f>
        <v>100</v>
      </c>
      <c r="V25" s="696" t="s">
        <v>14</v>
      </c>
      <c r="W25" s="697">
        <f>J25</f>
        <v>100</v>
      </c>
      <c r="X25" s="1346"/>
      <c r="Y25" s="371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0"/>
      <c r="Q26" s="1343">
        <f t="shared" ref="Q26:Q40" si="11">B26</f>
        <v>111</v>
      </c>
      <c r="R26" s="696" t="s">
        <v>14</v>
      </c>
      <c r="S26" s="697">
        <f>F26</f>
        <v>100</v>
      </c>
      <c r="T26" s="696" t="s">
        <v>14</v>
      </c>
      <c r="U26" s="697">
        <f>H26</f>
        <v>100</v>
      </c>
      <c r="V26" s="696" t="s">
        <v>14</v>
      </c>
      <c r="W26" s="697">
        <f>J26</f>
        <v>100</v>
      </c>
      <c r="X26" s="1346"/>
      <c r="Y26" s="371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0"/>
      <c r="Q27" s="1334">
        <f t="shared" si="11"/>
        <v>111</v>
      </c>
      <c r="R27" s="692" t="s">
        <v>14</v>
      </c>
      <c r="S27" s="693">
        <f>F27</f>
        <v>100</v>
      </c>
      <c r="T27" s="692" t="s">
        <v>14</v>
      </c>
      <c r="U27" s="693">
        <f>H27</f>
        <v>100</v>
      </c>
      <c r="V27" s="692" t="s">
        <v>14</v>
      </c>
      <c r="W27" s="693">
        <f>J27</f>
        <v>100</v>
      </c>
      <c r="X27" s="694"/>
      <c r="Y27" s="371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0"/>
      <c r="Q28" s="1343">
        <f t="shared" si="11"/>
        <v>111</v>
      </c>
      <c r="R28" s="696" t="s">
        <v>14</v>
      </c>
      <c r="S28" s="697">
        <f t="shared" ref="S28:S40" si="12">F28</f>
        <v>100</v>
      </c>
      <c r="T28" s="696" t="s">
        <v>14</v>
      </c>
      <c r="U28" s="697">
        <f t="shared" ref="U28:U40" si="13">H28</f>
        <v>100</v>
      </c>
      <c r="V28" s="696" t="s">
        <v>14</v>
      </c>
      <c r="W28" s="697">
        <f t="shared" ref="W28:W40" si="14">J28</f>
        <v>100</v>
      </c>
      <c r="X28" s="1346"/>
      <c r="Y28" s="3710"/>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11" t="s">
        <v>1696</v>
      </c>
      <c r="Q29" s="1343" t="str">
        <f t="shared" si="11"/>
        <v>建筑类型</v>
      </c>
      <c r="R29" s="696" t="s">
        <v>14</v>
      </c>
      <c r="S29" s="697">
        <f t="shared" si="12"/>
        <v>100</v>
      </c>
      <c r="T29" s="696" t="s">
        <v>14</v>
      </c>
      <c r="U29" s="697">
        <f t="shared" si="13"/>
        <v>100</v>
      </c>
      <c r="V29" s="696" t="s">
        <v>14</v>
      </c>
      <c r="W29" s="697">
        <f t="shared" si="14"/>
        <v>100</v>
      </c>
      <c r="X29" s="1346"/>
      <c r="Y29" s="3712"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2"/>
      <c r="Q30" s="698" t="str">
        <f t="shared" si="11"/>
        <v>项目建筑规模</v>
      </c>
      <c r="R30" s="699" t="s">
        <v>14</v>
      </c>
      <c r="S30" s="700" t="e">
        <f t="shared" si="12"/>
        <v>#N/A</v>
      </c>
      <c r="T30" s="699" t="s">
        <v>14</v>
      </c>
      <c r="U30" s="700" t="e">
        <f t="shared" si="13"/>
        <v>#N/A</v>
      </c>
      <c r="V30" s="699" t="s">
        <v>14</v>
      </c>
      <c r="W30" s="700" t="e">
        <f t="shared" si="14"/>
        <v>#N/A</v>
      </c>
      <c r="X30" s="701"/>
      <c r="Y30" s="3712"/>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2"/>
      <c r="Q31" s="1343" t="str">
        <f t="shared" si="11"/>
        <v>建筑结构</v>
      </c>
      <c r="R31" s="696" t="s">
        <v>14</v>
      </c>
      <c r="S31" s="697">
        <f t="shared" si="12"/>
        <v>100</v>
      </c>
      <c r="T31" s="696" t="s">
        <v>14</v>
      </c>
      <c r="U31" s="697">
        <f t="shared" si="13"/>
        <v>100</v>
      </c>
      <c r="V31" s="696" t="s">
        <v>14</v>
      </c>
      <c r="W31" s="697">
        <f t="shared" si="14"/>
        <v>100</v>
      </c>
      <c r="X31" s="1346"/>
      <c r="Y31" s="3712"/>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2"/>
      <c r="Q32" s="1343" t="str">
        <f t="shared" si="11"/>
        <v>公共部分装修</v>
      </c>
      <c r="R32" s="696" t="s">
        <v>14</v>
      </c>
      <c r="S32" s="697">
        <f t="shared" si="12"/>
        <v>100</v>
      </c>
      <c r="T32" s="696" t="s">
        <v>14</v>
      </c>
      <c r="U32" s="697">
        <f t="shared" si="13"/>
        <v>100</v>
      </c>
      <c r="V32" s="696" t="s">
        <v>14</v>
      </c>
      <c r="W32" s="697">
        <f t="shared" si="14"/>
        <v>100</v>
      </c>
      <c r="X32" s="1346"/>
      <c r="Y32" s="3712"/>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2"/>
      <c r="Q33" s="1343" t="str">
        <f t="shared" si="11"/>
        <v>成新度</v>
      </c>
      <c r="R33" s="696" t="s">
        <v>14</v>
      </c>
      <c r="S33" s="697" t="e">
        <f t="shared" si="12"/>
        <v>#N/A</v>
      </c>
      <c r="T33" s="696" t="s">
        <v>14</v>
      </c>
      <c r="U33" s="697" t="e">
        <f t="shared" si="13"/>
        <v>#N/A</v>
      </c>
      <c r="V33" s="696" t="s">
        <v>14</v>
      </c>
      <c r="W33" s="697" t="e">
        <f t="shared" si="14"/>
        <v>#N/A</v>
      </c>
      <c r="X33" s="1346"/>
      <c r="Y33" s="3712"/>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2"/>
      <c r="Q34" s="1334" t="str">
        <f t="shared" si="11"/>
        <v>物业管理</v>
      </c>
      <c r="R34" s="692" t="s">
        <v>14</v>
      </c>
      <c r="S34" s="693">
        <f t="shared" si="12"/>
        <v>100</v>
      </c>
      <c r="T34" s="692" t="s">
        <v>14</v>
      </c>
      <c r="U34" s="693">
        <f t="shared" si="13"/>
        <v>100</v>
      </c>
      <c r="V34" s="692" t="s">
        <v>14</v>
      </c>
      <c r="W34" s="693">
        <f t="shared" si="14"/>
        <v>100</v>
      </c>
      <c r="X34" s="694"/>
      <c r="Y34" s="3712"/>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2" t="s">
        <v>1696</v>
      </c>
      <c r="Q35" s="1343" t="str">
        <f t="shared" si="11"/>
        <v>市政基础设施</v>
      </c>
      <c r="R35" s="696" t="s">
        <v>14</v>
      </c>
      <c r="S35" s="697">
        <f t="shared" si="12"/>
        <v>100</v>
      </c>
      <c r="T35" s="696" t="s">
        <v>14</v>
      </c>
      <c r="U35" s="697">
        <f t="shared" si="13"/>
        <v>100</v>
      </c>
      <c r="V35" s="696" t="s">
        <v>14</v>
      </c>
      <c r="W35" s="697">
        <f t="shared" si="14"/>
        <v>100</v>
      </c>
      <c r="X35" s="1346"/>
      <c r="Y35" s="3712"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2"/>
      <c r="Q36" s="1343" t="str">
        <f t="shared" si="11"/>
        <v>内部装修</v>
      </c>
      <c r="R36" s="696" t="s">
        <v>14</v>
      </c>
      <c r="S36" s="697">
        <f t="shared" si="12"/>
        <v>100</v>
      </c>
      <c r="T36" s="696" t="s">
        <v>14</v>
      </c>
      <c r="U36" s="697">
        <f t="shared" si="13"/>
        <v>100</v>
      </c>
      <c r="V36" s="696" t="s">
        <v>14</v>
      </c>
      <c r="W36" s="697">
        <f t="shared" si="14"/>
        <v>100</v>
      </c>
      <c r="X36" s="1346"/>
      <c r="Y36" s="3712"/>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2"/>
      <c r="Q37" s="1343" t="str">
        <f t="shared" si="11"/>
        <v>内部装修状况</v>
      </c>
      <c r="R37" s="696" t="s">
        <v>14</v>
      </c>
      <c r="S37" s="697">
        <f t="shared" si="12"/>
        <v>100</v>
      </c>
      <c r="T37" s="696" t="s">
        <v>14</v>
      </c>
      <c r="U37" s="697">
        <f t="shared" si="13"/>
        <v>100</v>
      </c>
      <c r="V37" s="696" t="s">
        <v>14</v>
      </c>
      <c r="W37" s="697">
        <f t="shared" si="14"/>
        <v>100</v>
      </c>
      <c r="X37" s="1346"/>
      <c r="Y37" s="371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2"/>
      <c r="Q38" s="698">
        <f t="shared" si="11"/>
        <v>111</v>
      </c>
      <c r="R38" s="699" t="s">
        <v>14</v>
      </c>
      <c r="S38" s="700">
        <f t="shared" si="12"/>
        <v>100</v>
      </c>
      <c r="T38" s="699" t="s">
        <v>14</v>
      </c>
      <c r="U38" s="700">
        <f t="shared" si="13"/>
        <v>100</v>
      </c>
      <c r="V38" s="699" t="s">
        <v>14</v>
      </c>
      <c r="W38" s="700">
        <f t="shared" si="14"/>
        <v>100</v>
      </c>
      <c r="X38" s="701"/>
      <c r="Y38" s="371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2"/>
      <c r="Q39" s="1343">
        <f t="shared" si="11"/>
        <v>111</v>
      </c>
      <c r="R39" s="696" t="s">
        <v>14</v>
      </c>
      <c r="S39" s="697">
        <f t="shared" si="12"/>
        <v>100</v>
      </c>
      <c r="T39" s="696" t="s">
        <v>14</v>
      </c>
      <c r="U39" s="697">
        <f t="shared" si="13"/>
        <v>100</v>
      </c>
      <c r="V39" s="696" t="s">
        <v>14</v>
      </c>
      <c r="W39" s="697">
        <f t="shared" si="14"/>
        <v>100</v>
      </c>
      <c r="X39" s="1346"/>
      <c r="Y39" s="371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96"/>
      <c r="Q40" s="1343">
        <f t="shared" si="11"/>
        <v>111</v>
      </c>
      <c r="R40" s="696" t="s">
        <v>14</v>
      </c>
      <c r="S40" s="697">
        <f t="shared" si="12"/>
        <v>100</v>
      </c>
      <c r="T40" s="696" t="s">
        <v>14</v>
      </c>
      <c r="U40" s="697">
        <f t="shared" si="13"/>
        <v>100</v>
      </c>
      <c r="V40" s="696" t="s">
        <v>14</v>
      </c>
      <c r="W40" s="697">
        <f t="shared" si="14"/>
        <v>100</v>
      </c>
      <c r="X40" s="1346"/>
      <c r="Y40" s="3796"/>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08" t="str">
        <f>A41</f>
        <v>成交单价（元/平方米）</v>
      </c>
      <c r="Q41" s="3708"/>
      <c r="R41" s="3792">
        <f>E41</f>
        <v>0</v>
      </c>
      <c r="S41" s="3792"/>
      <c r="T41" s="3792">
        <f>G41</f>
        <v>0</v>
      </c>
      <c r="U41" s="3792"/>
      <c r="V41" s="3792">
        <f>I41</f>
        <v>0</v>
      </c>
      <c r="W41" s="3792"/>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08" t="str">
        <f>A42</f>
        <v>比较价值（元/平方米）</v>
      </c>
      <c r="Q42" s="3708"/>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02" t="str">
        <f>A43</f>
        <v>估价对象XX用房的比较价值（楼面单价，元/平方米）</v>
      </c>
      <c r="Q43" s="3703"/>
      <c r="R43" s="3791" t="e">
        <f>IF(F1="售价",ROUND(IF(D42="简单平均",AVERAGE(R42:V42),R42*F42+T42*H42+V42*J42),0),ROUND(IF(D42="简单平均",AVERAGE(R42:V42),R42*F42+T42*H42+V42*J42),1))</f>
        <v>#DIV/0!</v>
      </c>
      <c r="S43" s="3791"/>
      <c r="T43" s="3791"/>
      <c r="U43" s="3791"/>
      <c r="V43" s="3791"/>
      <c r="W43" s="3791"/>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7"/>
      <c r="O54" s="2758"/>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3331</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45310</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36" t="s">
        <v>1680</v>
      </c>
      <c r="Q7" s="3738"/>
      <c r="R7" s="692" t="s">
        <v>14</v>
      </c>
      <c r="S7" s="693">
        <f t="shared" ref="S7:S14" si="0">F7</f>
        <v>0</v>
      </c>
      <c r="T7" s="692" t="s">
        <v>14</v>
      </c>
      <c r="U7" s="693">
        <f t="shared" ref="U7:U14" si="1">H7</f>
        <v>0</v>
      </c>
      <c r="V7" s="692" t="s">
        <v>14</v>
      </c>
      <c r="W7" s="693">
        <f t="shared" ref="W7:W14"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708" t="s">
        <v>1686</v>
      </c>
      <c r="Q9" s="1334" t="str">
        <f t="shared" ref="Q9:Q14" si="6">B9</f>
        <v>用途</v>
      </c>
      <c r="R9" s="692" t="s">
        <v>14</v>
      </c>
      <c r="S9" s="693">
        <f t="shared" si="0"/>
        <v>100</v>
      </c>
      <c r="T9" s="692" t="s">
        <v>14</v>
      </c>
      <c r="U9" s="693">
        <f t="shared" si="1"/>
        <v>100</v>
      </c>
      <c r="V9" s="692" t="s">
        <v>14</v>
      </c>
      <c r="W9" s="693">
        <f t="shared" si="2"/>
        <v>100</v>
      </c>
      <c r="X9" s="694"/>
      <c r="Y9" s="3608" t="s">
        <v>1687</v>
      </c>
      <c r="Z9" s="52" t="str">
        <f t="shared" ref="Z9:Z14" si="7">Q9</f>
        <v>用途</v>
      </c>
      <c r="AA9" s="695">
        <f t="shared" si="3"/>
        <v>1</v>
      </c>
      <c r="AB9" s="695">
        <f t="shared" si="4"/>
        <v>1</v>
      </c>
      <c r="AC9" s="695">
        <f t="shared" si="5"/>
        <v>1</v>
      </c>
    </row>
    <row r="10" spans="1:29" s="372" customFormat="1" ht="27">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708"/>
      <c r="Q11" s="1334">
        <f t="shared" si="6"/>
        <v>111</v>
      </c>
      <c r="R11" s="692" t="s">
        <v>14</v>
      </c>
      <c r="S11" s="693">
        <f t="shared" si="0"/>
        <v>100</v>
      </c>
      <c r="T11" s="692" t="s">
        <v>14</v>
      </c>
      <c r="U11" s="693">
        <f t="shared" si="1"/>
        <v>100</v>
      </c>
      <c r="V11" s="692" t="s">
        <v>14</v>
      </c>
      <c r="W11" s="693">
        <f t="shared" si="2"/>
        <v>100</v>
      </c>
      <c r="X11" s="694"/>
      <c r="Y11" s="3608"/>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6.75">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709" t="s">
        <v>1691</v>
      </c>
      <c r="Q14" s="1343" t="str">
        <f t="shared" si="6"/>
        <v>交通便捷度</v>
      </c>
      <c r="R14" s="696" t="s">
        <v>14</v>
      </c>
      <c r="S14" s="697">
        <f t="shared" si="0"/>
        <v>100</v>
      </c>
      <c r="T14" s="696" t="s">
        <v>14</v>
      </c>
      <c r="U14" s="697">
        <f t="shared" si="1"/>
        <v>100</v>
      </c>
      <c r="V14" s="696" t="s">
        <v>14</v>
      </c>
      <c r="W14" s="697">
        <f t="shared" si="2"/>
        <v>100</v>
      </c>
      <c r="X14" s="1346"/>
      <c r="Y14" s="3709"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710"/>
      <c r="Q15" s="1343"/>
      <c r="R15" s="696"/>
      <c r="S15" s="697"/>
      <c r="T15" s="696"/>
      <c r="U15" s="697"/>
      <c r="V15" s="696"/>
      <c r="W15" s="697"/>
      <c r="X15" s="1346"/>
      <c r="Y15" s="3710"/>
      <c r="Z15" s="1347"/>
      <c r="AA15" s="1344">
        <v>1</v>
      </c>
      <c r="AB15" s="1344">
        <v>1</v>
      </c>
      <c r="AC15" s="1344">
        <v>1</v>
      </c>
    </row>
    <row r="16" spans="1:29" ht="199.5">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710"/>
      <c r="Q17" s="1343"/>
      <c r="R17" s="696"/>
      <c r="S17" s="697"/>
      <c r="T17" s="696"/>
      <c r="U17" s="697"/>
      <c r="V17" s="696"/>
      <c r="W17" s="697"/>
      <c r="X17" s="1346"/>
      <c r="Y17" s="3710"/>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710"/>
      <c r="Q19" s="1343"/>
      <c r="R19" s="696"/>
      <c r="S19" s="697"/>
      <c r="T19" s="696"/>
      <c r="U19" s="697"/>
      <c r="V19" s="696"/>
      <c r="W19" s="697"/>
      <c r="X19" s="1346"/>
      <c r="Y19" s="3710"/>
      <c r="Z19" s="1347"/>
      <c r="AA19" s="1344">
        <v>1</v>
      </c>
      <c r="AB19" s="1344">
        <v>1</v>
      </c>
      <c r="AC19" s="1344">
        <v>1</v>
      </c>
    </row>
    <row r="20" spans="1:29" ht="85.5">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710"/>
      <c r="Q21" s="1343"/>
      <c r="R21" s="696"/>
      <c r="S21" s="697"/>
      <c r="T21" s="696"/>
      <c r="U21" s="697"/>
      <c r="V21" s="696"/>
      <c r="W21" s="697"/>
      <c r="X21" s="1346"/>
      <c r="Y21" s="3710"/>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710"/>
      <c r="Q24" s="1343">
        <f t="shared" ref="Q24:Q36"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11"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2"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12"/>
      <c r="Q27" s="698" t="str">
        <f t="shared" si="11"/>
        <v>项目停车位配比</v>
      </c>
      <c r="R27" s="699" t="s">
        <v>14</v>
      </c>
      <c r="S27" s="700">
        <f t="shared" si="12"/>
        <v>100</v>
      </c>
      <c r="T27" s="699" t="s">
        <v>14</v>
      </c>
      <c r="U27" s="700">
        <f t="shared" si="13"/>
        <v>100</v>
      </c>
      <c r="V27" s="699" t="s">
        <v>14</v>
      </c>
      <c r="W27" s="700">
        <f t="shared" si="14"/>
        <v>100</v>
      </c>
      <c r="X27" s="701"/>
      <c r="Y27" s="3712"/>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12"/>
      <c r="Q28" s="1343" t="str">
        <f t="shared" si="11"/>
        <v>公共部分装修</v>
      </c>
      <c r="R28" s="696" t="s">
        <v>14</v>
      </c>
      <c r="S28" s="697">
        <f t="shared" si="12"/>
        <v>100</v>
      </c>
      <c r="T28" s="696" t="s">
        <v>14</v>
      </c>
      <c r="U28" s="697">
        <f t="shared" si="13"/>
        <v>100</v>
      </c>
      <c r="V28" s="696" t="s">
        <v>14</v>
      </c>
      <c r="W28" s="697">
        <f t="shared" si="14"/>
        <v>100</v>
      </c>
      <c r="X28" s="1346"/>
      <c r="Y28" s="3712"/>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12"/>
      <c r="Q29" s="1343" t="str">
        <f t="shared" si="11"/>
        <v>成新率</v>
      </c>
      <c r="R29" s="696" t="s">
        <v>14</v>
      </c>
      <c r="S29" s="697" t="e">
        <f t="shared" si="12"/>
        <v>#N/A</v>
      </c>
      <c r="T29" s="696" t="s">
        <v>14</v>
      </c>
      <c r="U29" s="697" t="e">
        <f t="shared" si="13"/>
        <v>#N/A</v>
      </c>
      <c r="V29" s="696" t="s">
        <v>14</v>
      </c>
      <c r="W29" s="697" t="e">
        <f t="shared" si="14"/>
        <v>#N/A</v>
      </c>
      <c r="X29" s="1346"/>
      <c r="Y29" s="3712"/>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12"/>
      <c r="Q30" s="1343" t="str">
        <f t="shared" si="11"/>
        <v>物业等级</v>
      </c>
      <c r="R30" s="696" t="s">
        <v>14</v>
      </c>
      <c r="S30" s="697">
        <f t="shared" si="12"/>
        <v>100</v>
      </c>
      <c r="T30" s="696" t="s">
        <v>14</v>
      </c>
      <c r="U30" s="697">
        <f t="shared" si="13"/>
        <v>100</v>
      </c>
      <c r="V30" s="696" t="s">
        <v>14</v>
      </c>
      <c r="W30" s="697">
        <f t="shared" si="14"/>
        <v>100</v>
      </c>
      <c r="X30" s="1346"/>
      <c r="Y30" s="3712"/>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12"/>
      <c r="Q31" s="1334" t="str">
        <f t="shared" si="11"/>
        <v>停车位面积</v>
      </c>
      <c r="R31" s="692" t="s">
        <v>14</v>
      </c>
      <c r="S31" s="693" t="e">
        <f t="shared" si="12"/>
        <v>#N/A</v>
      </c>
      <c r="T31" s="692" t="s">
        <v>14</v>
      </c>
      <c r="U31" s="693" t="e">
        <f t="shared" si="13"/>
        <v>#N/A</v>
      </c>
      <c r="V31" s="692" t="s">
        <v>14</v>
      </c>
      <c r="W31" s="693" t="e">
        <f t="shared" si="14"/>
        <v>#N/A</v>
      </c>
      <c r="X31" s="694"/>
      <c r="Y31" s="3712"/>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12" t="s">
        <v>1696</v>
      </c>
      <c r="Q32" s="1343" t="str">
        <f t="shared" si="11"/>
        <v>车位类型</v>
      </c>
      <c r="R32" s="696" t="s">
        <v>14</v>
      </c>
      <c r="S32" s="697">
        <f t="shared" si="12"/>
        <v>100</v>
      </c>
      <c r="T32" s="696" t="s">
        <v>14</v>
      </c>
      <c r="U32" s="697">
        <f t="shared" si="13"/>
        <v>100</v>
      </c>
      <c r="V32" s="696" t="s">
        <v>14</v>
      </c>
      <c r="W32" s="697">
        <f t="shared" si="14"/>
        <v>100</v>
      </c>
      <c r="X32" s="1346"/>
      <c r="Y32" s="3712"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12"/>
      <c r="Q33" s="1343" t="str">
        <f t="shared" si="11"/>
        <v>是否直接入户</v>
      </c>
      <c r="R33" s="696" t="s">
        <v>14</v>
      </c>
      <c r="S33" s="697">
        <f t="shared" si="12"/>
        <v>100</v>
      </c>
      <c r="T33" s="696" t="s">
        <v>14</v>
      </c>
      <c r="U33" s="697">
        <f t="shared" si="13"/>
        <v>100</v>
      </c>
      <c r="V33" s="696" t="s">
        <v>14</v>
      </c>
      <c r="W33" s="697">
        <f t="shared" si="14"/>
        <v>100</v>
      </c>
      <c r="X33" s="1346"/>
      <c r="Y33" s="371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12"/>
      <c r="Q34" s="1343">
        <f t="shared" si="11"/>
        <v>111</v>
      </c>
      <c r="R34" s="696" t="s">
        <v>14</v>
      </c>
      <c r="S34" s="697">
        <f t="shared" si="12"/>
        <v>100</v>
      </c>
      <c r="T34" s="696" t="s">
        <v>14</v>
      </c>
      <c r="U34" s="697">
        <f t="shared" si="13"/>
        <v>100</v>
      </c>
      <c r="V34" s="696" t="s">
        <v>14</v>
      </c>
      <c r="W34" s="697">
        <f t="shared" si="14"/>
        <v>100</v>
      </c>
      <c r="X34" s="1346"/>
      <c r="Y34" s="371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12"/>
      <c r="Q35" s="698">
        <f t="shared" si="11"/>
        <v>111</v>
      </c>
      <c r="R35" s="699" t="s">
        <v>14</v>
      </c>
      <c r="S35" s="700">
        <f t="shared" si="12"/>
        <v>100</v>
      </c>
      <c r="T35" s="699" t="s">
        <v>14</v>
      </c>
      <c r="U35" s="700">
        <f t="shared" si="13"/>
        <v>100</v>
      </c>
      <c r="V35" s="699" t="s">
        <v>14</v>
      </c>
      <c r="W35" s="700">
        <f t="shared" si="14"/>
        <v>100</v>
      </c>
      <c r="X35" s="701"/>
      <c r="Y35" s="371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12"/>
      <c r="Q36" s="1343">
        <f t="shared" si="11"/>
        <v>111</v>
      </c>
      <c r="R36" s="696" t="s">
        <v>14</v>
      </c>
      <c r="S36" s="697">
        <f t="shared" si="12"/>
        <v>100</v>
      </c>
      <c r="T36" s="696" t="s">
        <v>14</v>
      </c>
      <c r="U36" s="697">
        <f t="shared" si="13"/>
        <v>100</v>
      </c>
      <c r="V36" s="696" t="s">
        <v>14</v>
      </c>
      <c r="W36" s="697">
        <f t="shared" si="14"/>
        <v>100</v>
      </c>
      <c r="X36" s="1346"/>
      <c r="Y36" s="3712"/>
      <c r="Z36" s="1347">
        <f t="shared" si="15"/>
        <v>111</v>
      </c>
      <c r="AA36" s="1344">
        <f t="shared" si="3"/>
        <v>1</v>
      </c>
      <c r="AB36" s="1344">
        <f t="shared" si="4"/>
        <v>1</v>
      </c>
      <c r="AC36" s="1344">
        <f t="shared" si="5"/>
        <v>1</v>
      </c>
    </row>
    <row r="37" spans="1:29" ht="15">
      <c r="A37" s="424" t="s">
        <v>1844</v>
      </c>
      <c r="B37" s="1964" t="s">
        <v>3352</v>
      </c>
      <c r="C37" s="1145" t="s">
        <v>0</v>
      </c>
      <c r="D37" s="1146"/>
      <c r="E37" s="1147"/>
      <c r="F37" s="1148"/>
      <c r="G37" s="1149"/>
      <c r="H37" s="1150"/>
      <c r="I37" s="1147"/>
      <c r="J37" s="1150"/>
      <c r="K37" s="562"/>
      <c r="L37" s="2711"/>
      <c r="M37" s="2712"/>
      <c r="N37" s="2703"/>
      <c r="O37" s="2712"/>
      <c r="P37" s="3708" t="str">
        <f>A37</f>
        <v>成交单价</v>
      </c>
      <c r="Q37" s="3708"/>
      <c r="R37" s="3792">
        <f>E37</f>
        <v>0</v>
      </c>
      <c r="S37" s="3792"/>
      <c r="T37" s="3792">
        <f>G37</f>
        <v>0</v>
      </c>
      <c r="U37" s="3792"/>
      <c r="V37" s="3792">
        <f>I37</f>
        <v>0</v>
      </c>
      <c r="W37" s="3792"/>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708" t="str">
        <f>A38</f>
        <v>比较价值（元/平方米）</v>
      </c>
      <c r="Q38" s="3708"/>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1"/>
      <c r="M39" s="2712"/>
      <c r="N39" s="2712"/>
      <c r="O39" s="2712"/>
      <c r="P39" s="3702" t="str">
        <f>A39</f>
        <v>估价对象XX用房的比较价值（楼面单价，元/平方米）</v>
      </c>
      <c r="Q39" s="3703"/>
      <c r="R39" s="3814" t="e">
        <f>IF(F1="售价",ROUND(IF(D38="简单平均",AVERAGE(R38:W38),R38*F38+T38*H38+V38*J38),0),ROUND(IF(D38="简单平均",AVERAGE(R38:V38),R38*F38+T38*H38+V38*J38),1))</f>
        <v>#DIV/0!</v>
      </c>
      <c r="S39" s="3814"/>
      <c r="T39" s="3814"/>
      <c r="U39" s="3814"/>
      <c r="V39" s="3814"/>
      <c r="W39" s="3814"/>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6"/>
      <c r="Q48" s="2728"/>
      <c r="R48" s="2728"/>
      <c r="S48" s="2728"/>
      <c r="T48" s="2728"/>
      <c r="U48" s="2728"/>
      <c r="V48" s="2728"/>
      <c r="W48" s="2728"/>
      <c r="X48" s="2728"/>
      <c r="Y48" s="2728"/>
      <c r="Z48" s="2728"/>
      <c r="AA48" s="2728"/>
      <c r="AB48" s="2728"/>
      <c r="AC48" s="2728"/>
    </row>
    <row r="49" spans="1:29" s="108" customFormat="1" ht="15">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3332</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45310</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736" t="s">
        <v>1680</v>
      </c>
      <c r="Q7" s="3738"/>
      <c r="R7" s="692" t="s">
        <v>14</v>
      </c>
      <c r="S7" s="693">
        <f t="shared" ref="S7:S14" si="0">F7</f>
        <v>0</v>
      </c>
      <c r="T7" s="692" t="s">
        <v>14</v>
      </c>
      <c r="U7" s="693">
        <f t="shared" ref="U7:U14" si="1">H7</f>
        <v>0</v>
      </c>
      <c r="V7" s="692" t="s">
        <v>14</v>
      </c>
      <c r="W7" s="693">
        <f t="shared" ref="W7:W14"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708" t="s">
        <v>1686</v>
      </c>
      <c r="Q9" s="1334" t="str">
        <f t="shared" ref="Q9:Q14" si="6">B9</f>
        <v>用途</v>
      </c>
      <c r="R9" s="692" t="s">
        <v>14</v>
      </c>
      <c r="S9" s="693">
        <f t="shared" si="0"/>
        <v>100</v>
      </c>
      <c r="T9" s="692" t="s">
        <v>14</v>
      </c>
      <c r="U9" s="693">
        <f t="shared" si="1"/>
        <v>100</v>
      </c>
      <c r="V9" s="692" t="s">
        <v>14</v>
      </c>
      <c r="W9" s="693">
        <f t="shared" si="2"/>
        <v>100</v>
      </c>
      <c r="X9" s="694"/>
      <c r="Y9" s="3608" t="s">
        <v>1687</v>
      </c>
      <c r="Z9" s="52" t="str">
        <f t="shared" ref="Z9:Z14" si="7">Q9</f>
        <v>用途</v>
      </c>
      <c r="AA9" s="695">
        <f t="shared" si="3"/>
        <v>1</v>
      </c>
      <c r="AB9" s="695">
        <f t="shared" si="4"/>
        <v>1</v>
      </c>
      <c r="AC9" s="695">
        <f t="shared" si="5"/>
        <v>1</v>
      </c>
    </row>
    <row r="10" spans="1:29" s="372" customFormat="1" ht="27">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708"/>
      <c r="Q11" s="1334">
        <f t="shared" si="6"/>
        <v>111</v>
      </c>
      <c r="R11" s="692" t="s">
        <v>14</v>
      </c>
      <c r="S11" s="693">
        <f t="shared" si="0"/>
        <v>100</v>
      </c>
      <c r="T11" s="692" t="s">
        <v>14</v>
      </c>
      <c r="U11" s="693">
        <f t="shared" si="1"/>
        <v>100</v>
      </c>
      <c r="V11" s="692" t="s">
        <v>14</v>
      </c>
      <c r="W11" s="693">
        <f t="shared" si="2"/>
        <v>100</v>
      </c>
      <c r="X11" s="694"/>
      <c r="Y11" s="3608"/>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6.75">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709" t="s">
        <v>1691</v>
      </c>
      <c r="Q14" s="1343" t="str">
        <f t="shared" si="6"/>
        <v>交通便捷度</v>
      </c>
      <c r="R14" s="696" t="s">
        <v>14</v>
      </c>
      <c r="S14" s="697">
        <f t="shared" si="0"/>
        <v>100</v>
      </c>
      <c r="T14" s="696" t="s">
        <v>14</v>
      </c>
      <c r="U14" s="697">
        <f t="shared" si="1"/>
        <v>100</v>
      </c>
      <c r="V14" s="696" t="s">
        <v>14</v>
      </c>
      <c r="W14" s="697">
        <f t="shared" si="2"/>
        <v>100</v>
      </c>
      <c r="X14" s="1346"/>
      <c r="Y14" s="3709"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710"/>
      <c r="Q15" s="1343"/>
      <c r="R15" s="696"/>
      <c r="S15" s="697"/>
      <c r="T15" s="696"/>
      <c r="U15" s="697"/>
      <c r="V15" s="696"/>
      <c r="W15" s="697"/>
      <c r="X15" s="1346"/>
      <c r="Y15" s="3710"/>
      <c r="Z15" s="1347"/>
      <c r="AA15" s="1344">
        <v>1</v>
      </c>
      <c r="AB15" s="1344">
        <v>1</v>
      </c>
      <c r="AC15" s="1344">
        <v>1</v>
      </c>
    </row>
    <row r="16" spans="1:29" ht="199.5">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710"/>
      <c r="Q17" s="1343"/>
      <c r="R17" s="696"/>
      <c r="S17" s="697"/>
      <c r="T17" s="696"/>
      <c r="U17" s="697"/>
      <c r="V17" s="696"/>
      <c r="W17" s="697"/>
      <c r="X17" s="1346"/>
      <c r="Y17" s="3710"/>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710"/>
      <c r="Q19" s="1343"/>
      <c r="R19" s="696"/>
      <c r="S19" s="697"/>
      <c r="T19" s="696"/>
      <c r="U19" s="697"/>
      <c r="V19" s="696"/>
      <c r="W19" s="697"/>
      <c r="X19" s="1346"/>
      <c r="Y19" s="3710"/>
      <c r="Z19" s="1347"/>
      <c r="AA19" s="1344">
        <v>1</v>
      </c>
      <c r="AB19" s="1344">
        <v>1</v>
      </c>
      <c r="AC19" s="1344">
        <v>1</v>
      </c>
    </row>
    <row r="20" spans="1:29" ht="85.5">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710"/>
      <c r="Q21" s="1343"/>
      <c r="R21" s="696"/>
      <c r="S21" s="697"/>
      <c r="T21" s="696"/>
      <c r="U21" s="697"/>
      <c r="V21" s="696"/>
      <c r="W21" s="697"/>
      <c r="X21" s="1346"/>
      <c r="Y21" s="3710"/>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710"/>
      <c r="Q24" s="1343">
        <f t="shared" ref="Q24:Q34"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711"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2"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12"/>
      <c r="Q27" s="698" t="str">
        <f t="shared" si="11"/>
        <v>成新率</v>
      </c>
      <c r="R27" s="699" t="s">
        <v>14</v>
      </c>
      <c r="S27" s="700" t="e">
        <f t="shared" si="12"/>
        <v>#N/A</v>
      </c>
      <c r="T27" s="699" t="s">
        <v>14</v>
      </c>
      <c r="U27" s="700" t="e">
        <f t="shared" si="13"/>
        <v>#N/A</v>
      </c>
      <c r="V27" s="699" t="s">
        <v>14</v>
      </c>
      <c r="W27" s="700" t="e">
        <f t="shared" si="14"/>
        <v>#N/A</v>
      </c>
      <c r="X27" s="701"/>
      <c r="Y27" s="3712"/>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12"/>
      <c r="Q28" s="1343" t="str">
        <f t="shared" si="11"/>
        <v>物业等级</v>
      </c>
      <c r="R28" s="696" t="s">
        <v>14</v>
      </c>
      <c r="S28" s="697">
        <f t="shared" si="12"/>
        <v>100</v>
      </c>
      <c r="T28" s="696" t="s">
        <v>14</v>
      </c>
      <c r="U28" s="697">
        <f t="shared" si="13"/>
        <v>100</v>
      </c>
      <c r="V28" s="696" t="s">
        <v>14</v>
      </c>
      <c r="W28" s="697">
        <f t="shared" si="14"/>
        <v>100</v>
      </c>
      <c r="X28" s="1346"/>
      <c r="Y28" s="3712"/>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12"/>
      <c r="Q29" s="1343" t="str">
        <f t="shared" si="11"/>
        <v>有无电梯</v>
      </c>
      <c r="R29" s="696" t="s">
        <v>14</v>
      </c>
      <c r="S29" s="697">
        <f t="shared" si="12"/>
        <v>100</v>
      </c>
      <c r="T29" s="696" t="s">
        <v>14</v>
      </c>
      <c r="U29" s="697">
        <f t="shared" si="13"/>
        <v>100</v>
      </c>
      <c r="V29" s="696" t="s">
        <v>14</v>
      </c>
      <c r="W29" s="697">
        <f t="shared" si="14"/>
        <v>100</v>
      </c>
      <c r="X29" s="1346"/>
      <c r="Y29" s="3712"/>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12"/>
      <c r="Q30" s="1343" t="str">
        <f t="shared" si="11"/>
        <v>建筑面积</v>
      </c>
      <c r="R30" s="696" t="s">
        <v>14</v>
      </c>
      <c r="S30" s="697" t="e">
        <f t="shared" si="12"/>
        <v>#N/A</v>
      </c>
      <c r="T30" s="696" t="s">
        <v>14</v>
      </c>
      <c r="U30" s="697" t="e">
        <f t="shared" si="13"/>
        <v>#N/A</v>
      </c>
      <c r="V30" s="696" t="s">
        <v>14</v>
      </c>
      <c r="W30" s="697" t="e">
        <f t="shared" si="14"/>
        <v>#N/A</v>
      </c>
      <c r="X30" s="1346"/>
      <c r="Y30" s="3712"/>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12"/>
      <c r="Q31" s="1334" t="str">
        <f t="shared" si="11"/>
        <v>是否封闭</v>
      </c>
      <c r="R31" s="692" t="s">
        <v>14</v>
      </c>
      <c r="S31" s="693">
        <f t="shared" si="12"/>
        <v>100</v>
      </c>
      <c r="T31" s="692" t="s">
        <v>14</v>
      </c>
      <c r="U31" s="693">
        <f t="shared" si="13"/>
        <v>100</v>
      </c>
      <c r="V31" s="692" t="s">
        <v>14</v>
      </c>
      <c r="W31" s="693">
        <f t="shared" si="14"/>
        <v>100</v>
      </c>
      <c r="X31" s="694"/>
      <c r="Y31" s="371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12" t="s">
        <v>1696</v>
      </c>
      <c r="Q32" s="1343">
        <f t="shared" si="11"/>
        <v>111</v>
      </c>
      <c r="R32" s="696" t="s">
        <v>14</v>
      </c>
      <c r="S32" s="697">
        <f t="shared" si="12"/>
        <v>100</v>
      </c>
      <c r="T32" s="696" t="s">
        <v>14</v>
      </c>
      <c r="U32" s="697">
        <f t="shared" si="13"/>
        <v>100</v>
      </c>
      <c r="V32" s="696" t="s">
        <v>14</v>
      </c>
      <c r="W32" s="697">
        <f t="shared" si="14"/>
        <v>100</v>
      </c>
      <c r="X32" s="1346"/>
      <c r="Y32" s="3712"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12"/>
      <c r="Q33" s="1343">
        <f t="shared" si="11"/>
        <v>111</v>
      </c>
      <c r="R33" s="696" t="s">
        <v>14</v>
      </c>
      <c r="S33" s="697">
        <f t="shared" si="12"/>
        <v>100</v>
      </c>
      <c r="T33" s="696" t="s">
        <v>14</v>
      </c>
      <c r="U33" s="697">
        <f t="shared" si="13"/>
        <v>100</v>
      </c>
      <c r="V33" s="696" t="s">
        <v>14</v>
      </c>
      <c r="W33" s="697">
        <f t="shared" si="14"/>
        <v>100</v>
      </c>
      <c r="X33" s="1346"/>
      <c r="Y33" s="371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712"/>
      <c r="Q34" s="1343">
        <f t="shared" si="11"/>
        <v>111</v>
      </c>
      <c r="R34" s="696" t="s">
        <v>14</v>
      </c>
      <c r="S34" s="697">
        <f t="shared" si="12"/>
        <v>100</v>
      </c>
      <c r="T34" s="696" t="s">
        <v>14</v>
      </c>
      <c r="U34" s="697">
        <f t="shared" si="13"/>
        <v>100</v>
      </c>
      <c r="V34" s="696" t="s">
        <v>14</v>
      </c>
      <c r="W34" s="697">
        <f t="shared" si="14"/>
        <v>100</v>
      </c>
      <c r="X34" s="1346"/>
      <c r="Y34" s="3712"/>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1"/>
      <c r="M35" s="2712"/>
      <c r="N35" s="2703"/>
      <c r="O35" s="2712"/>
      <c r="P35" s="3708" t="str">
        <f>A35</f>
        <v>成交单价（元/平方米）</v>
      </c>
      <c r="Q35" s="3708"/>
      <c r="R35" s="3792">
        <f>E35</f>
        <v>0</v>
      </c>
      <c r="S35" s="3792"/>
      <c r="T35" s="3792">
        <f>G35</f>
        <v>0</v>
      </c>
      <c r="U35" s="3792"/>
      <c r="V35" s="3792">
        <f>I35</f>
        <v>0</v>
      </c>
      <c r="W35" s="3792"/>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708" t="str">
        <f>A36</f>
        <v>比较价值（元/平方米）</v>
      </c>
      <c r="Q36" s="3708"/>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1"/>
      <c r="M37" s="2712"/>
      <c r="N37" s="2712"/>
      <c r="O37" s="2712"/>
      <c r="P37" s="3702" t="str">
        <f>A37</f>
        <v>估价对象XX用房的比较价值（楼面单价，元/平方米）</v>
      </c>
      <c r="Q37" s="3703"/>
      <c r="R37" s="3814" t="e">
        <f>IF(F1="售价",ROUND(IF(D36="简单平均",AVERAGE(R36:W36),R36*F36+T36*H36+V36*J36),0),ROUND(IF(D36="简单平均",AVERAGE(R36:V36),R36*F36+T36*H36+V36*J36),1))</f>
        <v>#DIV/0!</v>
      </c>
      <c r="S37" s="3814"/>
      <c r="T37" s="3814"/>
      <c r="U37" s="3814"/>
      <c r="V37" s="3814"/>
      <c r="W37" s="3814"/>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815" t="s">
        <v>1919</v>
      </c>
      <c r="D6" s="3816"/>
      <c r="E6" s="3817" t="s">
        <v>1919</v>
      </c>
      <c r="F6" s="3818"/>
      <c r="G6" s="3815" t="s">
        <v>1919</v>
      </c>
      <c r="H6" s="3816"/>
      <c r="I6" s="3815" t="s">
        <v>1919</v>
      </c>
      <c r="J6" s="3816"/>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45310</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36" t="s">
        <v>1683</v>
      </c>
      <c r="Q8" s="3737"/>
      <c r="R8" s="692" t="s">
        <v>14</v>
      </c>
      <c r="S8" s="693">
        <f t="shared" si="0"/>
        <v>0</v>
      </c>
      <c r="T8" s="692" t="s">
        <v>14</v>
      </c>
      <c r="U8" s="693">
        <f t="shared" si="1"/>
        <v>0</v>
      </c>
      <c r="V8" s="692" t="s">
        <v>14</v>
      </c>
      <c r="W8" s="693">
        <f t="shared" si="2"/>
        <v>0</v>
      </c>
      <c r="X8" s="694"/>
      <c r="Y8" s="3736" t="s">
        <v>1683</v>
      </c>
      <c r="Z8" s="3737"/>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108</v>
      </c>
      <c r="G10" s="377"/>
      <c r="H10" s="121">
        <f>ROUND(100/'数据-取费表'!G16,0)</f>
        <v>108</v>
      </c>
      <c r="I10" s="377"/>
      <c r="J10" s="121">
        <f>ROUND(100/'数据-取费表'!G16,0)</f>
        <v>108</v>
      </c>
      <c r="K10" s="614"/>
      <c r="L10" s="2706"/>
      <c r="M10" s="2707"/>
      <c r="N10" s="2707"/>
      <c r="O10" s="2760"/>
      <c r="P10" s="3708"/>
      <c r="Q10" s="1334" t="str">
        <f t="shared" si="6"/>
        <v>土地使用年限（年）</v>
      </c>
      <c r="R10" s="692" t="s">
        <v>14</v>
      </c>
      <c r="S10" s="693">
        <f t="shared" si="0"/>
        <v>108</v>
      </c>
      <c r="T10" s="692" t="s">
        <v>14</v>
      </c>
      <c r="U10" s="693">
        <f t="shared" si="1"/>
        <v>108</v>
      </c>
      <c r="V10" s="692" t="s">
        <v>14</v>
      </c>
      <c r="W10" s="693">
        <f t="shared" si="2"/>
        <v>108</v>
      </c>
      <c r="X10" s="694"/>
      <c r="Y10" s="3608"/>
      <c r="Z10" s="52" t="str">
        <f t="shared" si="7"/>
        <v>土地使用年限（年）</v>
      </c>
      <c r="AA10" s="695">
        <f t="shared" si="3"/>
        <v>0.92592592592592593</v>
      </c>
      <c r="AB10" s="695">
        <f t="shared" si="4"/>
        <v>0.92592592592592593</v>
      </c>
      <c r="AC10" s="695">
        <f t="shared" si="5"/>
        <v>0.92592592592592593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708"/>
      <c r="Q11" s="1334" t="str">
        <f t="shared" si="6"/>
        <v>容积率</v>
      </c>
      <c r="R11" s="692" t="s">
        <v>14</v>
      </c>
      <c r="S11" s="693" t="e">
        <f t="shared" si="0"/>
        <v>#N/A</v>
      </c>
      <c r="T11" s="692" t="s">
        <v>14</v>
      </c>
      <c r="U11" s="693" t="e">
        <f t="shared" si="1"/>
        <v>#N/A</v>
      </c>
      <c r="V11" s="692" t="s">
        <v>14</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709" t="s">
        <v>1691</v>
      </c>
      <c r="Q15" s="1343" t="str">
        <f t="shared" si="6"/>
        <v>产业集聚程度</v>
      </c>
      <c r="R15" s="696" t="s">
        <v>14</v>
      </c>
      <c r="S15" s="697">
        <f t="shared" si="0"/>
        <v>100</v>
      </c>
      <c r="T15" s="696" t="s">
        <v>14</v>
      </c>
      <c r="U15" s="697">
        <f t="shared" si="1"/>
        <v>100</v>
      </c>
      <c r="V15" s="696" t="s">
        <v>14</v>
      </c>
      <c r="W15" s="697">
        <f t="shared" si="2"/>
        <v>100</v>
      </c>
      <c r="X15" s="1346"/>
      <c r="Y15" s="3709"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710"/>
      <c r="Q16" s="1343"/>
      <c r="R16" s="696"/>
      <c r="S16" s="697"/>
      <c r="T16" s="696"/>
      <c r="U16" s="697"/>
      <c r="V16" s="696"/>
      <c r="W16" s="697"/>
      <c r="X16" s="1346"/>
      <c r="Y16" s="3710"/>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710"/>
      <c r="Q18" s="1343"/>
      <c r="R18" s="696"/>
      <c r="S18" s="697"/>
      <c r="T18" s="696"/>
      <c r="U18" s="697"/>
      <c r="V18" s="696"/>
      <c r="W18" s="697"/>
      <c r="X18" s="1346"/>
      <c r="Y18" s="3710"/>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710"/>
      <c r="Q19" s="1343" t="str">
        <f t="shared" ref="Q19:Q33" si="8">B19</f>
        <v>区域土地利用方向</v>
      </c>
      <c r="R19" s="696" t="s">
        <v>14</v>
      </c>
      <c r="S19" s="697">
        <f>F19</f>
        <v>100</v>
      </c>
      <c r="T19" s="696" t="s">
        <v>14</v>
      </c>
      <c r="U19" s="697">
        <f>H19</f>
        <v>100</v>
      </c>
      <c r="V19" s="696" t="s">
        <v>14</v>
      </c>
      <c r="W19" s="697">
        <f>J19</f>
        <v>100</v>
      </c>
      <c r="X19" s="1346"/>
      <c r="Y19" s="371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710"/>
      <c r="Q20" s="1343"/>
      <c r="R20" s="696"/>
      <c r="S20" s="697"/>
      <c r="T20" s="696"/>
      <c r="U20" s="697"/>
      <c r="V20" s="696"/>
      <c r="W20" s="697"/>
      <c r="X20" s="1346"/>
      <c r="Y20" s="3710"/>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710"/>
      <c r="Q21" s="1343" t="str">
        <f t="shared" si="8"/>
        <v>环境状况</v>
      </c>
      <c r="R21" s="696" t="s">
        <v>14</v>
      </c>
      <c r="S21" s="697">
        <f>F21</f>
        <v>100</v>
      </c>
      <c r="T21" s="696" t="s">
        <v>14</v>
      </c>
      <c r="U21" s="697">
        <f>H21</f>
        <v>100</v>
      </c>
      <c r="V21" s="696" t="s">
        <v>14</v>
      </c>
      <c r="W21" s="697">
        <f>J21</f>
        <v>100</v>
      </c>
      <c r="X21" s="1346"/>
      <c r="Y21" s="371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710"/>
      <c r="Q22" s="1343"/>
      <c r="R22" s="696"/>
      <c r="S22" s="697"/>
      <c r="T22" s="696"/>
      <c r="U22" s="697"/>
      <c r="V22" s="696"/>
      <c r="W22" s="697"/>
      <c r="X22" s="1346"/>
      <c r="Y22" s="3710"/>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710"/>
      <c r="Q23" s="1334" t="str">
        <f t="shared" si="8"/>
        <v>公共配套设施</v>
      </c>
      <c r="R23" s="692" t="s">
        <v>14</v>
      </c>
      <c r="S23" s="693">
        <f>F23</f>
        <v>100</v>
      </c>
      <c r="T23" s="692" t="s">
        <v>14</v>
      </c>
      <c r="U23" s="693">
        <f>H23</f>
        <v>100</v>
      </c>
      <c r="V23" s="692" t="s">
        <v>14</v>
      </c>
      <c r="W23" s="693">
        <f>J23</f>
        <v>100</v>
      </c>
      <c r="X23" s="694"/>
      <c r="Y23" s="371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710"/>
      <c r="Q24" s="1334"/>
      <c r="R24" s="692"/>
      <c r="S24" s="693"/>
      <c r="T24" s="692"/>
      <c r="U24" s="693"/>
      <c r="V24" s="692"/>
      <c r="W24" s="693"/>
      <c r="X24" s="694"/>
      <c r="Y24" s="3710"/>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710"/>
      <c r="Q25" s="1334" t="str">
        <f t="shared" ref="Q25" si="9">B25</f>
        <v>基础设施水平</v>
      </c>
      <c r="R25" s="692" t="s">
        <v>14</v>
      </c>
      <c r="S25" s="693">
        <f>F25</f>
        <v>100</v>
      </c>
      <c r="T25" s="692" t="s">
        <v>14</v>
      </c>
      <c r="U25" s="693">
        <f>H25</f>
        <v>100</v>
      </c>
      <c r="V25" s="692" t="s">
        <v>14</v>
      </c>
      <c r="W25" s="693">
        <f>J25</f>
        <v>100</v>
      </c>
      <c r="X25" s="694"/>
      <c r="Y25" s="371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710"/>
      <c r="Q26" s="1334"/>
      <c r="R26" s="692"/>
      <c r="S26" s="693"/>
      <c r="T26" s="692"/>
      <c r="U26" s="693"/>
      <c r="V26" s="692"/>
      <c r="W26" s="693"/>
      <c r="X26" s="694"/>
      <c r="Y26" s="3710"/>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71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0"/>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710"/>
      <c r="Q28" s="1343" t="str">
        <f t="shared" si="8"/>
        <v>毗邻道路的类型与等级</v>
      </c>
      <c r="R28" s="696" t="s">
        <v>14</v>
      </c>
      <c r="S28" s="697">
        <f t="shared" si="10"/>
        <v>100</v>
      </c>
      <c r="T28" s="696" t="s">
        <v>14</v>
      </c>
      <c r="U28" s="697">
        <f t="shared" si="11"/>
        <v>100</v>
      </c>
      <c r="V28" s="696" t="s">
        <v>14</v>
      </c>
      <c r="W28" s="697">
        <f t="shared" si="12"/>
        <v>100</v>
      </c>
      <c r="X28" s="1346"/>
      <c r="Y28" s="371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710"/>
      <c r="Q29" s="1343"/>
      <c r="R29" s="696"/>
      <c r="S29" s="697"/>
      <c r="T29" s="696"/>
      <c r="U29" s="697"/>
      <c r="V29" s="696"/>
      <c r="W29" s="697"/>
      <c r="X29" s="1346"/>
      <c r="Y29" s="3710"/>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710"/>
      <c r="Q30" s="1343" t="str">
        <f t="shared" si="8"/>
        <v>土地级别</v>
      </c>
      <c r="R30" s="696" t="s">
        <v>14</v>
      </c>
      <c r="S30" s="697">
        <f t="shared" si="10"/>
        <v>100</v>
      </c>
      <c r="T30" s="696" t="s">
        <v>14</v>
      </c>
      <c r="U30" s="697">
        <f t="shared" si="11"/>
        <v>100</v>
      </c>
      <c r="V30" s="696" t="s">
        <v>14</v>
      </c>
      <c r="W30" s="697">
        <f t="shared" si="12"/>
        <v>100</v>
      </c>
      <c r="X30" s="1346"/>
      <c r="Y30" s="371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710"/>
      <c r="Q31" s="1343">
        <f t="shared" si="8"/>
        <v>111</v>
      </c>
      <c r="R31" s="696" t="s">
        <v>14</v>
      </c>
      <c r="S31" s="697">
        <f t="shared" si="10"/>
        <v>100</v>
      </c>
      <c r="T31" s="696" t="s">
        <v>14</v>
      </c>
      <c r="U31" s="697">
        <f t="shared" si="11"/>
        <v>100</v>
      </c>
      <c r="V31" s="696" t="s">
        <v>14</v>
      </c>
      <c r="W31" s="697">
        <f t="shared" si="12"/>
        <v>100</v>
      </c>
      <c r="X31" s="1346"/>
      <c r="Y31" s="371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11" t="s">
        <v>1696</v>
      </c>
      <c r="Q32" s="1343">
        <f t="shared" si="8"/>
        <v>111</v>
      </c>
      <c r="R32" s="696" t="s">
        <v>14</v>
      </c>
      <c r="S32" s="697">
        <f t="shared" si="10"/>
        <v>100</v>
      </c>
      <c r="T32" s="696" t="s">
        <v>14</v>
      </c>
      <c r="U32" s="697">
        <f t="shared" si="11"/>
        <v>100</v>
      </c>
      <c r="V32" s="696" t="s">
        <v>14</v>
      </c>
      <c r="W32" s="697">
        <f t="shared" si="12"/>
        <v>100</v>
      </c>
      <c r="X32" s="1346"/>
      <c r="Y32" s="3712"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12"/>
      <c r="Q33" s="1343">
        <f t="shared" si="8"/>
        <v>111</v>
      </c>
      <c r="R33" s="699" t="s">
        <v>14</v>
      </c>
      <c r="S33" s="700">
        <f t="shared" si="10"/>
        <v>100</v>
      </c>
      <c r="T33" s="699" t="s">
        <v>14</v>
      </c>
      <c r="U33" s="700">
        <f t="shared" si="11"/>
        <v>100</v>
      </c>
      <c r="V33" s="699" t="s">
        <v>14</v>
      </c>
      <c r="W33" s="700">
        <f t="shared" si="12"/>
        <v>100</v>
      </c>
      <c r="X33" s="701"/>
      <c r="Y33" s="3712"/>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12"/>
      <c r="Q34" s="1343" t="str">
        <f>B34</f>
        <v>宗地面积</v>
      </c>
      <c r="R34" s="696" t="s">
        <v>14</v>
      </c>
      <c r="S34" s="697" t="e">
        <f t="shared" si="10"/>
        <v>#N/A</v>
      </c>
      <c r="T34" s="696" t="s">
        <v>14</v>
      </c>
      <c r="U34" s="697" t="e">
        <f t="shared" si="11"/>
        <v>#N/A</v>
      </c>
      <c r="V34" s="696" t="s">
        <v>14</v>
      </c>
      <c r="W34" s="697" t="e">
        <f t="shared" si="12"/>
        <v>#N/A</v>
      </c>
      <c r="X34" s="1346"/>
      <c r="Y34" s="3712"/>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712"/>
      <c r="Q35" s="1343" t="str">
        <f t="shared" ref="Q35:Q40" si="14">B35</f>
        <v>宗地形状</v>
      </c>
      <c r="R35" s="696" t="s">
        <v>14</v>
      </c>
      <c r="S35" s="697">
        <f t="shared" si="10"/>
        <v>100</v>
      </c>
      <c r="T35" s="696" t="s">
        <v>14</v>
      </c>
      <c r="U35" s="697">
        <f t="shared" si="11"/>
        <v>100</v>
      </c>
      <c r="V35" s="696" t="s">
        <v>14</v>
      </c>
      <c r="W35" s="697">
        <f t="shared" si="12"/>
        <v>100</v>
      </c>
      <c r="X35" s="1346"/>
      <c r="Y35" s="3712"/>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712"/>
      <c r="Q36" s="1343" t="str">
        <f t="shared" si="14"/>
        <v>宗地开发程度</v>
      </c>
      <c r="R36" s="692" t="s">
        <v>14</v>
      </c>
      <c r="S36" s="693">
        <f t="shared" si="10"/>
        <v>100</v>
      </c>
      <c r="T36" s="692" t="s">
        <v>14</v>
      </c>
      <c r="U36" s="693">
        <f t="shared" si="11"/>
        <v>100</v>
      </c>
      <c r="V36" s="692" t="s">
        <v>14</v>
      </c>
      <c r="W36" s="693">
        <f t="shared" si="12"/>
        <v>100</v>
      </c>
      <c r="X36" s="694"/>
      <c r="Y36" s="3712"/>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712" t="s">
        <v>1696</v>
      </c>
      <c r="Q37" s="1343" t="str">
        <f t="shared" si="14"/>
        <v>工程地质条件</v>
      </c>
      <c r="R37" s="696" t="s">
        <v>14</v>
      </c>
      <c r="S37" s="697">
        <f t="shared" si="10"/>
        <v>100</v>
      </c>
      <c r="T37" s="696" t="s">
        <v>14</v>
      </c>
      <c r="U37" s="697">
        <f t="shared" si="11"/>
        <v>100</v>
      </c>
      <c r="V37" s="696" t="s">
        <v>14</v>
      </c>
      <c r="W37" s="697">
        <f t="shared" si="12"/>
        <v>100</v>
      </c>
      <c r="X37" s="1346"/>
      <c r="Y37" s="3712"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12"/>
      <c r="Q38" s="1343">
        <f t="shared" si="14"/>
        <v>111</v>
      </c>
      <c r="R38" s="696" t="s">
        <v>14</v>
      </c>
      <c r="S38" s="697">
        <f t="shared" si="10"/>
        <v>100</v>
      </c>
      <c r="T38" s="696" t="s">
        <v>14</v>
      </c>
      <c r="U38" s="697">
        <f t="shared" si="11"/>
        <v>100</v>
      </c>
      <c r="V38" s="696" t="s">
        <v>14</v>
      </c>
      <c r="W38" s="697">
        <f t="shared" si="12"/>
        <v>100</v>
      </c>
      <c r="X38" s="1346"/>
      <c r="Y38" s="371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12"/>
      <c r="Q39" s="1343">
        <f t="shared" si="14"/>
        <v>111</v>
      </c>
      <c r="R39" s="696" t="s">
        <v>14</v>
      </c>
      <c r="S39" s="697">
        <f t="shared" si="10"/>
        <v>100</v>
      </c>
      <c r="T39" s="696" t="s">
        <v>14</v>
      </c>
      <c r="U39" s="697">
        <f t="shared" si="11"/>
        <v>100</v>
      </c>
      <c r="V39" s="696" t="s">
        <v>14</v>
      </c>
      <c r="W39" s="697">
        <f t="shared" si="12"/>
        <v>100</v>
      </c>
      <c r="X39" s="1346"/>
      <c r="Y39" s="371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12"/>
      <c r="Q40" s="1343">
        <f t="shared" si="14"/>
        <v>111</v>
      </c>
      <c r="R40" s="699" t="s">
        <v>14</v>
      </c>
      <c r="S40" s="700">
        <f t="shared" si="10"/>
        <v>100</v>
      </c>
      <c r="T40" s="699" t="s">
        <v>14</v>
      </c>
      <c r="U40" s="700">
        <f t="shared" si="11"/>
        <v>100</v>
      </c>
      <c r="V40" s="699" t="s">
        <v>14</v>
      </c>
      <c r="W40" s="700">
        <f t="shared" si="12"/>
        <v>100</v>
      </c>
      <c r="X40" s="701"/>
      <c r="Y40" s="3712"/>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1"/>
      <c r="M41" s="2703"/>
      <c r="N41" s="2703"/>
      <c r="O41" s="2712"/>
      <c r="P41" s="3708" t="str">
        <f>A41</f>
        <v>成交单价</v>
      </c>
      <c r="Q41" s="3708"/>
      <c r="R41" s="3713">
        <f>E41</f>
        <v>0</v>
      </c>
      <c r="S41" s="3713"/>
      <c r="T41" s="3713">
        <f>G41</f>
        <v>0</v>
      </c>
      <c r="U41" s="3713"/>
      <c r="V41" s="3713">
        <f>I41</f>
        <v>0</v>
      </c>
      <c r="W41" s="3713"/>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708" t="str">
        <f>A42</f>
        <v>比较价值（元/平方米）</v>
      </c>
      <c r="Q42" s="3708"/>
      <c r="R42" s="3701" t="e">
        <f>ROUND(PRODUCT(R41,AA7:AA40),0)</f>
        <v>#DIV/0!</v>
      </c>
      <c r="S42" s="3701"/>
      <c r="T42" s="3701" t="e">
        <f>ROUND(PRODUCT(T41,AB7:AB40),0)</f>
        <v>#DIV/0!</v>
      </c>
      <c r="U42" s="3701"/>
      <c r="V42" s="3701" t="e">
        <f>ROUND(PRODUCT(V41,AC7:AC40),0)</f>
        <v>#DIV/0!</v>
      </c>
      <c r="W42" s="3701"/>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1"/>
      <c r="M43" s="2703"/>
      <c r="N43" s="2703"/>
      <c r="O43" s="2712"/>
      <c r="P43" s="3702" t="str">
        <f>A43</f>
        <v>估价对象XX用房的比较价值（楼面单价，元/平方米）</v>
      </c>
      <c r="Q43" s="3703"/>
      <c r="R43" s="3704" t="e">
        <f>ROUND(IF(D42="简单平均",AVERAGE(R42:W42),R42*F42+T42*H42+V42*J42),0)</f>
        <v>#DIV/0!</v>
      </c>
      <c r="S43" s="3704"/>
      <c r="T43" s="3704"/>
      <c r="U43" s="3704"/>
      <c r="V43" s="3704"/>
      <c r="W43" s="3704"/>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1881</v>
      </c>
      <c r="B50" s="627" t="s">
        <v>1882</v>
      </c>
      <c r="C50" s="1974" t="s">
        <v>1883</v>
      </c>
      <c r="D50" s="1975" t="s">
        <v>1884</v>
      </c>
      <c r="E50" s="628" t="s">
        <v>1885</v>
      </c>
      <c r="F50" s="629" t="s">
        <v>1886</v>
      </c>
      <c r="G50" s="3705" t="s">
        <v>1887</v>
      </c>
      <c r="H50" s="3706"/>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34367.43</v>
      </c>
      <c r="F51" s="633" t="e">
        <f t="shared" ref="F51:F60" si="15">ROUND(B51*E51/10000,0)</f>
        <v>#DIV/0!</v>
      </c>
      <c r="G51" s="3707"/>
      <c r="H51" s="3708"/>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v>
      </c>
      <c r="D52" s="936">
        <v>0.25</v>
      </c>
      <c r="E52" s="636"/>
      <c r="F52" s="633" t="e">
        <f t="shared" si="15"/>
        <v>#DIV/0!</v>
      </c>
      <c r="G52" s="2993" t="s">
        <v>1892</v>
      </c>
      <c r="H52" s="878">
        <f>项目基本情况!B37</f>
        <v>0</v>
      </c>
      <c r="I52" s="764">
        <f>SUMIF(修正!A57:A68,H52,修正!B57:B68)</f>
        <v>0</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v>
      </c>
      <c r="D53" s="936">
        <v>0.25</v>
      </c>
      <c r="E53" s="636"/>
      <c r="F53" s="633" t="e">
        <f t="shared" si="15"/>
        <v>#DIV/0!</v>
      </c>
      <c r="G53" s="2994"/>
      <c r="H53" s="878">
        <f>项目基本情况!B37</f>
        <v>0</v>
      </c>
      <c r="I53" s="764">
        <f>SUMIF(修正!A57:A68,H53,修正!C57:C68)</f>
        <v>0</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v>
      </c>
      <c r="D54" s="936">
        <v>0.25</v>
      </c>
      <c r="E54" s="636"/>
      <c r="F54" s="633" t="e">
        <f t="shared" si="15"/>
        <v>#DIV/0!</v>
      </c>
      <c r="G54" s="2994"/>
      <c r="H54" s="878">
        <f>项目基本情况!B37</f>
        <v>0</v>
      </c>
      <c r="I54" s="764">
        <f>SUMIF(修正!A57:A68,H54,修正!D57:D68)</f>
        <v>0</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v>
      </c>
      <c r="D59" s="936">
        <v>0.25</v>
      </c>
      <c r="E59" s="211">
        <f>'数据-汇总表'!E14</f>
        <v>0</v>
      </c>
      <c r="F59" s="633" t="e">
        <f t="shared" si="15"/>
        <v>#DIV/0!</v>
      </c>
      <c r="G59" s="1978" t="s">
        <v>1892</v>
      </c>
      <c r="H59" s="878">
        <f>项目基本情况!B37</f>
        <v>0</v>
      </c>
      <c r="I59" s="764">
        <f>SUMIF(修正!A57:A68,H59,修正!G57:G68)</f>
        <v>0</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1903</v>
      </c>
      <c r="B61" s="638" t="s">
        <v>22</v>
      </c>
      <c r="C61" s="638" t="s">
        <v>23</v>
      </c>
      <c r="D61" s="638" t="s">
        <v>392</v>
      </c>
      <c r="E61" s="638">
        <f>IF(B41="楼面地价",SUM(E51:E60),'数据-汇总表'!D3)</f>
        <v>33154.39</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2"/>
      <c r="Q63" s="2712"/>
      <c r="R63" s="2712"/>
      <c r="S63" s="2712"/>
      <c r="T63" s="2712"/>
      <c r="U63" s="2712"/>
      <c r="V63" s="2712"/>
      <c r="W63" s="2712"/>
      <c r="X63" s="2712"/>
      <c r="Y63" s="2712"/>
      <c r="Z63" s="2712"/>
      <c r="AA63" s="2712"/>
      <c r="AB63" s="2712"/>
      <c r="AC63" s="2712"/>
      <c r="AD63" s="2712"/>
      <c r="AE63" s="2712"/>
    </row>
    <row r="64" spans="1:31" ht="21.75"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822" t="s">
        <v>2084</v>
      </c>
      <c r="D1" s="3823"/>
      <c r="E1" s="3823"/>
      <c r="F1" s="3823"/>
      <c r="G1" s="3823"/>
      <c r="H1" s="3823"/>
      <c r="I1" s="3823"/>
      <c r="J1" s="3823"/>
      <c r="K1" s="3823"/>
      <c r="L1" s="3823"/>
      <c r="M1" s="3823"/>
      <c r="N1" s="3823"/>
      <c r="O1" s="3823"/>
      <c r="P1" s="3823"/>
      <c r="Q1" s="3823"/>
      <c r="R1" s="3823"/>
      <c r="S1" s="3824"/>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819" t="s">
        <v>27</v>
      </c>
      <c r="D22" s="3820"/>
      <c r="E22" s="3820"/>
      <c r="F22" s="3820"/>
      <c r="G22" s="3820"/>
      <c r="H22" s="3820"/>
      <c r="I22" s="3820"/>
      <c r="J22" s="3820"/>
      <c r="K22" s="3820"/>
      <c r="L22" s="3820"/>
      <c r="M22" s="3820"/>
      <c r="N22" s="3820"/>
      <c r="O22" s="3820"/>
      <c r="P22" s="3820"/>
      <c r="Q22" s="3821"/>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0"/>
      <c r="G1" s="2780"/>
      <c r="H1" s="2780"/>
      <c r="I1" s="2780"/>
      <c r="J1" s="2780"/>
      <c r="K1" s="2780"/>
      <c r="L1" s="2780"/>
      <c r="M1" s="2780"/>
      <c r="N1" s="2780"/>
      <c r="O1" s="2780"/>
      <c r="P1" s="2780"/>
    </row>
    <row r="2" spans="1:16" ht="15.75">
      <c r="A2" s="2136" t="s">
        <v>2073</v>
      </c>
      <c r="B2" s="2590">
        <f ca="1">SUMIF(B6:B13,"&lt;&gt;#ref!",B6:B13)</f>
        <v>2863</v>
      </c>
      <c r="C2" s="2136" t="s">
        <v>2074</v>
      </c>
      <c r="D2" s="2136" t="s">
        <v>2075</v>
      </c>
      <c r="E2" s="2600">
        <f ca="1">SUMIF(E6:E13,"&lt;&gt;#ref!",E6:E13)</f>
        <v>34367.43</v>
      </c>
      <c r="F2" s="2780"/>
      <c r="G2" s="2780"/>
      <c r="H2" s="2780"/>
      <c r="I2" s="2780"/>
      <c r="J2" s="2780"/>
      <c r="K2" s="2780"/>
      <c r="L2" s="2780"/>
      <c r="M2" s="2780"/>
      <c r="N2" s="2780"/>
      <c r="O2" s="2780"/>
      <c r="P2" s="2780"/>
    </row>
    <row r="3" spans="1:16" ht="15.75">
      <c r="A3" s="2136" t="s">
        <v>2076</v>
      </c>
      <c r="B3" s="2590">
        <f ca="1">ROUND(B2*10000/E2,0)</f>
        <v>833</v>
      </c>
      <c r="C3" s="2136" t="s">
        <v>2082</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2077</v>
      </c>
      <c r="B5" s="2598" t="s">
        <v>2078</v>
      </c>
      <c r="C5" s="2137"/>
      <c r="D5" s="2780"/>
      <c r="E5" s="2599" t="s">
        <v>2079</v>
      </c>
      <c r="F5" s="2780"/>
      <c r="G5" s="2780"/>
      <c r="H5" s="2780"/>
      <c r="I5" s="2780"/>
      <c r="J5" s="2780"/>
      <c r="K5" s="2780"/>
      <c r="L5" s="2780"/>
      <c r="M5" s="2780"/>
      <c r="N5" s="2780"/>
      <c r="O5" s="2780"/>
      <c r="P5" s="2780"/>
    </row>
    <row r="6" spans="1:16" ht="15.75">
      <c r="A6" s="2597" t="s">
        <v>2080</v>
      </c>
      <c r="B6" s="2590">
        <f ca="1">SUMIF(INDIRECT("'"&amp;A6&amp;"'"&amp;"!A:A"),"总价",INDIRECT("'"&amp;A6&amp;"'"&amp;"!B:B"))</f>
        <v>2863</v>
      </c>
      <c r="C6" s="2136" t="s">
        <v>2074</v>
      </c>
      <c r="D6" s="2780"/>
      <c r="E6" s="2600">
        <f ca="1">SUMIF(INDIRECT("'"&amp;A6&amp;"'"&amp;"!C:C"),"建筑面积",INDIRECT("'"&amp;A6&amp;"'"&amp;"!D:D"))</f>
        <v>34367.43</v>
      </c>
      <c r="F6" s="2780"/>
      <c r="G6" s="2780"/>
      <c r="H6" s="2780"/>
      <c r="I6" s="2780"/>
      <c r="J6" s="2780"/>
      <c r="K6" s="2780"/>
      <c r="L6" s="2780"/>
      <c r="M6" s="2780"/>
      <c r="N6" s="2780"/>
      <c r="O6" s="2780"/>
      <c r="P6" s="2780"/>
    </row>
    <row r="7" spans="1:16" ht="15.75">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75">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34" t="s">
        <v>2607</v>
      </c>
      <c r="B20" s="3829" t="s">
        <v>2628</v>
      </c>
      <c r="C20" s="3090" t="s">
        <v>2439</v>
      </c>
      <c r="D20" s="3091"/>
      <c r="E20" s="3092">
        <v>1</v>
      </c>
      <c r="F20" s="3093" t="s">
        <v>2440</v>
      </c>
      <c r="G20" s="3093"/>
    </row>
    <row r="21" spans="1:13" ht="19.5" customHeight="1">
      <c r="A21" s="3835"/>
      <c r="B21" s="3828"/>
      <c r="C21" s="3094" t="s">
        <v>2441</v>
      </c>
      <c r="D21" s="3095"/>
      <c r="E21" s="3096">
        <v>1</v>
      </c>
      <c r="F21" s="3093" t="s">
        <v>2442</v>
      </c>
      <c r="G21" s="3093"/>
    </row>
    <row r="22" spans="1:13" ht="19.5" customHeight="1">
      <c r="A22" s="3835"/>
      <c r="B22" s="3828"/>
      <c r="C22" s="3094" t="s">
        <v>2443</v>
      </c>
      <c r="D22" s="3095"/>
      <c r="E22" s="3096">
        <v>0.9</v>
      </c>
      <c r="F22" s="3093" t="s">
        <v>2444</v>
      </c>
      <c r="G22" s="3093"/>
    </row>
    <row r="23" spans="1:13" ht="19.5" customHeight="1">
      <c r="A23" s="3835"/>
      <c r="B23" s="3828"/>
      <c r="C23" s="3094" t="s">
        <v>2445</v>
      </c>
      <c r="D23" s="3095"/>
      <c r="E23" s="3096">
        <v>0.9</v>
      </c>
      <c r="F23" s="3093" t="s">
        <v>2446</v>
      </c>
      <c r="G23" s="3093"/>
    </row>
    <row r="24" spans="1:13" ht="19.5" customHeight="1">
      <c r="A24" s="3835"/>
      <c r="B24" s="3828"/>
      <c r="C24" s="3094" t="s">
        <v>2447</v>
      </c>
      <c r="D24" s="3095"/>
      <c r="E24" s="3096">
        <v>0.8</v>
      </c>
      <c r="F24" s="3093" t="s">
        <v>2448</v>
      </c>
      <c r="G24" s="3093"/>
    </row>
    <row r="25" spans="1:13" ht="19.5" customHeight="1" thickBot="1">
      <c r="A25" s="3836"/>
      <c r="B25" s="3830"/>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31" t="s">
        <v>2631</v>
      </c>
      <c r="B27" s="3829" t="s">
        <v>2612</v>
      </c>
      <c r="C27" s="3090" t="s">
        <v>2452</v>
      </c>
      <c r="D27" s="3091"/>
      <c r="E27" s="3092">
        <v>1</v>
      </c>
      <c r="F27" s="3093" t="s">
        <v>2453</v>
      </c>
      <c r="G27" s="3093"/>
    </row>
    <row r="28" spans="1:13" ht="19.5" customHeight="1">
      <c r="A28" s="3832"/>
      <c r="B28" s="3828"/>
      <c r="C28" s="3094" t="s">
        <v>2454</v>
      </c>
      <c r="D28" s="3095"/>
      <c r="E28" s="3096">
        <v>1</v>
      </c>
      <c r="F28" s="3093" t="s">
        <v>2455</v>
      </c>
      <c r="G28" s="3093"/>
    </row>
    <row r="29" spans="1:13" ht="19.5" customHeight="1">
      <c r="A29" s="3832"/>
      <c r="B29" s="3828"/>
      <c r="C29" s="3094" t="s">
        <v>2456</v>
      </c>
      <c r="D29" s="3095"/>
      <c r="E29" s="3096">
        <v>0.8</v>
      </c>
      <c r="F29" s="3093" t="s">
        <v>2457</v>
      </c>
      <c r="G29" s="3093"/>
    </row>
    <row r="30" spans="1:13" ht="19.5" customHeight="1">
      <c r="A30" s="3832"/>
      <c r="B30" s="3828"/>
      <c r="C30" s="3094" t="s">
        <v>2458</v>
      </c>
      <c r="D30" s="3095"/>
      <c r="E30" s="3096">
        <v>0.8</v>
      </c>
      <c r="F30" s="3093" t="s">
        <v>2459</v>
      </c>
      <c r="G30" s="3093"/>
    </row>
    <row r="31" spans="1:13" ht="19.5" customHeight="1">
      <c r="A31" s="3832"/>
      <c r="B31" s="3828"/>
      <c r="C31" s="3094" t="s">
        <v>2460</v>
      </c>
      <c r="D31" s="3095"/>
      <c r="E31" s="3096">
        <v>0.8</v>
      </c>
      <c r="F31" s="3093" t="s">
        <v>2461</v>
      </c>
      <c r="G31" s="3093"/>
    </row>
    <row r="32" spans="1:13" ht="19.5" customHeight="1">
      <c r="A32" s="3832"/>
      <c r="B32" s="3828"/>
      <c r="C32" s="3094" t="s">
        <v>2462</v>
      </c>
      <c r="D32" s="3095"/>
      <c r="E32" s="3096">
        <v>0.7</v>
      </c>
      <c r="F32" s="3093" t="s">
        <v>2463</v>
      </c>
      <c r="G32" s="3093"/>
    </row>
    <row r="33" spans="1:7" ht="19.5" customHeight="1">
      <c r="A33" s="3832"/>
      <c r="B33" s="3828"/>
      <c r="C33" s="3094" t="s">
        <v>2464</v>
      </c>
      <c r="D33" s="3095"/>
      <c r="E33" s="3096">
        <v>0.8</v>
      </c>
      <c r="F33" s="3093" t="s">
        <v>2465</v>
      </c>
      <c r="G33" s="3093"/>
    </row>
    <row r="34" spans="1:7" ht="19.5" customHeight="1">
      <c r="A34" s="3832"/>
      <c r="B34" s="3828"/>
      <c r="C34" s="3094" t="s">
        <v>2466</v>
      </c>
      <c r="D34" s="3095"/>
      <c r="E34" s="3096">
        <v>0.6</v>
      </c>
      <c r="F34" s="3093" t="s">
        <v>2467</v>
      </c>
      <c r="G34" s="3093"/>
    </row>
    <row r="35" spans="1:7" ht="19.5" customHeight="1">
      <c r="A35" s="3832"/>
      <c r="B35" s="3828"/>
      <c r="C35" s="3094" t="s">
        <v>2468</v>
      </c>
      <c r="D35" s="3095"/>
      <c r="E35" s="3096">
        <v>0.2</v>
      </c>
      <c r="F35" s="3093" t="s">
        <v>2469</v>
      </c>
      <c r="G35" s="3093"/>
    </row>
    <row r="36" spans="1:7" ht="19.5" customHeight="1">
      <c r="A36" s="3832"/>
      <c r="B36" s="3828"/>
      <c r="C36" s="3094" t="s">
        <v>2470</v>
      </c>
      <c r="D36" s="3095"/>
      <c r="E36" s="3096">
        <v>0.2</v>
      </c>
      <c r="F36" s="3093" t="s">
        <v>2471</v>
      </c>
      <c r="G36" s="3093"/>
    </row>
    <row r="37" spans="1:7" ht="19.5" customHeight="1">
      <c r="A37" s="3832"/>
      <c r="B37" s="3826" t="s">
        <v>2632</v>
      </c>
      <c r="C37" s="3094" t="s">
        <v>2472</v>
      </c>
      <c r="D37" s="3095"/>
      <c r="E37" s="3096">
        <v>0.6</v>
      </c>
      <c r="F37" s="3093" t="s">
        <v>2473</v>
      </c>
      <c r="G37" s="3093"/>
    </row>
    <row r="38" spans="1:7" ht="19.5" customHeight="1">
      <c r="A38" s="3832"/>
      <c r="B38" s="3828"/>
      <c r="C38" s="3094" t="s">
        <v>2474</v>
      </c>
      <c r="D38" s="3095"/>
      <c r="E38" s="3096">
        <v>0.6</v>
      </c>
      <c r="F38" s="3093" t="s">
        <v>2475</v>
      </c>
      <c r="G38" s="3093"/>
    </row>
    <row r="39" spans="1:7" ht="19.5" customHeight="1" thickBot="1">
      <c r="A39" s="3833"/>
      <c r="B39" s="3830"/>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34" t="s">
        <v>2610</v>
      </c>
      <c r="B41" s="3829" t="s">
        <v>2634</v>
      </c>
      <c r="C41" s="3090" t="s">
        <v>2479</v>
      </c>
      <c r="D41" s="3091"/>
      <c r="E41" s="3092">
        <v>1</v>
      </c>
      <c r="F41" s="3093" t="s">
        <v>2480</v>
      </c>
      <c r="G41" s="3093"/>
    </row>
    <row r="42" spans="1:7" ht="19.5" customHeight="1">
      <c r="A42" s="3835"/>
      <c r="B42" s="3828"/>
      <c r="C42" s="3094" t="s">
        <v>2481</v>
      </c>
      <c r="D42" s="3095"/>
      <c r="E42" s="3096">
        <v>1</v>
      </c>
      <c r="F42" s="3093" t="s">
        <v>2482</v>
      </c>
      <c r="G42" s="3093"/>
    </row>
    <row r="43" spans="1:7" ht="19.5" customHeight="1">
      <c r="A43" s="3835"/>
      <c r="B43" s="3827"/>
      <c r="C43" s="3094" t="s">
        <v>2483</v>
      </c>
      <c r="D43" s="3095"/>
      <c r="E43" s="3096">
        <v>1.5</v>
      </c>
      <c r="F43" s="3093" t="s">
        <v>2484</v>
      </c>
      <c r="G43" s="3093"/>
    </row>
    <row r="44" spans="1:7" ht="19.5" customHeight="1">
      <c r="A44" s="3835"/>
      <c r="B44" s="3105" t="s">
        <v>2635</v>
      </c>
      <c r="C44" s="3094" t="s">
        <v>2636</v>
      </c>
      <c r="D44" s="3095"/>
      <c r="E44" s="3096">
        <v>2</v>
      </c>
      <c r="F44" s="3093" t="s">
        <v>2485</v>
      </c>
      <c r="G44" s="3093"/>
    </row>
    <row r="45" spans="1:7" ht="19.5" customHeight="1">
      <c r="A45" s="3835"/>
      <c r="B45" s="3826" t="s">
        <v>2637</v>
      </c>
      <c r="C45" s="3094" t="s">
        <v>2486</v>
      </c>
      <c r="D45" s="3095"/>
      <c r="E45" s="3096">
        <v>1</v>
      </c>
      <c r="F45" s="3093" t="s">
        <v>2487</v>
      </c>
      <c r="G45" s="3093"/>
    </row>
    <row r="46" spans="1:7" ht="19.5" customHeight="1">
      <c r="A46" s="3835"/>
      <c r="B46" s="3828"/>
      <c r="C46" s="3094" t="s">
        <v>2488</v>
      </c>
      <c r="D46" s="3095"/>
      <c r="E46" s="3096">
        <v>1</v>
      </c>
      <c r="F46" s="3093" t="s">
        <v>2489</v>
      </c>
      <c r="G46" s="3093"/>
    </row>
    <row r="47" spans="1:7" ht="19.5" customHeight="1">
      <c r="A47" s="3835"/>
      <c r="B47" s="3828"/>
      <c r="C47" s="3094" t="s">
        <v>2490</v>
      </c>
      <c r="D47" s="3095"/>
      <c r="E47" s="3096">
        <v>1</v>
      </c>
      <c r="F47" s="3093" t="s">
        <v>2491</v>
      </c>
      <c r="G47" s="3093"/>
    </row>
    <row r="48" spans="1:7" ht="19.5" customHeight="1">
      <c r="A48" s="3835"/>
      <c r="B48" s="3828"/>
      <c r="C48" s="3094" t="s">
        <v>2492</v>
      </c>
      <c r="D48" s="3095"/>
      <c r="E48" s="3096">
        <v>1</v>
      </c>
      <c r="F48" s="3093" t="s">
        <v>2493</v>
      </c>
      <c r="G48" s="3093"/>
    </row>
    <row r="49" spans="1:7" ht="19.5" customHeight="1">
      <c r="A49" s="3835"/>
      <c r="B49" s="3828"/>
      <c r="C49" s="3094" t="s">
        <v>2494</v>
      </c>
      <c r="D49" s="3095"/>
      <c r="E49" s="3096">
        <v>1</v>
      </c>
      <c r="F49" s="3093" t="s">
        <v>2495</v>
      </c>
      <c r="G49" s="3093"/>
    </row>
    <row r="50" spans="1:7" ht="19.5" customHeight="1">
      <c r="A50" s="3835"/>
      <c r="B50" s="3828"/>
      <c r="C50" s="3094" t="s">
        <v>2496</v>
      </c>
      <c r="D50" s="3095"/>
      <c r="E50" s="3096">
        <v>1</v>
      </c>
      <c r="F50" s="3093" t="s">
        <v>2497</v>
      </c>
      <c r="G50" s="3093"/>
    </row>
    <row r="51" spans="1:7" ht="19.5" customHeight="1" thickBot="1">
      <c r="A51" s="3836"/>
      <c r="B51" s="3830"/>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3.5">
      <c r="A72" s="3105"/>
      <c r="B72" s="3105"/>
      <c r="C72" s="3105" t="s">
        <v>2650</v>
      </c>
      <c r="D72" s="3105"/>
      <c r="E72" s="3105" t="s">
        <v>2621</v>
      </c>
      <c r="F72" s="3105" t="s">
        <v>2621</v>
      </c>
    </row>
    <row r="73" spans="1:7" ht="13.5">
      <c r="A73" s="3105">
        <v>1</v>
      </c>
      <c r="B73" s="3826" t="s">
        <v>2651</v>
      </c>
      <c r="C73" s="3079" t="s">
        <v>2652</v>
      </c>
      <c r="D73" s="3079" t="s">
        <v>2653</v>
      </c>
      <c r="E73" s="3105">
        <v>0.2</v>
      </c>
      <c r="F73" s="3105">
        <v>25</v>
      </c>
    </row>
    <row r="74" spans="1:7" ht="24">
      <c r="A74" s="3105">
        <v>2</v>
      </c>
      <c r="B74" s="3828"/>
      <c r="C74" s="3079" t="s">
        <v>2654</v>
      </c>
      <c r="D74" s="3079" t="s">
        <v>2655</v>
      </c>
      <c r="E74" s="3105">
        <v>0.2</v>
      </c>
      <c r="F74" s="3105">
        <v>25</v>
      </c>
    </row>
    <row r="75" spans="1:7" ht="24">
      <c r="A75" s="3105">
        <v>3</v>
      </c>
      <c r="B75" s="3828"/>
      <c r="C75" s="3079" t="s">
        <v>2656</v>
      </c>
      <c r="D75" s="3079" t="s">
        <v>2657</v>
      </c>
      <c r="E75" s="3105">
        <v>0.2</v>
      </c>
      <c r="F75" s="3105">
        <v>25</v>
      </c>
    </row>
    <row r="76" spans="1:7" ht="13.5">
      <c r="A76" s="3105">
        <v>4</v>
      </c>
      <c r="B76" s="3828"/>
      <c r="C76" s="3079" t="s">
        <v>2658</v>
      </c>
      <c r="D76" s="3079" t="s">
        <v>2659</v>
      </c>
      <c r="E76" s="3105">
        <v>0.15</v>
      </c>
      <c r="F76" s="3105">
        <v>20</v>
      </c>
    </row>
    <row r="77" spans="1:7" ht="24">
      <c r="A77" s="3105">
        <v>5</v>
      </c>
      <c r="B77" s="3828"/>
      <c r="C77" s="3079" t="s">
        <v>2660</v>
      </c>
      <c r="D77" s="3079" t="s">
        <v>2661</v>
      </c>
      <c r="E77" s="3105">
        <v>0.15</v>
      </c>
      <c r="F77" s="3105">
        <v>20</v>
      </c>
    </row>
    <row r="78" spans="1:7" ht="24">
      <c r="A78" s="3105">
        <v>6</v>
      </c>
      <c r="B78" s="3828"/>
      <c r="C78" s="3079" t="s">
        <v>2662</v>
      </c>
      <c r="D78" s="3079" t="s">
        <v>2663</v>
      </c>
      <c r="E78" s="3105">
        <v>0.15</v>
      </c>
      <c r="F78" s="3105">
        <v>20</v>
      </c>
    </row>
    <row r="79" spans="1:7" ht="24">
      <c r="A79" s="3105">
        <v>7</v>
      </c>
      <c r="B79" s="3828"/>
      <c r="C79" s="3079" t="s">
        <v>2664</v>
      </c>
      <c r="D79" s="3079" t="s">
        <v>2665</v>
      </c>
      <c r="E79" s="3105">
        <v>0.15</v>
      </c>
      <c r="F79" s="3105">
        <v>20</v>
      </c>
    </row>
    <row r="80" spans="1:7" ht="24">
      <c r="A80" s="3105">
        <v>8</v>
      </c>
      <c r="B80" s="3828"/>
      <c r="C80" s="3079" t="s">
        <v>2666</v>
      </c>
      <c r="D80" s="3079" t="s">
        <v>2667</v>
      </c>
      <c r="E80" s="3105">
        <v>0.1</v>
      </c>
      <c r="F80" s="3105">
        <v>15</v>
      </c>
    </row>
    <row r="81" spans="1:6" ht="24">
      <c r="A81" s="3105">
        <v>9</v>
      </c>
      <c r="B81" s="3828"/>
      <c r="C81" s="3079" t="s">
        <v>2668</v>
      </c>
      <c r="D81" s="3079" t="s">
        <v>2669</v>
      </c>
      <c r="E81" s="3105">
        <v>0.1</v>
      </c>
      <c r="F81" s="3105">
        <v>15</v>
      </c>
    </row>
    <row r="82" spans="1:6" ht="24">
      <c r="A82" s="3105">
        <v>10</v>
      </c>
      <c r="B82" s="3828"/>
      <c r="C82" s="3079" t="s">
        <v>2670</v>
      </c>
      <c r="D82" s="3079" t="s">
        <v>2671</v>
      </c>
      <c r="E82" s="3105">
        <v>0.1</v>
      </c>
      <c r="F82" s="3105">
        <v>15</v>
      </c>
    </row>
    <row r="83" spans="1:6" ht="24">
      <c r="A83" s="3105">
        <v>11</v>
      </c>
      <c r="B83" s="3828"/>
      <c r="C83" s="3079" t="s">
        <v>2672</v>
      </c>
      <c r="D83" s="3079" t="s">
        <v>2673</v>
      </c>
      <c r="E83" s="3105">
        <v>0.1</v>
      </c>
      <c r="F83" s="3105">
        <v>15</v>
      </c>
    </row>
    <row r="84" spans="1:6" ht="24">
      <c r="A84" s="3105">
        <v>12</v>
      </c>
      <c r="B84" s="3828"/>
      <c r="C84" s="3079" t="s">
        <v>2674</v>
      </c>
      <c r="D84" s="3079" t="s">
        <v>2675</v>
      </c>
      <c r="E84" s="3105">
        <v>0.1</v>
      </c>
      <c r="F84" s="3105">
        <v>15</v>
      </c>
    </row>
    <row r="85" spans="1:6" ht="13.5">
      <c r="A85" s="3105">
        <v>13</v>
      </c>
      <c r="B85" s="3828"/>
      <c r="C85" s="3079" t="s">
        <v>2676</v>
      </c>
      <c r="D85" s="3079" t="s">
        <v>2677</v>
      </c>
      <c r="E85" s="3105">
        <v>0.1</v>
      </c>
      <c r="F85" s="3105">
        <v>15</v>
      </c>
    </row>
    <row r="86" spans="1:6" ht="13.5">
      <c r="A86" s="3105">
        <v>14</v>
      </c>
      <c r="B86" s="3828"/>
      <c r="C86" s="3079" t="s">
        <v>2678</v>
      </c>
      <c r="D86" s="3079" t="s">
        <v>2679</v>
      </c>
      <c r="E86" s="3105">
        <v>0.1</v>
      </c>
      <c r="F86" s="3105">
        <v>15</v>
      </c>
    </row>
    <row r="87" spans="1:6" ht="13.5">
      <c r="A87" s="3105">
        <v>15</v>
      </c>
      <c r="B87" s="3828"/>
      <c r="C87" s="3079" t="s">
        <v>2680</v>
      </c>
      <c r="D87" s="3079" t="s">
        <v>2681</v>
      </c>
      <c r="E87" s="3105">
        <v>0.1</v>
      </c>
      <c r="F87" s="3105">
        <v>15</v>
      </c>
    </row>
    <row r="88" spans="1:6" ht="24">
      <c r="A88" s="3105">
        <v>16</v>
      </c>
      <c r="B88" s="3828"/>
      <c r="C88" s="3079" t="s">
        <v>2682</v>
      </c>
      <c r="D88" s="3079" t="s">
        <v>2683</v>
      </c>
      <c r="E88" s="3105">
        <v>0.1</v>
      </c>
      <c r="F88" s="3105">
        <v>15</v>
      </c>
    </row>
    <row r="89" spans="1:6" ht="24">
      <c r="A89" s="3105">
        <v>17</v>
      </c>
      <c r="B89" s="3827"/>
      <c r="C89" s="3079" t="s">
        <v>2684</v>
      </c>
      <c r="D89" s="3079" t="s">
        <v>2685</v>
      </c>
      <c r="E89" s="3105">
        <v>0.1</v>
      </c>
      <c r="F89" s="3105">
        <v>15</v>
      </c>
    </row>
    <row r="90" spans="1:6" ht="13.5">
      <c r="A90" s="3105">
        <v>18</v>
      </c>
      <c r="B90" s="3826" t="s">
        <v>2686</v>
      </c>
      <c r="C90" s="3079" t="s">
        <v>2687</v>
      </c>
      <c r="D90" s="3079" t="s">
        <v>2688</v>
      </c>
      <c r="E90" s="3105">
        <v>0.2</v>
      </c>
      <c r="F90" s="3105">
        <v>25</v>
      </c>
    </row>
    <row r="91" spans="1:6" ht="24">
      <c r="A91" s="3105">
        <v>19</v>
      </c>
      <c r="B91" s="3828"/>
      <c r="C91" s="3079" t="s">
        <v>2689</v>
      </c>
      <c r="D91" s="3079" t="s">
        <v>2690</v>
      </c>
      <c r="E91" s="3105">
        <v>0.2</v>
      </c>
      <c r="F91" s="3105">
        <v>25</v>
      </c>
    </row>
    <row r="92" spans="1:6" ht="13.5">
      <c r="A92" s="3105">
        <v>20</v>
      </c>
      <c r="B92" s="3828"/>
      <c r="C92" s="3079" t="s">
        <v>2691</v>
      </c>
      <c r="D92" s="3079" t="s">
        <v>2692</v>
      </c>
      <c r="E92" s="3105">
        <v>0.15</v>
      </c>
      <c r="F92" s="3105">
        <v>20</v>
      </c>
    </row>
    <row r="93" spans="1:6" ht="13.5">
      <c r="A93" s="3105">
        <v>21</v>
      </c>
      <c r="B93" s="3828"/>
      <c r="C93" s="3079" t="s">
        <v>2693</v>
      </c>
      <c r="D93" s="3079" t="s">
        <v>2694</v>
      </c>
      <c r="E93" s="3105">
        <v>0.15</v>
      </c>
      <c r="F93" s="3105">
        <v>20</v>
      </c>
    </row>
    <row r="94" spans="1:6" ht="13.5">
      <c r="A94" s="3105">
        <v>22</v>
      </c>
      <c r="B94" s="3828"/>
      <c r="C94" s="3079" t="s">
        <v>2695</v>
      </c>
      <c r="D94" s="3079" t="s">
        <v>2696</v>
      </c>
      <c r="E94" s="3105">
        <v>0.15</v>
      </c>
      <c r="F94" s="3105">
        <v>20</v>
      </c>
    </row>
    <row r="95" spans="1:6" ht="36">
      <c r="A95" s="3105">
        <v>23</v>
      </c>
      <c r="B95" s="3828"/>
      <c r="C95" s="3079" t="s">
        <v>2697</v>
      </c>
      <c r="D95" s="3079" t="s">
        <v>2698</v>
      </c>
      <c r="E95" s="3105">
        <v>0.15</v>
      </c>
      <c r="F95" s="3105">
        <v>20</v>
      </c>
    </row>
    <row r="96" spans="1:6" ht="13.5">
      <c r="A96" s="3105">
        <v>24</v>
      </c>
      <c r="B96" s="3828"/>
      <c r="C96" s="3079" t="s">
        <v>2699</v>
      </c>
      <c r="D96" s="3079" t="s">
        <v>2700</v>
      </c>
      <c r="E96" s="3105">
        <v>0.1</v>
      </c>
      <c r="F96" s="3105">
        <v>15</v>
      </c>
    </row>
    <row r="97" spans="1:6" ht="13.5">
      <c r="A97" s="3105">
        <v>25</v>
      </c>
      <c r="B97" s="3828"/>
      <c r="C97" s="3079" t="s">
        <v>2701</v>
      </c>
      <c r="D97" s="3079" t="s">
        <v>2702</v>
      </c>
      <c r="E97" s="3105">
        <v>0.1</v>
      </c>
      <c r="F97" s="3105">
        <v>15</v>
      </c>
    </row>
    <row r="98" spans="1:6" ht="24">
      <c r="A98" s="3105">
        <v>26</v>
      </c>
      <c r="B98" s="3828"/>
      <c r="C98" s="3079" t="s">
        <v>2703</v>
      </c>
      <c r="D98" s="3079" t="s">
        <v>2704</v>
      </c>
      <c r="E98" s="3105">
        <v>0.1</v>
      </c>
      <c r="F98" s="3105">
        <v>15</v>
      </c>
    </row>
    <row r="99" spans="1:6" ht="24">
      <c r="A99" s="3105">
        <v>27</v>
      </c>
      <c r="B99" s="3828"/>
      <c r="C99" s="3079" t="s">
        <v>2705</v>
      </c>
      <c r="D99" s="3079" t="s">
        <v>2706</v>
      </c>
      <c r="E99" s="3105">
        <v>0.1</v>
      </c>
      <c r="F99" s="3105">
        <v>15</v>
      </c>
    </row>
    <row r="100" spans="1:6" ht="13.5">
      <c r="A100" s="3105">
        <v>28</v>
      </c>
      <c r="B100" s="3828"/>
      <c r="C100" s="3079" t="s">
        <v>2707</v>
      </c>
      <c r="D100" s="3079" t="s">
        <v>2708</v>
      </c>
      <c r="E100" s="3105">
        <v>0.1</v>
      </c>
      <c r="F100" s="3105">
        <v>15</v>
      </c>
    </row>
    <row r="101" spans="1:6" ht="13.5">
      <c r="A101" s="3105">
        <v>29</v>
      </c>
      <c r="B101" s="3828"/>
      <c r="C101" s="3079" t="s">
        <v>2709</v>
      </c>
      <c r="D101" s="3079" t="s">
        <v>2710</v>
      </c>
      <c r="E101" s="3105">
        <v>0.1</v>
      </c>
      <c r="F101" s="3105">
        <v>15</v>
      </c>
    </row>
    <row r="102" spans="1:6" ht="13.5">
      <c r="A102" s="3105">
        <v>30</v>
      </c>
      <c r="B102" s="3828"/>
      <c r="C102" s="3079" t="s">
        <v>2711</v>
      </c>
      <c r="D102" s="3079" t="s">
        <v>2712</v>
      </c>
      <c r="E102" s="3105">
        <v>0.1</v>
      </c>
      <c r="F102" s="3105">
        <v>15</v>
      </c>
    </row>
    <row r="103" spans="1:6" ht="24">
      <c r="A103" s="3105">
        <v>31</v>
      </c>
      <c r="B103" s="3828"/>
      <c r="C103" s="3079" t="s">
        <v>2713</v>
      </c>
      <c r="D103" s="3079" t="s">
        <v>2714</v>
      </c>
      <c r="E103" s="3105">
        <v>0.1</v>
      </c>
      <c r="F103" s="3105">
        <v>15</v>
      </c>
    </row>
    <row r="104" spans="1:6" ht="24">
      <c r="A104" s="3105">
        <v>32</v>
      </c>
      <c r="B104" s="3828"/>
      <c r="C104" s="3079" t="s">
        <v>2715</v>
      </c>
      <c r="D104" s="3079" t="s">
        <v>2716</v>
      </c>
      <c r="E104" s="3105">
        <v>0.1</v>
      </c>
      <c r="F104" s="3105">
        <v>15</v>
      </c>
    </row>
    <row r="105" spans="1:6" ht="24">
      <c r="A105" s="3105">
        <v>33</v>
      </c>
      <c r="B105" s="3828"/>
      <c r="C105" s="3079" t="s">
        <v>2717</v>
      </c>
      <c r="D105" s="3079" t="s">
        <v>2718</v>
      </c>
      <c r="E105" s="3105">
        <v>0.1</v>
      </c>
      <c r="F105" s="3105">
        <v>15</v>
      </c>
    </row>
    <row r="106" spans="1:6" ht="24">
      <c r="A106" s="3105">
        <v>34</v>
      </c>
      <c r="B106" s="3827"/>
      <c r="C106" s="3079" t="s">
        <v>2719</v>
      </c>
      <c r="D106" s="3079" t="s">
        <v>2720</v>
      </c>
      <c r="E106" s="3105">
        <v>0.1</v>
      </c>
      <c r="F106" s="3105">
        <v>15</v>
      </c>
    </row>
    <row r="107" spans="1:6" ht="24">
      <c r="A107" s="3105">
        <v>35</v>
      </c>
      <c r="B107" s="3826" t="s">
        <v>2721</v>
      </c>
      <c r="C107" s="3105" t="s">
        <v>2722</v>
      </c>
      <c r="D107" s="3079" t="s">
        <v>2723</v>
      </c>
      <c r="E107" s="3105">
        <v>0.15</v>
      </c>
      <c r="F107" s="3105">
        <v>20</v>
      </c>
    </row>
    <row r="108" spans="1:6" ht="13.5">
      <c r="A108" s="3105">
        <v>36</v>
      </c>
      <c r="B108" s="3828"/>
      <c r="C108" s="3105" t="s">
        <v>2724</v>
      </c>
      <c r="D108" s="3079" t="s">
        <v>2725</v>
      </c>
      <c r="E108" s="3105">
        <v>0.15</v>
      </c>
      <c r="F108" s="3105">
        <v>20</v>
      </c>
    </row>
    <row r="109" spans="1:6" ht="13.5">
      <c r="A109" s="3105">
        <v>37</v>
      </c>
      <c r="B109" s="3828"/>
      <c r="C109" s="3105" t="s">
        <v>2726</v>
      </c>
      <c r="D109" s="3079" t="s">
        <v>2727</v>
      </c>
      <c r="E109" s="3105">
        <v>0.15</v>
      </c>
      <c r="F109" s="3105">
        <v>20</v>
      </c>
    </row>
    <row r="110" spans="1:6" ht="13.5">
      <c r="A110" s="3105">
        <v>38</v>
      </c>
      <c r="B110" s="3828"/>
      <c r="C110" s="3105" t="s">
        <v>2728</v>
      </c>
      <c r="D110" s="3079" t="s">
        <v>2729</v>
      </c>
      <c r="E110" s="3105">
        <v>0.1</v>
      </c>
      <c r="F110" s="3105">
        <v>15</v>
      </c>
    </row>
    <row r="111" spans="1:6" ht="24">
      <c r="A111" s="3105">
        <v>39</v>
      </c>
      <c r="B111" s="3828"/>
      <c r="C111" s="3105" t="s">
        <v>2730</v>
      </c>
      <c r="D111" s="3079" t="s">
        <v>2731</v>
      </c>
      <c r="E111" s="3105">
        <v>0.1</v>
      </c>
      <c r="F111" s="3105">
        <v>15</v>
      </c>
    </row>
    <row r="112" spans="1:6" ht="24">
      <c r="A112" s="3105">
        <v>40</v>
      </c>
      <c r="B112" s="3827"/>
      <c r="C112" s="3105" t="s">
        <v>2732</v>
      </c>
      <c r="D112" s="3079" t="s">
        <v>2733</v>
      </c>
      <c r="E112" s="3105">
        <v>0.1</v>
      </c>
      <c r="F112" s="3105">
        <v>15</v>
      </c>
    </row>
    <row r="113" spans="1:6" ht="13.5">
      <c r="A113" s="3105">
        <v>41</v>
      </c>
      <c r="B113" s="3825" t="s">
        <v>2734</v>
      </c>
      <c r="C113" s="3105" t="s">
        <v>2735</v>
      </c>
      <c r="D113" s="3079" t="s">
        <v>2736</v>
      </c>
      <c r="E113" s="3105">
        <v>0.1</v>
      </c>
      <c r="F113" s="3105">
        <v>15</v>
      </c>
    </row>
    <row r="114" spans="1:6" ht="13.5">
      <c r="A114" s="3105">
        <v>42</v>
      </c>
      <c r="B114" s="3825"/>
      <c r="C114" s="3105" t="s">
        <v>2737</v>
      </c>
      <c r="D114" s="3079" t="s">
        <v>2738</v>
      </c>
      <c r="E114" s="3105">
        <v>0.1</v>
      </c>
      <c r="F114" s="3105">
        <v>15</v>
      </c>
    </row>
    <row r="115" spans="1:6" ht="24">
      <c r="A115" s="3105">
        <v>43</v>
      </c>
      <c r="B115" s="3825"/>
      <c r="C115" s="3105" t="s">
        <v>2739</v>
      </c>
      <c r="D115" s="3079" t="s">
        <v>2740</v>
      </c>
      <c r="E115" s="3105">
        <v>0.1</v>
      </c>
      <c r="F115" s="3105">
        <v>15</v>
      </c>
    </row>
    <row r="116" spans="1:6" ht="13.5">
      <c r="A116" s="3105">
        <v>44</v>
      </c>
      <c r="B116" s="3826" t="s">
        <v>2741</v>
      </c>
      <c r="C116" s="3105" t="s">
        <v>2742</v>
      </c>
      <c r="D116" s="3079" t="s">
        <v>2743</v>
      </c>
      <c r="E116" s="3105">
        <v>0.1</v>
      </c>
      <c r="F116" s="3105">
        <v>15</v>
      </c>
    </row>
    <row r="117" spans="1:6" ht="24">
      <c r="A117" s="3105">
        <v>45</v>
      </c>
      <c r="B117" s="3827"/>
      <c r="C117" s="3079" t="s">
        <v>2744</v>
      </c>
      <c r="D117" s="3079" t="s">
        <v>2745</v>
      </c>
      <c r="E117" s="3105">
        <v>0.1</v>
      </c>
      <c r="F117" s="3105">
        <v>15</v>
      </c>
    </row>
    <row r="118" spans="1:6" ht="24">
      <c r="A118" s="3105">
        <v>46</v>
      </c>
      <c r="B118" s="3826" t="s">
        <v>2746</v>
      </c>
      <c r="C118" s="3105" t="s">
        <v>2747</v>
      </c>
      <c r="D118" s="3079" t="s">
        <v>2748</v>
      </c>
      <c r="E118" s="3105">
        <v>0.1</v>
      </c>
      <c r="F118" s="3105">
        <v>15</v>
      </c>
    </row>
    <row r="119" spans="1:6" ht="24">
      <c r="A119" s="3105">
        <v>47</v>
      </c>
      <c r="B119" s="3827"/>
      <c r="C119" s="3105" t="s">
        <v>2749</v>
      </c>
      <c r="D119" s="3079" t="s">
        <v>2750</v>
      </c>
      <c r="E119" s="3105">
        <v>0.1</v>
      </c>
      <c r="F119" s="3105">
        <v>15</v>
      </c>
    </row>
    <row r="120" spans="1:6" ht="13.5">
      <c r="A120" s="3105">
        <v>48</v>
      </c>
      <c r="B120" s="3826" t="s">
        <v>2751</v>
      </c>
      <c r="C120" s="3105" t="s">
        <v>2752</v>
      </c>
      <c r="D120" s="3079" t="s">
        <v>2753</v>
      </c>
      <c r="E120" s="3105">
        <v>0.1</v>
      </c>
      <c r="F120" s="3105">
        <v>15</v>
      </c>
    </row>
    <row r="121" spans="1:6" ht="13.5">
      <c r="A121" s="3105">
        <v>49</v>
      </c>
      <c r="B121" s="3827"/>
      <c r="C121" s="3105" t="s">
        <v>2754</v>
      </c>
      <c r="D121" s="3079" t="s">
        <v>2755</v>
      </c>
      <c r="E121" s="3105">
        <v>0.1</v>
      </c>
      <c r="F121" s="3105">
        <v>15</v>
      </c>
    </row>
    <row r="122" spans="1:6" ht="24">
      <c r="A122" s="3105">
        <v>50</v>
      </c>
      <c r="B122" s="3825" t="s">
        <v>2756</v>
      </c>
      <c r="C122" s="3105" t="s">
        <v>2757</v>
      </c>
      <c r="D122" s="3079" t="s">
        <v>2758</v>
      </c>
      <c r="E122" s="3105">
        <v>0.1</v>
      </c>
      <c r="F122" s="3105">
        <v>15</v>
      </c>
    </row>
    <row r="123" spans="1:6" ht="24">
      <c r="A123" s="3105">
        <v>51</v>
      </c>
      <c r="B123" s="3825"/>
      <c r="C123" s="3105" t="s">
        <v>2759</v>
      </c>
      <c r="D123" s="3079" t="s">
        <v>2760</v>
      </c>
      <c r="E123" s="3105">
        <v>0.1</v>
      </c>
      <c r="F123" s="3105">
        <v>15</v>
      </c>
    </row>
    <row r="124" spans="1:6" ht="24">
      <c r="A124" s="3105">
        <v>52</v>
      </c>
      <c r="B124" s="3825" t="s">
        <v>2761</v>
      </c>
      <c r="C124" s="3105" t="s">
        <v>2762</v>
      </c>
      <c r="D124" s="3079" t="s">
        <v>2763</v>
      </c>
      <c r="E124" s="3105">
        <v>0.1</v>
      </c>
      <c r="F124" s="3105">
        <v>15</v>
      </c>
    </row>
    <row r="125" spans="1:6" ht="24">
      <c r="A125" s="3105">
        <v>53</v>
      </c>
      <c r="B125" s="3825"/>
      <c r="C125" s="3105" t="s">
        <v>2764</v>
      </c>
      <c r="D125" s="3079" t="s">
        <v>2765</v>
      </c>
      <c r="E125" s="3105">
        <v>0.1</v>
      </c>
      <c r="F125" s="3105">
        <v>15</v>
      </c>
    </row>
    <row r="126" spans="1:6" ht="13.5">
      <c r="A126" s="3105">
        <v>54</v>
      </c>
      <c r="B126" s="3105" t="s">
        <v>2766</v>
      </c>
      <c r="C126" s="3105" t="s">
        <v>2767</v>
      </c>
      <c r="D126" s="3079" t="s">
        <v>2768</v>
      </c>
      <c r="E126" s="3105">
        <v>0.1</v>
      </c>
      <c r="F126" s="3105">
        <v>15</v>
      </c>
    </row>
    <row r="127" spans="1:6" ht="13.5">
      <c r="A127" s="3105">
        <v>55</v>
      </c>
      <c r="B127" s="3825" t="s">
        <v>2769</v>
      </c>
      <c r="C127" s="3105" t="s">
        <v>2770</v>
      </c>
      <c r="D127" s="3079" t="s">
        <v>2771</v>
      </c>
      <c r="E127" s="3105">
        <v>0.1</v>
      </c>
      <c r="F127" s="3105">
        <v>15</v>
      </c>
    </row>
    <row r="128" spans="1:6" ht="13.5">
      <c r="A128" s="3105">
        <v>56</v>
      </c>
      <c r="B128" s="3825"/>
      <c r="C128" s="3105" t="s">
        <v>2772</v>
      </c>
      <c r="D128" s="3079" t="s">
        <v>2773</v>
      </c>
      <c r="E128" s="3105">
        <v>0.1</v>
      </c>
      <c r="F128" s="3105">
        <v>15</v>
      </c>
    </row>
    <row r="129" spans="1:6" ht="24">
      <c r="A129" s="3105">
        <v>57</v>
      </c>
      <c r="B129" s="3825"/>
      <c r="C129" s="3105" t="s">
        <v>2774</v>
      </c>
      <c r="D129" s="3079" t="s">
        <v>2775</v>
      </c>
      <c r="E129" s="3105">
        <v>0.1</v>
      </c>
      <c r="F129" s="3105">
        <v>15</v>
      </c>
    </row>
    <row r="130" spans="1:6" ht="24">
      <c r="A130" s="3105">
        <v>58</v>
      </c>
      <c r="B130" s="3825" t="s">
        <v>2776</v>
      </c>
      <c r="C130" s="3105" t="s">
        <v>2777</v>
      </c>
      <c r="D130" s="3079" t="s">
        <v>2778</v>
      </c>
      <c r="E130" s="3105">
        <v>0.1</v>
      </c>
      <c r="F130" s="3105">
        <v>15</v>
      </c>
    </row>
    <row r="131" spans="1:6" ht="13.5">
      <c r="A131" s="3105">
        <v>59</v>
      </c>
      <c r="B131" s="3825"/>
      <c r="C131" s="3105" t="s">
        <v>2779</v>
      </c>
      <c r="D131" s="3079" t="s">
        <v>2780</v>
      </c>
      <c r="E131" s="3105">
        <v>0.1</v>
      </c>
      <c r="F131" s="3105">
        <v>15</v>
      </c>
    </row>
    <row r="132" spans="1:6" ht="13.5">
      <c r="A132" s="3105">
        <v>60</v>
      </c>
      <c r="B132" s="3826" t="s">
        <v>2781</v>
      </c>
      <c r="C132" s="3105" t="s">
        <v>2782</v>
      </c>
      <c r="D132" s="3079" t="s">
        <v>2783</v>
      </c>
      <c r="E132" s="3105">
        <v>0.1</v>
      </c>
      <c r="F132" s="3105">
        <v>15</v>
      </c>
    </row>
    <row r="133" spans="1:6" ht="13.5">
      <c r="A133" s="3105">
        <v>61</v>
      </c>
      <c r="B133" s="3827"/>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13.5">
      <c r="A135" s="3105">
        <v>63</v>
      </c>
      <c r="B135" s="3825" t="s">
        <v>2789</v>
      </c>
      <c r="C135" s="3105" t="s">
        <v>2790</v>
      </c>
      <c r="D135" s="3079" t="s">
        <v>2791</v>
      </c>
      <c r="E135" s="3105">
        <v>0.1</v>
      </c>
      <c r="F135" s="3105">
        <v>15</v>
      </c>
    </row>
    <row r="136" spans="1:6" ht="13.5">
      <c r="A136" s="3105">
        <v>64</v>
      </c>
      <c r="B136" s="3825"/>
      <c r="C136" s="3105" t="s">
        <v>2792</v>
      </c>
      <c r="D136" s="3079" t="s">
        <v>2793</v>
      </c>
      <c r="E136" s="3105">
        <v>0.1</v>
      </c>
      <c r="F136" s="3105">
        <v>15</v>
      </c>
    </row>
    <row r="137" spans="1:6" ht="13.5">
      <c r="A137" s="3105">
        <v>65</v>
      </c>
      <c r="B137" s="3105" t="s">
        <v>2794</v>
      </c>
      <c r="C137" s="3105" t="s">
        <v>2795</v>
      </c>
      <c r="D137" s="3079" t="s">
        <v>2796</v>
      </c>
      <c r="E137" s="3105">
        <v>0.1</v>
      </c>
      <c r="F137" s="3105">
        <v>15</v>
      </c>
    </row>
    <row r="138" spans="1:6" ht="13.5">
      <c r="A138" s="3105"/>
      <c r="B138" s="3105"/>
      <c r="C138" s="3105"/>
      <c r="D138" s="3105"/>
      <c r="E138" s="3105" t="s">
        <v>2797</v>
      </c>
      <c r="F138" s="310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84"/>
      <c r="B4" s="3518" t="s">
        <v>917</v>
      </c>
      <c r="C4" s="3518"/>
      <c r="D4" s="3518"/>
      <c r="E4" s="1484"/>
    </row>
    <row r="5" spans="1:5" ht="16.5" thickTop="1">
      <c r="A5" s="1482"/>
      <c r="B5" s="3516" t="s">
        <v>909</v>
      </c>
      <c r="C5" s="1485" t="s">
        <v>910</v>
      </c>
      <c r="D5" s="841">
        <f ca="1">结果表!H101</f>
        <v>20294</v>
      </c>
      <c r="E5" s="1482"/>
    </row>
    <row r="6" spans="1:5" ht="15.75">
      <c r="A6" s="1482"/>
      <c r="B6" s="3516"/>
      <c r="C6" s="1485" t="s">
        <v>911</v>
      </c>
      <c r="D6" s="841" t="str">
        <f ca="1">NUMBERSTRING(INT(D5*10000),2)&amp;"元整"</f>
        <v>贰亿零贰佰玖拾肆万元整</v>
      </c>
      <c r="E6" s="1482"/>
    </row>
    <row r="7" spans="1:5" ht="15.75">
      <c r="A7" s="1482"/>
      <c r="B7" s="3521"/>
      <c r="C7" s="1486" t="s">
        <v>912</v>
      </c>
      <c r="D7" s="842">
        <f ca="1">结果表!H102</f>
        <v>5905</v>
      </c>
      <c r="E7" s="1482"/>
    </row>
    <row r="8" spans="1:5" ht="15.75">
      <c r="A8" s="1482"/>
      <c r="B8" s="3522" t="str">
        <f>结果表!E103</f>
        <v>2.估价师知悉的法定优先受偿款</v>
      </c>
      <c r="C8" s="1487" t="s">
        <v>913</v>
      </c>
      <c r="D8" s="842">
        <f>结果表!H103</f>
        <v>0</v>
      </c>
      <c r="E8" s="1482"/>
    </row>
    <row r="9" spans="1:5" ht="15.75">
      <c r="A9" s="1482"/>
      <c r="B9" s="3524"/>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515" t="str">
        <f>结果表!E107</f>
        <v>3.房地产抵押价值</v>
      </c>
      <c r="C13" s="1490" t="s">
        <v>910</v>
      </c>
      <c r="D13" s="844">
        <f ca="1">结果表!H107</f>
        <v>20294</v>
      </c>
      <c r="E13" s="1482"/>
    </row>
    <row r="14" spans="1:5" ht="15.75">
      <c r="A14" s="1482"/>
      <c r="B14" s="3516"/>
      <c r="C14" s="1485" t="s">
        <v>911</v>
      </c>
      <c r="D14" s="841" t="str">
        <f ca="1">NUMBERSTRING(INT(D13*10000),2)&amp;"元整"</f>
        <v>贰亿零贰佰玖拾肆万元整</v>
      </c>
      <c r="E14" s="1482"/>
    </row>
    <row r="15" spans="1:5" ht="15">
      <c r="A15" s="1482"/>
      <c r="B15" s="3521"/>
      <c r="C15" s="1486" t="s">
        <v>921</v>
      </c>
      <c r="D15" s="850">
        <f ca="1">结果表!H108</f>
        <v>5905</v>
      </c>
      <c r="E15" s="1482"/>
    </row>
    <row r="16" spans="1:5" ht="15">
      <c r="A16" s="1482"/>
      <c r="B16" s="3522" t="str">
        <f>结果表!E109</f>
        <v>——</v>
      </c>
      <c r="C16" s="1490" t="s">
        <v>922</v>
      </c>
      <c r="D16" s="1491" t="str">
        <f>结果表!H109</f>
        <v>——</v>
      </c>
      <c r="E16" s="1482"/>
    </row>
    <row r="17" spans="1:5" ht="15.75">
      <c r="A17" s="1482"/>
      <c r="B17" s="3523"/>
      <c r="C17" s="1485" t="s">
        <v>923</v>
      </c>
      <c r="D17" s="841" t="e">
        <f>NUMBERSTRING(INT(D16*10000),2)&amp;"元整"</f>
        <v>#VALUE!</v>
      </c>
      <c r="E17" s="1482"/>
    </row>
    <row r="18" spans="1:5" ht="15">
      <c r="A18" s="1482"/>
      <c r="B18" s="3524"/>
      <c r="C18" s="1486" t="s">
        <v>912</v>
      </c>
      <c r="D18" s="850" t="str">
        <f>结果表!H110</f>
        <v>——</v>
      </c>
      <c r="E18" s="1482"/>
    </row>
    <row r="19" spans="1:5" ht="15.75">
      <c r="A19" s="1482"/>
      <c r="B19" s="3515" t="str">
        <f>结果表!E111</f>
        <v>——</v>
      </c>
      <c r="C19" s="1490" t="s">
        <v>910</v>
      </c>
      <c r="D19" s="842" t="str">
        <f>结果表!H111</f>
        <v>——</v>
      </c>
      <c r="E19" s="1482"/>
    </row>
    <row r="20" spans="1:5" ht="15.75">
      <c r="A20" s="1482"/>
      <c r="B20" s="3516"/>
      <c r="C20" s="1485" t="s">
        <v>923</v>
      </c>
      <c r="D20" s="841" t="e">
        <f>NUMBERSTRING(INT(D19*10000),2)&amp;"元整"</f>
        <v>#VALUE!</v>
      </c>
      <c r="E20" s="1482"/>
    </row>
    <row r="21" spans="1:5" ht="15.75" thickBot="1">
      <c r="A21" s="1482"/>
      <c r="B21" s="3517"/>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28"/>
    <col min="14" max="16384" width="9" style="741"/>
  </cols>
  <sheetData>
    <row r="1" spans="1:20" ht="15"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1.2302</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1.1198999999999999</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35155</v>
      </c>
      <c r="C2" s="2" t="s">
        <v>106</v>
      </c>
      <c r="D2" s="193"/>
      <c r="E2" s="193"/>
      <c r="F2" s="193"/>
      <c r="G2" s="193"/>
    </row>
    <row r="3" spans="1:7" s="194" customFormat="1" ht="18" customHeight="1" thickBot="1">
      <c r="A3" s="197" t="s">
        <v>58</v>
      </c>
      <c r="B3" s="198">
        <f ca="1">ROUND(B2*10000/'数据-汇总表'!E3,0)</f>
        <v>10229</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319</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741</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6</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1081</v>
      </c>
      <c r="D27" s="229">
        <f>C29</f>
        <v>8.0000000000000004E-4</v>
      </c>
      <c r="E27" s="230" t="s">
        <v>99</v>
      </c>
      <c r="F27" s="240">
        <f>'数据-取费表'!Q16</f>
        <v>0.05</v>
      </c>
      <c r="G27" s="241" t="s">
        <v>431</v>
      </c>
    </row>
    <row r="28" spans="1:7" s="208" customFormat="1" ht="13.5" customHeight="1">
      <c r="A28" s="771" t="s">
        <v>349</v>
      </c>
      <c r="B28" s="242" t="s">
        <v>424</v>
      </c>
      <c r="C28" s="243">
        <f>ROUND((C5+C19+C20)*F27*'数据-取费表'!B21/'数据-取费表'!B20,0)</f>
        <v>1081</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25161</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10743</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9623</v>
      </c>
      <c r="D34" s="211"/>
      <c r="E34" s="214"/>
      <c r="F34" s="251">
        <f>IF('数据-取费表'!B24=0,1,'数据-取费表'!N16)</f>
        <v>1</v>
      </c>
      <c r="G34" s="213" t="s">
        <v>89</v>
      </c>
    </row>
    <row r="35" spans="1:7" ht="13.5" customHeight="1">
      <c r="A35" s="771" t="s">
        <v>351</v>
      </c>
      <c r="B35" s="209" t="s">
        <v>33</v>
      </c>
      <c r="C35" s="214">
        <f>ROUND(C34*F35,0)</f>
        <v>289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144</v>
      </c>
      <c r="D38" s="214"/>
      <c r="E38" s="214"/>
      <c r="F38" s="253">
        <f>'数据-取费表'!B36</f>
        <v>1.4999999999999999E-2</v>
      </c>
      <c r="G38" s="213" t="s">
        <v>90</v>
      </c>
    </row>
    <row r="39" spans="1:7" s="208" customFormat="1" ht="13.5" customHeight="1">
      <c r="A39" s="768" t="s">
        <v>338</v>
      </c>
      <c r="B39" s="204" t="s">
        <v>77</v>
      </c>
      <c r="C39" s="226">
        <f>ROUND(C33*F20,0)</f>
        <v>161</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188</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185</v>
      </c>
      <c r="D42" s="232"/>
      <c r="E42" s="232"/>
      <c r="F42" s="233"/>
      <c r="G42" s="3762" t="s">
        <v>94</v>
      </c>
    </row>
    <row r="43" spans="1:7" ht="13.5" customHeight="1">
      <c r="A43" s="771" t="s">
        <v>347</v>
      </c>
      <c r="B43" s="209" t="s">
        <v>426</v>
      </c>
      <c r="C43" s="232">
        <f ca="1">ROUND(IF('数据-取费表'!B22&lt;=1,C39*F22*'数据-取费表'!B21/2,C39*(POWER((1+F22),'数据-取费表'!B21/2)-1)),0)</f>
        <v>3</v>
      </c>
      <c r="D43" s="232"/>
      <c r="E43" s="232"/>
      <c r="F43" s="233"/>
      <c r="G43" s="3763"/>
    </row>
    <row r="44" spans="1:7" ht="13.5" customHeight="1">
      <c r="A44" s="771" t="s">
        <v>348</v>
      </c>
      <c r="B44" s="209" t="s">
        <v>428</v>
      </c>
      <c r="C44" s="232">
        <f ca="1">ROUND(IF('数据-取费表'!B22&lt;=1,C40*F22*'数据-取费表'!B21/2,C40*(POWER((1+F22),'数据-取费表'!B21/2)-1)),4)</f>
        <v>2.9999999999999997E-4</v>
      </c>
      <c r="D44" s="232"/>
      <c r="E44" s="232"/>
      <c r="F44" s="233"/>
      <c r="G44" s="3764"/>
    </row>
    <row r="45" spans="1:7" s="208" customFormat="1" ht="13.5" customHeight="1">
      <c r="A45" s="768" t="s">
        <v>341</v>
      </c>
      <c r="B45" s="238" t="s">
        <v>85</v>
      </c>
      <c r="C45" s="239">
        <f>C46</f>
        <v>545</v>
      </c>
      <c r="D45" s="229">
        <f>C47</f>
        <v>8.0000000000000004E-4</v>
      </c>
      <c r="E45" s="230" t="s">
        <v>102</v>
      </c>
      <c r="F45" s="240"/>
      <c r="G45" s="241" t="s">
        <v>434</v>
      </c>
    </row>
    <row r="46" spans="1:7" s="208" customFormat="1" ht="13.5" customHeight="1">
      <c r="A46" s="771" t="s">
        <v>349</v>
      </c>
      <c r="B46" s="242" t="s">
        <v>427</v>
      </c>
      <c r="C46" s="243">
        <f>ROUND((C33+C39)*F27,0)</f>
        <v>545</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12492</v>
      </c>
      <c r="D49" s="226"/>
      <c r="E49" s="226"/>
      <c r="F49" s="258"/>
      <c r="G49" s="228" t="s">
        <v>435</v>
      </c>
    </row>
    <row r="50" spans="1:7" s="252" customFormat="1" ht="24">
      <c r="A50" s="768" t="s">
        <v>344</v>
      </c>
      <c r="B50" s="204" t="s">
        <v>97</v>
      </c>
      <c r="C50" s="226"/>
      <c r="D50" s="226"/>
      <c r="E50" s="226"/>
      <c r="F50" s="258">
        <f>IF('数据-取费表'!B24=0,'数据-取费表'!N16,1)</f>
        <v>0.8</v>
      </c>
      <c r="G50" s="241" t="s">
        <v>98</v>
      </c>
    </row>
    <row r="51" spans="1:7" ht="16.5" customHeight="1">
      <c r="A51" s="768" t="s">
        <v>345</v>
      </c>
      <c r="B51" s="204" t="s">
        <v>105</v>
      </c>
      <c r="C51" s="226">
        <f ca="1">ROUND(C49*F50,0)</f>
        <v>9994</v>
      </c>
      <c r="D51" s="226"/>
      <c r="E51" s="226"/>
      <c r="F51" s="258"/>
      <c r="G51" s="228" t="s">
        <v>37</v>
      </c>
    </row>
    <row r="52" spans="1:7" s="202" customFormat="1" ht="16.5" thickBot="1">
      <c r="A52" s="259" t="s">
        <v>38</v>
      </c>
      <c r="B52" s="260"/>
      <c r="C52" s="261">
        <f ca="1">C31+C51</f>
        <v>35155</v>
      </c>
      <c r="D52" s="260"/>
      <c r="E52" s="260"/>
      <c r="F52" s="260"/>
      <c r="G52" s="262"/>
    </row>
    <row r="55" spans="1:7" ht="15">
      <c r="B55" s="264" t="s">
        <v>39</v>
      </c>
      <c r="C55" s="265"/>
    </row>
    <row r="56" spans="1:7">
      <c r="B56" s="267" t="s">
        <v>40</v>
      </c>
      <c r="C56" s="268">
        <f ca="1">ROUND(C51/C52,3)</f>
        <v>0.28399999999999997</v>
      </c>
    </row>
    <row r="57" spans="1:7">
      <c r="B57" s="267" t="s">
        <v>41</v>
      </c>
      <c r="C57" s="269">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39" t="s">
        <v>2839</v>
      </c>
      <c r="B1" s="3839"/>
      <c r="C1" s="3839"/>
      <c r="D1" s="3839"/>
      <c r="E1" s="3839"/>
      <c r="F1" s="3839"/>
      <c r="G1" s="3840"/>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2"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37"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2" thickBot="1">
      <c r="A4" s="3838"/>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2"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2"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2"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2"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41" t="s">
        <v>3181</v>
      </c>
      <c r="B1" s="3841"/>
    </row>
    <row r="2" spans="1:7" ht="14.25" thickBot="1">
      <c r="A2" s="3242"/>
      <c r="B2" s="3242"/>
    </row>
    <row r="3" spans="1:7" ht="14.25" thickBot="1">
      <c r="A3" s="3242"/>
      <c r="B3" s="3242"/>
      <c r="C3" s="3243" t="s">
        <v>2811</v>
      </c>
      <c r="D3" s="3243" t="s">
        <v>2867</v>
      </c>
      <c r="E3" s="3243" t="s">
        <v>2813</v>
      </c>
      <c r="F3" s="3243" t="s">
        <v>2868</v>
      </c>
      <c r="G3" s="3243" t="s">
        <v>2631</v>
      </c>
    </row>
    <row r="4" spans="1:7" ht="14.2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4.2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4.2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4.2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4.2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4.2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4.2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4.2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4.2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4.2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4.2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77"/>
  </cols>
  <sheetData>
    <row r="1" spans="1:6">
      <c r="A1" s="3842" t="s">
        <v>3232</v>
      </c>
      <c r="B1" s="3842"/>
      <c r="C1" s="3842"/>
      <c r="D1" s="3842"/>
      <c r="E1" s="3842"/>
      <c r="F1" s="3843"/>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45310</v>
      </c>
      <c r="B1" s="3197" t="s">
        <v>3370</v>
      </c>
      <c r="C1" s="3198"/>
      <c r="D1" s="3198"/>
      <c r="E1" s="3198"/>
      <c r="F1" s="3198"/>
      <c r="G1" s="3198"/>
      <c r="H1" s="3198"/>
      <c r="I1" s="3198"/>
      <c r="J1" s="3152"/>
      <c r="K1" s="3198" t="s">
        <v>454</v>
      </c>
      <c r="L1" s="3198"/>
      <c r="M1" s="3198"/>
      <c r="N1" s="3198"/>
      <c r="O1" s="3198"/>
      <c r="P1" s="3198"/>
      <c r="Q1" s="3152"/>
      <c r="R1" s="3844" t="s">
        <v>456</v>
      </c>
      <c r="S1" s="3845"/>
      <c r="T1" s="3845"/>
      <c r="U1" s="3845"/>
      <c r="V1" s="3845"/>
      <c r="W1" s="3845"/>
      <c r="X1" s="3152"/>
      <c r="Y1" s="3844" t="s">
        <v>457</v>
      </c>
      <c r="Z1" s="3845"/>
      <c r="AA1" s="3845"/>
      <c r="AB1" s="3845"/>
      <c r="AC1" s="3845"/>
      <c r="AD1" s="3845"/>
    </row>
    <row r="2" spans="1:30" s="3130" customFormat="1" ht="14.2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2.75">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6" t="s">
        <v>3374</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6" t="s">
        <v>3375</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6" t="s">
        <v>3376</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3368</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3369</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3367</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3366</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3362</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3353</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5" t="s">
        <v>3364</v>
      </c>
    </row>
    <row r="21" spans="1:30" s="2996" customFormat="1">
      <c r="I21" s="3195" t="s">
        <v>2825</v>
      </c>
    </row>
    <row r="22" spans="1:30" s="2996" customFormat="1"/>
    <row r="23" spans="1:30" s="3196" customFormat="1" ht="12.75">
      <c r="B23" s="3197" t="s">
        <v>3371</v>
      </c>
      <c r="C23" s="3198"/>
      <c r="D23" s="3198"/>
      <c r="E23" s="3198"/>
      <c r="F23" s="3198"/>
      <c r="G23" s="3198"/>
      <c r="H23" s="3198"/>
      <c r="I23" s="3198"/>
      <c r="J23" s="3152"/>
      <c r="K23" s="3198" t="s">
        <v>2826</v>
      </c>
      <c r="L23" s="3198"/>
      <c r="M23" s="3198"/>
      <c r="N23" s="3198"/>
      <c r="O23" s="3198"/>
      <c r="P23" s="3198"/>
      <c r="Q23" s="3152"/>
      <c r="R23" s="3844" t="s">
        <v>2827</v>
      </c>
      <c r="S23" s="3845"/>
      <c r="T23" s="3845"/>
      <c r="U23" s="3845"/>
      <c r="V23" s="3845"/>
      <c r="W23" s="3845"/>
      <c r="X23" s="3152"/>
      <c r="Y23" s="3844" t="s">
        <v>2828</v>
      </c>
      <c r="Z23" s="3845"/>
      <c r="AA23" s="3845"/>
      <c r="AB23" s="3845"/>
      <c r="AC23" s="3845"/>
      <c r="AD23" s="3845"/>
    </row>
    <row r="24" spans="1:30" s="3130" customFormat="1" ht="14.2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2.75">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6" t="s">
        <v>3374</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6" t="s">
        <v>3375</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6" t="s">
        <v>3376</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3372</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3373</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3367</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3366</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3363</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3353</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5"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3361</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3358</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3359</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3360</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4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4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4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56"/>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52">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4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4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56"/>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52">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4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4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4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4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4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4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4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4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4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4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4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53">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54"/>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54"/>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55"/>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4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4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4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4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4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4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4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4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4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4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4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4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4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4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4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4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4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4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4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4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4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4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4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4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4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4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4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4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4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4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4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4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4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4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4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4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46">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47">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47">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48">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46">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47">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47">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4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45310</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28"/>
      <c r="B3" s="3528"/>
      <c r="C3" s="3528"/>
      <c r="D3" s="845" t="s">
        <v>925</v>
      </c>
      <c r="E3" s="845" t="s">
        <v>931</v>
      </c>
      <c r="F3" s="845" t="s">
        <v>925</v>
      </c>
      <c r="G3" s="845" t="s">
        <v>926</v>
      </c>
      <c r="H3" s="845" t="s">
        <v>925</v>
      </c>
      <c r="I3" s="845" t="s">
        <v>926</v>
      </c>
    </row>
    <row r="4" spans="1:9" ht="30">
      <c r="A4" s="1496" t="str">
        <f>项目基本情况!S2</f>
        <v>北京市密云区科技路77号院1号楼房地产</v>
      </c>
      <c r="B4" s="845">
        <f>项目基本情况!C17</f>
        <v>34367.43</v>
      </c>
      <c r="C4" s="845">
        <f>项目基本情况!C18</f>
        <v>33154.39</v>
      </c>
      <c r="D4" s="845">
        <f ca="1">结果表!D118</f>
        <v>6068</v>
      </c>
      <c r="E4" s="845">
        <f ca="1">结果表!E118</f>
        <v>1766</v>
      </c>
      <c r="F4" s="845">
        <f ca="1">结果表!F118</f>
        <v>14226</v>
      </c>
      <c r="G4" s="845">
        <f ca="1">结果表!G118</f>
        <v>4139</v>
      </c>
      <c r="H4" s="845">
        <f ca="1">结果表!H118</f>
        <v>20294</v>
      </c>
      <c r="I4" s="845">
        <f ca="1">结果表!I118</f>
        <v>5905</v>
      </c>
    </row>
    <row r="5" spans="1:9" ht="30" customHeight="1">
      <c r="A5" s="3528" t="s">
        <v>927</v>
      </c>
      <c r="B5" s="3528"/>
      <c r="C5" s="3528"/>
      <c r="D5" s="3528" t="str">
        <f ca="1">结果表!D119</f>
        <v>陆仟零陆拾捌万元整</v>
      </c>
      <c r="E5" s="3528"/>
      <c r="F5" s="3528" t="str">
        <f ca="1">结果表!F119</f>
        <v>壹亿肆仟贰佰贰拾陆万元整</v>
      </c>
      <c r="G5" s="3528"/>
      <c r="H5" s="3528" t="str">
        <f ca="1">结果表!H119</f>
        <v>贰亿零贰佰玖拾肆万元整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20294</v>
      </c>
      <c r="E8" s="3527"/>
      <c r="F8" s="3527"/>
      <c r="G8" s="3527"/>
      <c r="H8" s="3527"/>
      <c r="I8" s="3527"/>
    </row>
    <row r="9" spans="1:9" ht="15">
      <c r="A9" s="3528" t="s">
        <v>927</v>
      </c>
      <c r="B9" s="3528"/>
      <c r="C9" s="3528"/>
      <c r="D9" s="3528" t="str">
        <f ca="1">结果表!D123</f>
        <v>贰亿零贰佰玖拾肆万元整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
      </c>
      <c r="B12" s="3527"/>
      <c r="C12" s="3527"/>
      <c r="D12" s="3527" t="str">
        <f>结果表!D126</f>
        <v>——</v>
      </c>
      <c r="E12" s="3527"/>
      <c r="F12" s="3527"/>
      <c r="G12" s="3527"/>
      <c r="H12" s="3527"/>
      <c r="I12" s="3527"/>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40" t="s">
        <v>949</v>
      </c>
      <c r="B1" s="3540"/>
      <c r="C1" s="3540"/>
      <c r="D1" s="3540"/>
    </row>
    <row r="2" spans="1:4" ht="18">
      <c r="A2" s="3541" t="s">
        <v>933</v>
      </c>
      <c r="B2" s="3541"/>
      <c r="C2" s="3541"/>
      <c r="D2" s="3541"/>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541" t="s">
        <v>939</v>
      </c>
      <c r="B6" s="3541"/>
      <c r="C6" s="3541"/>
      <c r="D6" s="3541"/>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7"/>
      <c r="C21" s="3537"/>
      <c r="D21" s="3537"/>
    </row>
    <row r="22" spans="1:4" ht="18.75" customHeight="1">
      <c r="A22" s="3538" t="s">
        <v>945</v>
      </c>
      <c r="B22" s="3538"/>
      <c r="C22" s="3538"/>
      <c r="D22" s="3538"/>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48" t="s">
        <v>956</v>
      </c>
      <c r="B15" s="3543" t="s">
        <v>109</v>
      </c>
      <c r="C15" s="3544"/>
    </row>
    <row r="16" spans="1:7" ht="13.5">
      <c r="A16" s="3549"/>
      <c r="B16" s="3543" t="s">
        <v>42</v>
      </c>
      <c r="C16" s="3544"/>
    </row>
    <row r="17" spans="1:3" ht="13.5">
      <c r="A17" s="3549"/>
      <c r="B17" s="3546" t="s">
        <v>957</v>
      </c>
      <c r="C17" s="1523" t="s">
        <v>956</v>
      </c>
    </row>
    <row r="18" spans="1:3" ht="13.5">
      <c r="A18" s="3549"/>
      <c r="B18" s="3546"/>
      <c r="C18" s="1523" t="s">
        <v>958</v>
      </c>
    </row>
    <row r="19" spans="1:3" ht="13.5">
      <c r="A19" s="3549"/>
      <c r="B19" s="3546"/>
      <c r="C19" s="1523" t="s">
        <v>959</v>
      </c>
    </row>
    <row r="20" spans="1:3" ht="13.5">
      <c r="A20" s="3550"/>
      <c r="B20" s="3545" t="s">
        <v>960</v>
      </c>
      <c r="C20" s="3544"/>
    </row>
    <row r="21" spans="1:3" ht="13.5">
      <c r="A21" s="1524" t="s">
        <v>961</v>
      </c>
      <c r="B21" s="1525"/>
      <c r="C21" s="1526"/>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23" t="s">
        <v>967</v>
      </c>
    </row>
    <row r="26" spans="1:3" ht="13.5">
      <c r="A26" s="3547"/>
      <c r="B26" s="3546"/>
      <c r="C26" s="1523" t="s">
        <v>968</v>
      </c>
    </row>
    <row r="27" spans="1:3" ht="13.5">
      <c r="A27" s="3547"/>
      <c r="B27" s="3546"/>
      <c r="C27" s="1523" t="s">
        <v>969</v>
      </c>
    </row>
    <row r="28" spans="1:3" ht="13.5">
      <c r="A28" s="3547"/>
      <c r="B28" s="3546"/>
      <c r="C28" s="1523" t="s">
        <v>970</v>
      </c>
    </row>
    <row r="29" spans="1:3" ht="13.5">
      <c r="A29" s="3547"/>
      <c r="B29" s="3546"/>
      <c r="C29" s="1523" t="s">
        <v>971</v>
      </c>
    </row>
    <row r="30" spans="1:3" ht="13.5">
      <c r="A30" s="3547"/>
      <c r="B30" s="3546"/>
      <c r="C30" s="1523" t="s">
        <v>972</v>
      </c>
    </row>
    <row r="31" spans="1:3" ht="13.5">
      <c r="A31" s="3547"/>
      <c r="B31" s="3546"/>
      <c r="C31" s="1523" t="s">
        <v>973</v>
      </c>
    </row>
    <row r="32" spans="1:3" ht="13.5">
      <c r="A32" s="3547"/>
      <c r="B32" s="3546"/>
      <c r="C32" s="1523" t="s">
        <v>974</v>
      </c>
    </row>
    <row r="33" spans="1:3" ht="13.5">
      <c r="A33" s="3547"/>
      <c r="B33" s="3546"/>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45313</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51" t="s">
        <v>2160</v>
      </c>
      <c r="B17" s="3551"/>
      <c r="C17" s="3551"/>
      <c r="D17" s="3551"/>
      <c r="E17" s="3551"/>
      <c r="F17" s="3551"/>
      <c r="G17" s="3551"/>
      <c r="H17" s="3551"/>
    </row>
    <row r="18" spans="1:8" ht="24" customHeight="1">
      <c r="A18" s="3552" t="s">
        <v>2161</v>
      </c>
      <c r="B18" s="3552"/>
      <c r="C18" s="3552"/>
      <c r="D18" s="2334"/>
      <c r="E18" s="3553" t="s">
        <v>2162</v>
      </c>
      <c r="F18" s="3552"/>
      <c r="G18" s="3552"/>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2024-01-22T03:25:00Z</dcterms:modified>
</cp:coreProperties>
</file>