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陵水项目\"/>
    </mc:Choice>
  </mc:AlternateContent>
  <bookViews>
    <workbookView xWindow="11628" yWindow="168" windowWidth="11388" windowHeight="9468" tabRatio="899" firstSheet="10" activeTab="1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面积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面积表!$A$2:$F$157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O158" i="77" l="1"/>
  <c r="D3" i="21"/>
  <c r="C33" i="21"/>
  <c r="F33" i="21"/>
  <c r="AA33" i="21"/>
  <c r="R48" i="21"/>
  <c r="H33" i="21"/>
  <c r="AB33" i="21"/>
  <c r="T48" i="21"/>
  <c r="J33" i="21"/>
  <c r="AC33" i="21"/>
  <c r="V48" i="21"/>
  <c r="R49" i="21"/>
  <c r="C49" i="21"/>
  <c r="B3" i="21"/>
  <c r="C20" i="9"/>
  <c r="F6" i="67"/>
  <c r="F8" i="67"/>
  <c r="F7" i="67"/>
  <c r="F9" i="67"/>
  <c r="C6" i="67"/>
  <c r="F4" i="73"/>
  <c r="I1" i="73"/>
  <c r="B39" i="1"/>
  <c r="F11" i="67"/>
  <c r="C10" i="67"/>
  <c r="C5" i="67"/>
  <c r="C32" i="67"/>
  <c r="C33" i="67"/>
  <c r="AY3" i="3"/>
  <c r="AY6" i="3"/>
  <c r="D3" i="6"/>
  <c r="BB14" i="3"/>
  <c r="BA14" i="3"/>
  <c r="AZ14" i="3"/>
  <c r="AZ5" i="3"/>
  <c r="E3" i="6"/>
  <c r="D19" i="6"/>
  <c r="BA5" i="3"/>
  <c r="E27" i="6"/>
  <c r="K19" i="6"/>
  <c r="M19" i="6"/>
  <c r="I19" i="6"/>
  <c r="H19" i="6"/>
  <c r="R19" i="6"/>
  <c r="R6" i="1"/>
  <c r="F35" i="67"/>
  <c r="C34" i="67"/>
  <c r="C31" i="67"/>
  <c r="K6" i="1"/>
  <c r="F43" i="67"/>
  <c r="S6" i="1"/>
  <c r="C14" i="67"/>
  <c r="C15" i="67"/>
  <c r="F16" i="67"/>
  <c r="C16" i="67"/>
  <c r="C17" i="67"/>
  <c r="C18" i="67"/>
  <c r="C19" i="67"/>
  <c r="C20" i="67"/>
  <c r="D6" i="73"/>
  <c r="K1" i="73"/>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3" i="67"/>
  <c r="D20" i="9"/>
  <c r="G20" i="9"/>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B91" i="31"/>
  <c r="C91" i="31"/>
  <c r="R91" i="31"/>
  <c r="S91" i="31"/>
  <c r="B92" i="31"/>
  <c r="C92" i="31"/>
  <c r="R92" i="31"/>
  <c r="S92" i="31"/>
  <c r="B93" i="31"/>
  <c r="C93" i="31"/>
  <c r="R93" i="31"/>
  <c r="S93" i="31"/>
  <c r="B94" i="31"/>
  <c r="C94" i="31"/>
  <c r="R94" i="31"/>
  <c r="S94" i="31"/>
  <c r="B95" i="31"/>
  <c r="C95" i="31"/>
  <c r="R95" i="31"/>
  <c r="S95" i="31"/>
  <c r="B96" i="31"/>
  <c r="C96" i="31"/>
  <c r="R96" i="31"/>
  <c r="S96" i="31"/>
  <c r="B97" i="31"/>
  <c r="C97" i="31"/>
  <c r="R97" i="31"/>
  <c r="S97" i="31"/>
  <c r="B98" i="31"/>
  <c r="C98" i="31"/>
  <c r="R98" i="31"/>
  <c r="S98" i="31"/>
  <c r="B99" i="31"/>
  <c r="C99" i="31"/>
  <c r="R99" i="31"/>
  <c r="S99" i="31"/>
  <c r="B100" i="31"/>
  <c r="C100" i="31"/>
  <c r="R100" i="31"/>
  <c r="S100" i="31"/>
  <c r="B101" i="31"/>
  <c r="C101" i="31"/>
  <c r="R101" i="31"/>
  <c r="S101" i="31"/>
  <c r="B102" i="31"/>
  <c r="C102" i="31"/>
  <c r="R102" i="31"/>
  <c r="S102" i="31"/>
  <c r="B103" i="31"/>
  <c r="C103" i="31"/>
  <c r="R103" i="31"/>
  <c r="S103" i="31"/>
  <c r="B104" i="31"/>
  <c r="C104" i="31"/>
  <c r="R104" i="31"/>
  <c r="S104" i="31"/>
  <c r="B105" i="31"/>
  <c r="C105" i="31"/>
  <c r="R105" i="31"/>
  <c r="S105" i="31"/>
  <c r="B106" i="31"/>
  <c r="C106" i="31"/>
  <c r="R106" i="31"/>
  <c r="S106" i="31"/>
  <c r="B107" i="31"/>
  <c r="C107" i="31"/>
  <c r="R107" i="31"/>
  <c r="S107" i="31"/>
  <c r="B108" i="31"/>
  <c r="C108" i="31"/>
  <c r="R108" i="31"/>
  <c r="S108" i="31"/>
  <c r="B109" i="31"/>
  <c r="C109" i="31"/>
  <c r="R109" i="31"/>
  <c r="S109" i="31"/>
  <c r="B110" i="31"/>
  <c r="C110" i="31"/>
  <c r="R110" i="31"/>
  <c r="S110" i="31"/>
  <c r="B111" i="31"/>
  <c r="C111" i="31"/>
  <c r="R111" i="31"/>
  <c r="S111" i="31"/>
  <c r="B112" i="31"/>
  <c r="C112" i="31"/>
  <c r="R112" i="31"/>
  <c r="S112" i="31"/>
  <c r="B113" i="31"/>
  <c r="C113" i="31"/>
  <c r="R113" i="31"/>
  <c r="S113" i="31"/>
  <c r="B114" i="31"/>
  <c r="C114" i="31"/>
  <c r="R114" i="31"/>
  <c r="S114" i="31"/>
  <c r="B115" i="31"/>
  <c r="C115" i="31"/>
  <c r="R115" i="31"/>
  <c r="S115" i="31"/>
  <c r="B116" i="31"/>
  <c r="C116" i="31"/>
  <c r="R116" i="31"/>
  <c r="S116" i="31"/>
  <c r="B117" i="31"/>
  <c r="C117" i="31"/>
  <c r="R117" i="31"/>
  <c r="S117" i="31"/>
  <c r="B118" i="31"/>
  <c r="C118" i="31"/>
  <c r="R118" i="31"/>
  <c r="S118" i="31"/>
  <c r="B119" i="31"/>
  <c r="C119" i="31"/>
  <c r="R119" i="31"/>
  <c r="S119" i="31"/>
  <c r="B120" i="31"/>
  <c r="C120" i="31"/>
  <c r="R120" i="31"/>
  <c r="S120" i="31"/>
  <c r="B121" i="31"/>
  <c r="C121" i="31"/>
  <c r="R121" i="31"/>
  <c r="S121" i="31"/>
  <c r="B122" i="31"/>
  <c r="C122" i="31"/>
  <c r="R122" i="31"/>
  <c r="S122" i="31"/>
  <c r="B123" i="31"/>
  <c r="C123" i="31"/>
  <c r="R123" i="31"/>
  <c r="S123" i="31"/>
  <c r="B124" i="31"/>
  <c r="C124" i="31"/>
  <c r="R124" i="31"/>
  <c r="S124" i="31"/>
  <c r="B125" i="31"/>
  <c r="C125" i="31"/>
  <c r="R125" i="31"/>
  <c r="S125" i="31"/>
  <c r="B126" i="31"/>
  <c r="C126" i="31"/>
  <c r="R126" i="31"/>
  <c r="S126" i="31"/>
  <c r="B127" i="31"/>
  <c r="C127" i="31"/>
  <c r="R127" i="31"/>
  <c r="S127" i="31"/>
  <c r="B128" i="31"/>
  <c r="C128" i="31"/>
  <c r="R128" i="31"/>
  <c r="S128" i="31"/>
  <c r="B129" i="31"/>
  <c r="C129" i="31"/>
  <c r="R129" i="31"/>
  <c r="S129" i="31"/>
  <c r="B130" i="31"/>
  <c r="C130" i="31"/>
  <c r="R130" i="31"/>
  <c r="S130" i="31"/>
  <c r="B131" i="31"/>
  <c r="C131" i="31"/>
  <c r="R131" i="31"/>
  <c r="S131" i="31"/>
  <c r="B132" i="31"/>
  <c r="C132" i="31"/>
  <c r="R132" i="31"/>
  <c r="S132" i="31"/>
  <c r="B133" i="31"/>
  <c r="C133" i="31"/>
  <c r="R133" i="31"/>
  <c r="S133" i="31"/>
  <c r="B134" i="31"/>
  <c r="C134" i="31"/>
  <c r="R134" i="31"/>
  <c r="S134" i="31"/>
  <c r="B135" i="31"/>
  <c r="C135" i="31"/>
  <c r="R135" i="31"/>
  <c r="S135" i="31"/>
  <c r="B136" i="31"/>
  <c r="C136" i="31"/>
  <c r="R136" i="31"/>
  <c r="S136" i="31"/>
  <c r="B137" i="31"/>
  <c r="C137" i="31"/>
  <c r="R137" i="31"/>
  <c r="S137" i="31"/>
  <c r="B138" i="31"/>
  <c r="C138" i="31"/>
  <c r="R138" i="31"/>
  <c r="S138" i="31"/>
  <c r="B139" i="31"/>
  <c r="C139" i="31"/>
  <c r="R139" i="31"/>
  <c r="S139" i="31"/>
  <c r="B140" i="31"/>
  <c r="C140" i="31"/>
  <c r="R140" i="31"/>
  <c r="S140" i="31"/>
  <c r="B141" i="31"/>
  <c r="C141" i="31"/>
  <c r="R141" i="31"/>
  <c r="S141" i="31"/>
  <c r="B142" i="31"/>
  <c r="C142" i="31"/>
  <c r="R142" i="31"/>
  <c r="S142" i="31"/>
  <c r="B143" i="31"/>
  <c r="C143" i="31"/>
  <c r="R143" i="31"/>
  <c r="S143" i="31"/>
  <c r="B144" i="31"/>
  <c r="C144" i="31"/>
  <c r="R144" i="31"/>
  <c r="S144" i="31"/>
  <c r="B145" i="31"/>
  <c r="C145" i="31"/>
  <c r="R145" i="31"/>
  <c r="S145" i="31"/>
  <c r="B146" i="31"/>
  <c r="C146" i="31"/>
  <c r="R146" i="31"/>
  <c r="S146" i="31"/>
  <c r="B147" i="31"/>
  <c r="C147" i="31"/>
  <c r="R147" i="31"/>
  <c r="S147" i="31"/>
  <c r="B148" i="31"/>
  <c r="C148" i="31"/>
  <c r="R148" i="31"/>
  <c r="S148" i="31"/>
  <c r="B149" i="31"/>
  <c r="C149" i="31"/>
  <c r="R149" i="31"/>
  <c r="S149" i="31"/>
  <c r="B150" i="31"/>
  <c r="C150" i="31"/>
  <c r="R150" i="31"/>
  <c r="S150" i="31"/>
  <c r="B151" i="31"/>
  <c r="C151" i="31"/>
  <c r="R151" i="31"/>
  <c r="S151" i="31"/>
  <c r="B152" i="31"/>
  <c r="C152" i="31"/>
  <c r="R152" i="31"/>
  <c r="S152" i="31"/>
  <c r="B153" i="31"/>
  <c r="C153" i="31"/>
  <c r="R153" i="31"/>
  <c r="S153" i="31"/>
  <c r="B154" i="31"/>
  <c r="C154" i="31"/>
  <c r="R154" i="31"/>
  <c r="S154" i="31"/>
  <c r="B155" i="31"/>
  <c r="C155" i="31"/>
  <c r="R155" i="31"/>
  <c r="S155" i="31"/>
  <c r="B156" i="31"/>
  <c r="C156" i="31"/>
  <c r="R156" i="31"/>
  <c r="S156" i="31"/>
  <c r="B157" i="31"/>
  <c r="C157" i="31"/>
  <c r="R157" i="31"/>
  <c r="S157" i="31"/>
  <c r="B158" i="31"/>
  <c r="C158" i="31"/>
  <c r="R158" i="31"/>
  <c r="S158" i="31"/>
  <c r="B159" i="31"/>
  <c r="C159" i="31"/>
  <c r="R159" i="31"/>
  <c r="S159" i="31"/>
  <c r="B160" i="31"/>
  <c r="C160" i="31"/>
  <c r="R160" i="31"/>
  <c r="S160" i="31"/>
  <c r="B161" i="31"/>
  <c r="C161" i="31"/>
  <c r="R161" i="31"/>
  <c r="S161" i="31"/>
  <c r="B162" i="31"/>
  <c r="C162" i="31"/>
  <c r="R162" i="31"/>
  <c r="S162" i="31"/>
  <c r="B163" i="31"/>
  <c r="C163" i="31"/>
  <c r="R163" i="31"/>
  <c r="S163" i="31"/>
  <c r="B164" i="31"/>
  <c r="C164" i="31"/>
  <c r="R164" i="31"/>
  <c r="S164" i="31"/>
  <c r="B165" i="31"/>
  <c r="C165" i="31"/>
  <c r="R165" i="31"/>
  <c r="S165" i="31"/>
  <c r="B166" i="31"/>
  <c r="C166" i="31"/>
  <c r="R166" i="31"/>
  <c r="S166" i="31"/>
  <c r="B167" i="31"/>
  <c r="C167" i="31"/>
  <c r="R167" i="31"/>
  <c r="S167" i="31"/>
  <c r="B168" i="31"/>
  <c r="C168" i="31"/>
  <c r="R168" i="31"/>
  <c r="S168" i="31"/>
  <c r="B169" i="31"/>
  <c r="C169" i="31"/>
  <c r="R169" i="31"/>
  <c r="S169" i="31"/>
  <c r="B170" i="31"/>
  <c r="C170" i="31"/>
  <c r="R170" i="31"/>
  <c r="S170" i="31"/>
  <c r="B171" i="31"/>
  <c r="C171" i="31"/>
  <c r="R171" i="31"/>
  <c r="S171" i="31"/>
  <c r="B172" i="31"/>
  <c r="C172" i="31"/>
  <c r="R172" i="31"/>
  <c r="S172" i="31"/>
  <c r="B173" i="31"/>
  <c r="C173" i="31"/>
  <c r="R173" i="31"/>
  <c r="S173" i="31"/>
  <c r="B174" i="31"/>
  <c r="C174" i="31"/>
  <c r="R174" i="31"/>
  <c r="S174" i="31"/>
  <c r="B175" i="31"/>
  <c r="C175" i="31"/>
  <c r="R175" i="31"/>
  <c r="S175" i="31"/>
  <c r="B176" i="31"/>
  <c r="C176" i="31"/>
  <c r="R176" i="31"/>
  <c r="S176" i="31"/>
  <c r="B177" i="31"/>
  <c r="C177" i="31"/>
  <c r="R177" i="31"/>
  <c r="S177" i="31"/>
  <c r="B178" i="31"/>
  <c r="C178"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F158" i="77"/>
  <c r="C15" i="74"/>
  <c r="B22" i="31"/>
  <c r="B15" i="74"/>
  <c r="D104" i="21"/>
  <c r="E104" i="21"/>
  <c r="F104" i="21"/>
  <c r="G104" i="21"/>
  <c r="H104" i="21"/>
  <c r="I104" i="21"/>
  <c r="J104" i="2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25" i="31"/>
  <c r="T26" i="31"/>
  <c r="T27" i="31"/>
  <c r="T28" i="31"/>
  <c r="T29" i="31"/>
  <c r="T30" i="31"/>
  <c r="T31" i="31"/>
  <c r="T32" i="31"/>
  <c r="T33" i="31"/>
  <c r="T34" i="31"/>
  <c r="T35" i="31"/>
  <c r="T36" i="31"/>
  <c r="T37" i="31"/>
  <c r="T38" i="31"/>
  <c r="T39" i="31"/>
  <c r="T24" i="31"/>
  <c r="E4" i="31"/>
  <c r="F4" i="31"/>
  <c r="G4" i="31"/>
  <c r="H4" i="31"/>
  <c r="I4" i="31"/>
  <c r="J4" i="31"/>
  <c r="D4" i="31"/>
  <c r="T47" i="21"/>
  <c r="C17" i="9"/>
  <c r="D17" i="9"/>
  <c r="C18" i="9"/>
  <c r="D18" i="9"/>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25" i="31"/>
  <c r="A26" i="31"/>
  <c r="A27" i="31"/>
  <c r="A28" i="31"/>
  <c r="A29" i="31"/>
  <c r="A30" i="31"/>
  <c r="A31" i="31"/>
  <c r="A24" i="31"/>
  <c r="C37" i="21"/>
  <c r="Q7" i="1"/>
  <c r="Y6" i="1"/>
  <c r="N7" i="1"/>
  <c r="N6" i="1"/>
  <c r="L7" i="1"/>
  <c r="B35" i="1"/>
  <c r="A6" i="1"/>
  <c r="E158" i="77"/>
  <c r="I14" i="3"/>
  <c r="E20" i="6"/>
  <c r="K7" i="1"/>
  <c r="K8" i="1"/>
  <c r="K9" i="1"/>
  <c r="K10" i="1"/>
  <c r="K11" i="1"/>
  <c r="K12" i="1"/>
  <c r="K13" i="1"/>
  <c r="BQ14" i="3"/>
  <c r="BQ5" i="3"/>
  <c r="BS14" i="3"/>
  <c r="BS5" i="3"/>
  <c r="F28" i="6"/>
  <c r="BR14" i="3"/>
  <c r="BR5" i="3"/>
  <c r="BT14" i="3"/>
  <c r="BT5" i="3"/>
  <c r="G28" i="6"/>
  <c r="E28" i="6"/>
  <c r="K14" i="1"/>
  <c r="BM14" i="3"/>
  <c r="BM5" i="3"/>
  <c r="BO14" i="3"/>
  <c r="BO5" i="3"/>
  <c r="F29" i="6"/>
  <c r="BN14" i="3"/>
  <c r="BN5" i="3"/>
  <c r="BP14" i="3"/>
  <c r="BP5" i="3"/>
  <c r="G29" i="6"/>
  <c r="E29" i="6"/>
  <c r="K15" i="1"/>
  <c r="K16" i="1"/>
  <c r="B29" i="1"/>
  <c r="F19" i="6"/>
  <c r="A3" i="3"/>
  <c r="D3" i="4"/>
  <c r="A7" i="1"/>
  <c r="G1" i="67"/>
  <c r="F6" i="1"/>
  <c r="M47" i="67"/>
  <c r="B24" i="1"/>
  <c r="J50" i="67"/>
  <c r="J51" i="67"/>
  <c r="G1" i="15"/>
  <c r="L48" i="15"/>
  <c r="M47" i="15"/>
  <c r="J50"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C179" i="31"/>
  <c r="Q179" i="31"/>
  <c r="C180" i="31"/>
  <c r="Q180" i="31"/>
  <c r="C181" i="31"/>
  <c r="Q181" i="31"/>
  <c r="C182" i="31"/>
  <c r="Q182" i="31"/>
  <c r="C183" i="31"/>
  <c r="Q183" i="31"/>
  <c r="C184" i="31"/>
  <c r="Q184" i="31"/>
  <c r="C185" i="31"/>
  <c r="Q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Q25"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1" i="6"/>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AB45" i="21"/>
  <c r="W33" i="21"/>
  <c r="S33" i="21"/>
  <c r="W32" i="21"/>
  <c r="AC32" i="21"/>
  <c r="AB9" i="21"/>
  <c r="U9" i="21"/>
  <c r="AA32" i="21"/>
  <c r="S32" i="21"/>
  <c r="W9" i="21"/>
  <c r="AC9" i="21"/>
  <c r="AB32" i="21"/>
  <c r="U32" i="21"/>
  <c r="AA10"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M27" i="6"/>
  <c r="M16" i="1"/>
  <c r="N16" i="1"/>
  <c r="F27" i="11"/>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H7" i="21"/>
  <c r="AB7" i="21"/>
  <c r="F7" i="21"/>
  <c r="AA7" i="21"/>
  <c r="J7" i="21"/>
  <c r="AC7" i="21"/>
  <c r="B2" i="21"/>
  <c r="C19" i="9"/>
  <c r="C76" i="67"/>
  <c r="L51" i="67"/>
  <c r="L57" i="67"/>
  <c r="L47" i="67"/>
  <c r="L58" i="67"/>
  <c r="L59" i="67"/>
  <c r="L60" i="67"/>
  <c r="L46" i="67"/>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D2" i="34"/>
  <c r="M23" i="15"/>
  <c r="D2" i="33"/>
  <c r="E13" i="76"/>
  <c r="F40" i="15"/>
  <c r="J15" i="67"/>
  <c r="B10" i="76"/>
  <c r="F9" i="15"/>
  <c r="M27" i="67"/>
  <c r="AO8" i="1"/>
  <c r="F16" i="15"/>
  <c r="B8" i="76"/>
  <c r="F3" i="73"/>
  <c r="M29" i="67"/>
  <c r="E7" i="76"/>
  <c r="AO7" i="1"/>
  <c r="F20" i="31"/>
  <c r="D2" i="35"/>
  <c r="M21" i="15"/>
  <c r="F5" i="73"/>
  <c r="M24" i="15"/>
  <c r="D2" i="21"/>
  <c r="M26" i="15"/>
  <c r="J57" i="67"/>
  <c r="J55" i="67"/>
  <c r="J58" i="67"/>
  <c r="J59" i="67"/>
  <c r="J60" i="67"/>
  <c r="AO6" i="1"/>
  <c r="B12" i="76"/>
  <c r="E11" i="76"/>
  <c r="M29" i="15"/>
  <c r="F7" i="73"/>
  <c r="E10" i="76"/>
  <c r="F43" i="15"/>
  <c r="F35" i="15"/>
  <c r="M9" i="15"/>
  <c r="M22" i="67"/>
  <c r="AO10" i="1"/>
  <c r="AO12" i="1"/>
  <c r="F6" i="73"/>
  <c r="M26" i="67"/>
  <c r="C83" i="67"/>
  <c r="C82" i="67"/>
  <c r="C75" i="67"/>
  <c r="C80" i="67"/>
  <c r="C79" i="67"/>
  <c r="D34" i="9"/>
  <c r="M23" i="67"/>
  <c r="F8" i="15"/>
  <c r="D2" i="37"/>
  <c r="E9" i="76"/>
  <c r="E2" i="69"/>
  <c r="M21" i="67"/>
  <c r="L47" i="15"/>
  <c r="E2" i="68"/>
  <c r="M27" i="15"/>
  <c r="M6" i="15"/>
  <c r="F36" i="15"/>
  <c r="E12" i="76"/>
  <c r="J15" i="15"/>
  <c r="C76" i="15"/>
  <c r="M28" i="15"/>
  <c r="AO9" i="1"/>
  <c r="D2" i="36"/>
  <c r="M22" i="15"/>
  <c r="M24" i="67"/>
  <c r="B11" i="76"/>
  <c r="F6" i="15"/>
  <c r="AO13" i="1"/>
  <c r="F42" i="15"/>
  <c r="F7" i="15"/>
  <c r="C14" i="15"/>
  <c r="B13" i="76"/>
  <c r="F26" i="15"/>
  <c r="B9" i="76"/>
  <c r="F37" i="15"/>
  <c r="M8" i="15"/>
  <c r="M28" i="67"/>
  <c r="AO11" i="1"/>
  <c r="B7" i="76"/>
  <c r="D35" i="9"/>
  <c r="F13" i="15"/>
  <c r="F41" i="15"/>
  <c r="F38" i="15"/>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C34" i="15"/>
  <c r="F70" i="67"/>
  <c r="F64" i="67"/>
  <c r="J57" i="15"/>
  <c r="J55" i="15"/>
  <c r="J58" i="15"/>
  <c r="Q50" i="15"/>
  <c r="I54" i="15"/>
  <c r="L56" i="15"/>
  <c r="F71" i="67"/>
  <c r="F66" i="15"/>
  <c r="F50" i="15"/>
  <c r="M7" i="15"/>
  <c r="J6" i="15"/>
  <c r="J18" i="15"/>
  <c r="B10" i="70"/>
  <c r="F68" i="67"/>
  <c r="F66" i="67"/>
  <c r="M59" i="67"/>
  <c r="N59" i="67"/>
  <c r="F68" i="15"/>
  <c r="N59" i="15"/>
  <c r="L59" i="15"/>
  <c r="M59" i="15"/>
  <c r="L58" i="15"/>
  <c r="F65" i="15"/>
  <c r="C6" i="15"/>
  <c r="C32" i="15"/>
  <c r="Q71" i="67"/>
  <c r="B13" i="70"/>
  <c r="B8" i="70"/>
  <c r="F63" i="67"/>
  <c r="C62" i="67"/>
  <c r="C21" i="9"/>
  <c r="D22" i="9"/>
  <c r="C102" i="9"/>
  <c r="J20" i="15"/>
  <c r="D103" i="9"/>
  <c r="B20" i="31"/>
  <c r="B7" i="70"/>
  <c r="F69" i="67"/>
  <c r="C15" i="15"/>
  <c r="C18" i="15"/>
  <c r="J20" i="67"/>
  <c r="F71" i="15"/>
  <c r="F65" i="67"/>
  <c r="Q71" i="15"/>
  <c r="J18" i="67"/>
  <c r="F50" i="67"/>
  <c r="F51" i="67"/>
  <c r="B11" i="70"/>
  <c r="C27" i="15"/>
  <c r="F51" i="15"/>
  <c r="F64" i="15"/>
  <c r="I54" i="67"/>
  <c r="Q50" i="67"/>
  <c r="L56" i="67"/>
  <c r="B12" i="70"/>
  <c r="B9" i="70"/>
  <c r="D7" i="73"/>
  <c r="D3" i="73"/>
  <c r="F31" i="15"/>
  <c r="M17" i="67"/>
  <c r="F59" i="67"/>
  <c r="C17" i="15"/>
  <c r="F59" i="15"/>
  <c r="M17" i="15"/>
  <c r="F31" i="67"/>
  <c r="C16" i="15"/>
  <c r="D4" i="73"/>
  <c r="E20" i="43"/>
  <c r="M28" i="43"/>
  <c r="G20" i="43"/>
  <c r="D65" i="40"/>
  <c r="E63" i="40"/>
  <c r="G17" i="43"/>
  <c r="C16" i="43"/>
  <c r="D5" i="43"/>
  <c r="C5" i="43"/>
  <c r="E58" i="21"/>
  <c r="F58" i="21"/>
  <c r="G58" i="21"/>
  <c r="H58" i="21"/>
  <c r="I58" i="21"/>
  <c r="J58" i="21"/>
  <c r="K58" i="21"/>
  <c r="L58" i="21"/>
  <c r="M58" i="21"/>
  <c r="N58" i="21"/>
  <c r="O58"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9" i="15"/>
  <c r="M11" i="15"/>
  <c r="J10" i="15"/>
  <c r="J5" i="15"/>
  <c r="F11" i="15"/>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33" i="68"/>
  <c r="C39" i="68"/>
  <c r="J24" i="67"/>
  <c r="C35" i="9"/>
  <c r="F118" i="9"/>
  <c r="C53" i="67"/>
  <c r="C48" i="67"/>
  <c r="C20" i="15"/>
  <c r="C26" i="15"/>
  <c r="J24" i="15"/>
  <c r="J26" i="15"/>
  <c r="J29" i="15"/>
  <c r="C53" i="15"/>
  <c r="C48" i="15"/>
  <c r="C10" i="15"/>
  <c r="C5" i="15"/>
  <c r="F25" i="12"/>
  <c r="C26" i="12"/>
  <c r="D25" i="12"/>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38" i="15"/>
  <c r="C66" i="15"/>
  <c r="C60" i="15"/>
  <c r="C60" i="67"/>
  <c r="C66" i="67"/>
  <c r="I118" i="9"/>
  <c r="D14" i="74"/>
  <c r="H119" i="9"/>
  <c r="H5" i="52"/>
  <c r="H4" i="52"/>
  <c r="C104" i="9"/>
  <c r="F4" i="52"/>
  <c r="B51" i="72"/>
  <c r="F119" i="9"/>
  <c r="F5" i="52"/>
  <c r="B53" i="72"/>
  <c r="G118" i="9"/>
  <c r="G4" i="52"/>
  <c r="B52" i="72"/>
  <c r="C43" i="68"/>
  <c r="C25" i="69"/>
  <c r="C43" i="69"/>
  <c r="C26" i="11"/>
  <c r="D22" i="11"/>
  <c r="J19" i="67"/>
  <c r="C42" i="11"/>
  <c r="C24" i="69"/>
  <c r="C44" i="69"/>
  <c r="D41" i="69"/>
  <c r="C25" i="11"/>
  <c r="C23" i="11"/>
  <c r="D4" i="52"/>
  <c r="B47" i="72"/>
  <c r="C23" i="15"/>
  <c r="C29" i="15"/>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22" i="68"/>
  <c r="C31" i="68"/>
  <c r="C31" i="69"/>
  <c r="J14" i="67"/>
  <c r="J13" i="67"/>
  <c r="J23" i="67"/>
  <c r="C41" i="11"/>
  <c r="C49" i="11"/>
  <c r="C51" i="11"/>
  <c r="C41" i="69"/>
  <c r="C49" i="69"/>
  <c r="C51" i="69"/>
  <c r="Q49" i="67"/>
  <c r="Q49" i="15"/>
  <c r="C33" i="15"/>
  <c r="C31" i="15"/>
  <c r="C22" i="11"/>
  <c r="C31"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56" i="67"/>
  <c r="C65" i="67"/>
  <c r="C58" i="67"/>
  <c r="C67" i="67"/>
  <c r="C68" i="67"/>
  <c r="C75" i="15"/>
  <c r="C56" i="15"/>
  <c r="C65" i="15"/>
  <c r="C37" i="15"/>
  <c r="C30" i="15"/>
  <c r="C39" i="15"/>
  <c r="I65" i="40"/>
  <c r="J63" i="40"/>
  <c r="J68" i="39"/>
  <c r="I70" i="39"/>
  <c r="E2" i="76"/>
  <c r="B2" i="76"/>
  <c r="B3" i="43"/>
  <c r="J16" i="67"/>
  <c r="J25" i="67"/>
  <c r="C79" i="9"/>
  <c r="C95" i="9"/>
  <c r="D14" i="53"/>
  <c r="B32" i="72"/>
  <c r="B30" i="72"/>
  <c r="G14" i="74"/>
  <c r="B6" i="74"/>
  <c r="D123" i="9"/>
  <c r="D9" i="52"/>
  <c r="D8" i="52"/>
  <c r="L51" i="15"/>
  <c r="C57" i="69"/>
  <c r="C56" i="69"/>
  <c r="C58" i="15"/>
  <c r="C67" i="15"/>
  <c r="C68" i="15"/>
  <c r="C71" i="15"/>
  <c r="C56" i="11"/>
  <c r="C57" i="11"/>
  <c r="Q68" i="67"/>
  <c r="Q69" i="15"/>
  <c r="Q68" i="15"/>
  <c r="C80" i="15"/>
  <c r="C79" i="15"/>
  <c r="C40" i="15"/>
  <c r="B2" i="15"/>
  <c r="B3" i="15"/>
  <c r="K63" i="40"/>
  <c r="J65" i="40"/>
  <c r="K68" i="39"/>
  <c r="J70" i="39"/>
  <c r="B3" i="76"/>
  <c r="Q67" i="67"/>
  <c r="Q67" i="15"/>
  <c r="L57" i="15"/>
  <c r="L60" i="15"/>
  <c r="C6" i="74"/>
  <c r="D6" i="74"/>
  <c r="C71" i="67"/>
  <c r="C45" i="67"/>
  <c r="C46" i="67"/>
  <c r="C80" i="9"/>
  <c r="C81" i="9"/>
  <c r="E80" i="9"/>
  <c r="E81" i="9"/>
  <c r="Q56" i="67"/>
  <c r="Q47" i="67"/>
  <c r="Q53" i="67"/>
  <c r="Q65" i="67"/>
  <c r="C43"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<sst xmlns="http://schemas.openxmlformats.org/spreadsheetml/2006/main" count="8148" uniqueCount="3450">
  <si>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</si>
  <si>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</si>
  <si>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</si>
  <si>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</si>
  <si>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</si>
  <si>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</si>
  <si>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</si>
  <si>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</si>
  <si>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</si>
  <si>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</si>
  <si>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</si>
  <si>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</si>
  <si>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</si>
  <si>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</si>
  <si>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</si>
  <si>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</si>
  <si>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</si>
  <si>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</si>
  <si>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</si>
  <si>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</si>
  <si>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</si>
  <si>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</si>
  <si>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</si>
  <si>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</si>
  <si>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</si>
  <si>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</si>
  <si>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</si>
  <si>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</si>
  <si>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</si>
  <si>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</si>
  <si>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</si>
  <si>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</si>
  <si>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</si>
  <si>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</si>
  <si>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</si>
  <si>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</si>
  <si>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</si>
  <si>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</si>
  <si>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</si>
  <si>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</si>
  <si>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</si>
  <si>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</si>
  <si>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</si>
  <si>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</si>
  <si>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</si>
  <si>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</si>
  <si>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</si>
  <si>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</si>
  <si>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</si>
  <si>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</si>
  <si>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</si>
  <si>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</si>
  <si>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</si>
  <si>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</si>
  <si>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</si>
  <si>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</si>
  <si>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</si>
  <si>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</si>
  <si>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</si>
  <si>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</si>
  <si>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</si>
  <si>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</si>
  <si>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</si>
  <si>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</si>
  <si>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</si>
  <si>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</si>
  <si>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</si>
  <si>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</si>
  <si>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</si>
  <si>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</si>
  <si>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</si>
  <si>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</si>
  <si>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</si>
  <si>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</si>
  <si>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</si>
  <si>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</si>
  <si>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</si>
  <si>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</si>
  <si>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</si>
  <si>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</si>
  <si>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</si>
  <si>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</si>
  <si>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</si>
  <si>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</si>
  <si>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</si>
  <si>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</si>
  <si>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</si>
  <si>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</si>
  <si>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</si>
  <si>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</si>
  <si>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</si>
  <si>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</si>
  <si>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</si>
  <si>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</si>
  <si>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</si>
  <si>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</si>
  <si>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</si>
  <si>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</si>
  <si>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</si>
  <si>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</si>
  <si>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</si>
  <si>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</si>
  <si>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</si>
  <si>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</si>
  <si>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</si>
  <si>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</si>
  <si>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</si>
  <si>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</si>
  <si>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</si>
  <si>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</si>
  <si>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</si>
  <si>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</si>
  <si>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</si>
  <si>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</si>
  <si>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</si>
  <si>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</si>
  <si>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</si>
  <si>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</si>
  <si>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</si>
  <si>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</si>
  <si>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</si>
  <si>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</si>
  <si>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</si>
  <si>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</si>
  <si>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</si>
  <si>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</si>
  <si>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</si>
  <si>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</si>
  <si>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</si>
  <si>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</si>
  <si>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</si>
  <si>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</si>
  <si>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</si>
  <si>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</si>
  <si>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</si>
  <si>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</si>
  <si>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</si>
  <si>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</si>
  <si>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</si>
  <si>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</si>
  <si>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</si>
  <si>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</si>
  <si>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</si>
  <si>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</si>
  <si>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</si>
  <si>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</si>
  <si>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</si>
  <si>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</si>
  <si>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</si>
  <si>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</si>
  <si>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</si>
  <si>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</si>
  <si>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</si>
  <si>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</si>
  <si>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</si>
  <si>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</si>
  <si>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</si>
  <si>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</si>
  <si>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</si>
  <si>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</si>
  <si>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</si>
  <si>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</si>
  <si>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</si>
  <si>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</si>
  <si>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</si>
  <si>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</si>
  <si>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</si>
  <si>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</si>
  <si>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</si>
  <si>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</si>
  <si>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</si>
  <si>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</si>
  <si>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</si>
  <si>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</si>
  <si>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</si>
  <si>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</si>
  <si>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</si>
  <si>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</si>
  <si>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</si>
  <si>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</si>
  <si>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</si>
  <si>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</si>
  <si>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</si>
  <si>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</si>
  <si>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</si>
  <si>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</si>
  <si>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</si>
  <si>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</si>
  <si>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</si>
  <si>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</si>
  <si>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</si>
  <si>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</si>
  <si>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</si>
  <si>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</si>
  <si>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</si>
  <si>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</si>
  <si>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</si>
  <si>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</si>
  <si>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</si>
  <si>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</si>
  <si>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</si>
  <si>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</si>
  <si>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</si>
  <si>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</si>
  <si>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</si>
  <si>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</si>
  <si>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</si>
  <si>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</si>
  <si>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</si>
  <si>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</si>
  <si>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</si>
  <si>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</si>
  <si>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</si>
  <si>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</si>
  <si>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</si>
  <si>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</si>
  <si>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</si>
  <si>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</si>
  <si>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</si>
  <si>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</si>
  <si>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</si>
  <si>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</si>
  <si>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</si>
  <si>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</si>
  <si>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</si>
  <si>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</si>
  <si>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</si>
  <si>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</si>
  <si>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</si>
  <si>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</si>
  <si>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</si>
  <si>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</si>
  <si>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</si>
  <si>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</si>
  <si>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</si>
  <si>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</si>
  <si>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</si>
  <si>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</si>
  <si>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</si>
  <si>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</si>
  <si>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</si>
  <si>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</si>
  <si>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</si>
  <si>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</si>
  <si>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</si>
  <si>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</si>
  <si>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</si>
  <si>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</si>
  <si>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</si>
  <si>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</si>
  <si>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</si>
  <si>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</si>
  <si>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</si>
  <si>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</si>
  <si>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</si>
  <si>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</si>
  <si>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</si>
  <si>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</si>
  <si>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</si>
  <si>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</si>
  <si>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</si>
  <si>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</si>
  <si>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</si>
  <si>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</si>
  <si>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</si>
  <si>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</si>
  <si>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</si>
  <si>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</si>
  <si>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</si>
  <si>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</si>
  <si>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</si>
  <si>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</si>
  <si>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</si>
  <si>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</si>
  <si>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</si>
  <si>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</si>
  <si>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</si>
  <si>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</si>
  <si>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</si>
  <si>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</si>
  <si>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</si>
  <si>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</si>
  <si>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</si>
  <si>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</si>
  <si>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</si>
  <si>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</si>
  <si>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</si>
  <si>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</si>
  <si>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</si>
  <si>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</si>
  <si>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</si>
  <si>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</si>
  <si>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</si>
  <si>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</si>
  <si>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</si>
  <si>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</si>
  <si>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</si>
  <si>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</si>
  <si>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</si>
  <si>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</si>
  <si>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</si>
  <si>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</si>
  <si>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</si>
  <si>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</si>
  <si>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</si>
  <si>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</si>
  <si>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</si>
  <si>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</si>
  <si>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</si>
  <si>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</si>
  <si>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</si>
  <si>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</si>
  <si>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</si>
  <si>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</si>
  <si>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</si>
  <si>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</si>
  <si>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</si>
  <si>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</si>
  <si>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</si>
  <si>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</si>
  <si>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</si>
  <si>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</si>
  <si>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</si>
  <si>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</si>
  <si>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</si>
  <si>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</si>
  <si>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</si>
  <si>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</si>
  <si>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</si>
  <si>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</si>
  <si>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</si>
  <si>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</si>
  <si>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</si>
  <si>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</si>
  <si>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</si>
  <si>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</si>
  <si>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</si>
  <si>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</si>
  <si>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</si>
  <si>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</si>
  <si>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</si>
  <si>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</si>
  <si>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</si>
  <si>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</si>
  <si>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</si>
  <si>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</si>
  <si>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</si>
  <si>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</si>
  <si>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</si>
  <si>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</si>
  <si>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</si>
  <si>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</si>
  <si>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</si>
  <si>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</si>
  <si>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</si>
  <si>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</si>
  <si>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</si>
  <si>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</si>
  <si>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</si>
  <si>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</si>
  <si>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</si>
  <si>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</si>
  <si>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</si>
  <si>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</si>
  <si>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</si>
  <si>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</si>
  <si>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</si>
  <si>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</si>
  <si>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</si>
  <si>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</si>
  <si>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</si>
  <si>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</si>
  <si>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</si>
  <si>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</si>
  <si>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</si>
  <si>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</si>
  <si>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</si>
  <si>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</si>
  <si>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</si>
  <si>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</si>
  <si>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</si>
  <si>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</si>
  <si>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</si>
  <si>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</si>
  <si>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</si>
  <si>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</si>
  <si>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</si>
  <si>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</si>
  <si>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</si>
  <si>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</si>
  <si>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</si>
  <si>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</si>
  <si>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</si>
  <si>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</si>
  <si>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</si>
  <si>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</si>
  <si>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</si>
  <si>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</si>
  <si>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</si>
  <si>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</si>
  <si>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</si>
  <si>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</si>
  <si>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</si>
  <si>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</si>
  <si>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</si>
  <si>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</si>
  <si>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</si>
  <si>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</si>
  <si>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</si>
  <si>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</si>
  <si>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</si>
  <si>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</si>
  <si>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</si>
  <si>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</si>
  <si>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</si>
  <si>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</si>
  <si>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</si>
  <si>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</si>
  <si>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</si>
  <si>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</si>
  <si>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</si>
  <si>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</si>
  <si>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</si>
  <si>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</si>
  <si>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</si>
  <si>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</si>
  <si>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</si>
  <si>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</si>
  <si>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</si>
  <si>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</si>
  <si>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</si>
  <si>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</si>
  <si>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</si>
  <si>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</si>
  <si>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</si>
  <si>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</si>
  <si>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</si>
  <si>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</si>
  <si>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</si>
  <si>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</si>
  <si>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</si>
  <si>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</si>
  <si>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</si>
  <si>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</si>
  <si>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</si>
  <si>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</si>
  <si>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</si>
  <si>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</si>
  <si>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</si>
  <si>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</si>
  <si>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</si>
  <si>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</si>
  <si>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</si>
  <si>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</si>
  <si>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</si>
  <si>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</si>
  <si>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</si>
  <si>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</si>
  <si>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</si>
  <si>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</si>
  <si>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</si>
  <si>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</si>
  <si>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</si>
  <si>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</si>
  <si>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</si>
  <si>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</si>
  <si>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</si>
  <si>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</si>
  <si>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</si>
  <si>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</si>
  <si>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</si>
  <si>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</si>
  <si>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</si>
  <si>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</si>
  <si>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</si>
  <si>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</si>
  <si>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</si>
  <si>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</si>
  <si>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</si>
  <si>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</si>
  <si>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</si>
  <si>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</si>
  <si>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</si>
  <si>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</si>
  <si>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</si>
  <si>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</si>
  <si>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</si>
  <si>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</si>
  <si>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</si>
  <si>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</si>
  <si>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</si>
  <si>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</si>
  <si>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</si>
  <si>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</si>
  <si>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</si>
  <si>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</si>
  <si>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</si>
  <si>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</si>
  <si>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</si>
  <si>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</si>
  <si>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</si>
  <si>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</si>
  <si>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</si>
  <si>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</si>
  <si>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</si>
  <si>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</si>
  <si>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</si>
  <si>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</si>
  <si>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</si>
  <si>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</si>
  <si>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</si>
  <si>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</si>
  <si>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</si>
  <si>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</si>
  <si>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</si>
  <si>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</si>
  <si>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</si>
  <si>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</si>
  <si>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</si>
  <si>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</si>
  <si>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</si>
  <si>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</si>
  <si>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</si>
  <si>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</si>
  <si>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</si>
  <si>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</si>
  <si>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</si>
  <si>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</si>
  <si>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</si>
  <si>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</si>
  <si>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</si>
  <si>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</si>
  <si>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</si>
  <si>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</si>
  <si>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</si>
  <si>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</si>
  <si>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</si>
  <si>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</si>
  <si>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</si>
  <si>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</si>
  <si>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</si>
  <si>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</si>
  <si>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</si>
  <si>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</si>
  <si>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</si>
  <si>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</si>
  <si>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</si>
  <si>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</si>
  <si>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</si>
  <si>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</si>
  <si>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</si>
  <si>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</si>
  <si>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</si>
  <si>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</si>
  <si>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</si>
  <si>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</si>
  <si>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</si>
  <si>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</si>
  <si>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</si>
  <si>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</si>
  <si>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</si>
  <si>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</si>
  <si>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</si>
  <si>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</si>
  <si>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</si>
  <si>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</si>
  <si>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</si>
  <si>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</si>
  <si>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</si>
  <si>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</si>
  <si>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</si>
  <si>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</si>
  <si>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</si>
  <si>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</si>
  <si>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</si>
  <si>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</si>
  <si>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</si>
  <si>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</si>
  <si>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</si>
  <si>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</si>
  <si>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</si>
  <si>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</si>
  <si>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</si>
  <si>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</si>
  <si>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</si>
  <si>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</si>
  <si>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</si>
  <si>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</si>
  <si>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</si>
  <si>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</si>
  <si>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</si>
  <si>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</si>
  <si>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</si>
  <si>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</si>
  <si>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</si>
  <si>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</si>
  <si>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</si>
  <si>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</si>
  <si>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</si>
  <si>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</si>
  <si>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</si>
  <si>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</si>
  <si>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</si>
  <si>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</si>
  <si>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</si>
  <si>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</si>
  <si>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</si>
  <si>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</si>
  <si>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</si>
  <si>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</si>
  <si>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</si>
  <si>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</si>
  <si>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</si>
  <si>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</si>
  <si>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</si>
  <si>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</si>
  <si>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</si>
  <si>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</si>
  <si>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</si>
  <si>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</si>
  <si>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</si>
  <si>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</si>
  <si>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</si>
  <si>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</si>
  <si>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</si>
  <si>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</si>
  <si>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</si>
  <si>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</si>
  <si>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</si>
  <si>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</si>
  <si>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</si>
  <si>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</si>
  <si>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</si>
  <si>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</si>
  <si>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</si>
  <si>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</si>
  <si>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</si>
  <si>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</si>
  <si>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</si>
  <si>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</si>
  <si>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</si>
  <si>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</si>
  <si>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</si>
  <si>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</si>
  <si>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</si>
  <si>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</si>
  <si>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</si>
  <si>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</si>
  <si>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</si>
  <si>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</si>
  <si>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</si>
  <si>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</si>
  <si>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</si>
  <si>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</si>
  <si>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</si>
  <si>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</si>
  <si>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</si>
  <si>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</si>
  <si>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</si>
  <si>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</si>
  <si>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</si>
  <si>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</si>
  <si>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</si>
  <si>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</si>
  <si>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</si>
  <si>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</si>
  <si>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</si>
  <si>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</si>
  <si>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</si>
  <si>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</si>
  <si>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</si>
  <si>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</si>
  <si>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</si>
  <si>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</si>
  <si>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</si>
  <si>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</si>
  <si>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</si>
  <si>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</si>
  <si>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</si>
  <si>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</si>
  <si>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</si>
  <si>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</si>
  <si>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</si>
  <si>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</si>
  <si>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</si>
  <si>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</si>
  <si>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</si>
  <si>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</si>
  <si>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</si>
  <si>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</si>
  <si>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</si>
  <si>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</si>
  <si>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</si>
  <si>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</si>
  <si>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</si>
  <si>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</si>
  <si>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</si>
  <si>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</si>
  <si>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</si>
  <si>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</si>
  <si>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</si>
  <si>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</si>
  <si>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</si>
  <si>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</si>
  <si>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</si>
  <si>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</si>
  <si>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</si>
  <si>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</si>
  <si>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</si>
  <si>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</si>
  <si>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</si>
  <si>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</si>
  <si>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</si>
  <si>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</si>
  <si>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</si>
  <si>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</si>
  <si>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</si>
  <si>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</si>
  <si>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</si>
  <si>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</si>
  <si>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</si>
  <si>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</si>
  <si>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</si>
  <si>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</si>
  <si>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</si>
  <si>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</si>
  <si>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</si>
  <si>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</si>
  <si>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</si>
  <si>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</si>
  <si>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</si>
  <si>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</si>
  <si>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</si>
  <si>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</si>
  <si>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</si>
  <si>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</si>
  <si>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</si>
  <si>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</si>
  <si>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</si>
  <si>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</si>
  <si>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</si>
  <si>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</si>
  <si>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</si>
  <si>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</si>
  <si>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</si>
  <si>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</si>
  <si>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</si>
  <si>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</si>
  <si>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</si>
  <si>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</si>
  <si>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</si>
  <si>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</si>
  <si>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</si>
  <si>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</si>
  <si>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</si>
  <si>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</si>
  <si>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</si>
  <si>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</si>
  <si>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</si>
  <si>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</si>
  <si>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</si>
  <si>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</si>
  <si>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</si>
  <si>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</si>
  <si>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</si>
  <si>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</si>
  <si>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</si>
  <si>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</si>
  <si>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</si>
  <si>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</si>
  <si>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</si>
  <si>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</si>
  <si>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</si>
  <si>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</si>
  <si>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</si>
  <si>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</si>
  <si>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</si>
  <si>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</si>
  <si>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</si>
  <si>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</si>
  <si>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</si>
  <si>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</si>
  <si>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</si>
  <si>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</si>
  <si>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</si>
  <si>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</si>
  <si>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</si>
  <si>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</si>
  <si>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</si>
  <si>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</si>
  <si>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</si>
  <si>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</si>
  <si>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</si>
  <si>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</si>
  <si>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</si>
  <si>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</si>
  <si>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</si>
  <si>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</si>
  <si>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</si>
  <si>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</si>
  <si>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</si>
  <si>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</si>
  <si>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</si>
  <si>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</si>
  <si>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</si>
  <si>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</si>
  <si>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</si>
  <si>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</si>
  <si>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</si>
  <si>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</si>
  <si>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</si>
  <si>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</si>
  <si>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</si>
  <si>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</si>
  <si>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</si>
  <si>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</si>
  <si>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</si>
  <si>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</si>
  <si>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</si>
  <si>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</si>
  <si>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</si>
  <si>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</si>
  <si>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</si>
  <si>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</si>
  <si>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</si>
  <si>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</si>
  <si>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</si>
  <si>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</si>
  <si>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</si>
  <si>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</si>
  <si>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</si>
  <si>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</si>
  <si>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</si>
  <si>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</si>
  <si>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</si>
  <si>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</si>
  <si>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</si>
  <si>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</si>
  <si>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</si>
  <si>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</si>
  <si>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</si>
  <si>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</si>
  <si>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</si>
  <si>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</si>
  <si>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</si>
  <si>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</si>
  <si>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</si>
  <si>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</si>
  <si>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</si>
  <si>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</si>
  <si>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</si>
  <si>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</si>
  <si>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</si>
  <si>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</si>
  <si>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</si>
  <si>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</si>
  <si>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</si>
  <si>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</si>
  <si>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</si>
  <si>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</si>
  <si>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</si>
  <si>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</si>
  <si>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</si>
  <si>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</si>
  <si>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</si>
  <si>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</si>
  <si>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</si>
  <si>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</si>
  <si>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</si>
  <si>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</si>
  <si>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</si>
  <si>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</si>
  <si>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</si>
  <si>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</si>
  <si>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</si>
  <si>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</si>
  <si>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</si>
  <si>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</si>
  <si>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</si>
  <si>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</si>
  <si>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</si>
  <si>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</si>
  <si>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</si>
  <si>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</si>
  <si>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</si>
  <si>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</si>
  <si>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</si>
  <si>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</si>
  <si>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</si>
  <si>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</si>
  <si>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</si>
  <si>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</si>
  <si>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</si>
  <si>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</si>
  <si>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</si>
  <si>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</si>
  <si>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</si>
  <si>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</si>
  <si>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</si>
  <si>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</si>
  <si>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</si>
  <si>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</si>
  <si>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</si>
  <si>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</si>
  <si>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</si>
  <si>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</si>
  <si>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</si>
  <si>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</si>
  <si>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</si>
  <si>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</si>
  <si>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</si>
  <si>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</si>
  <si>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</si>
  <si>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</si>
  <si>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</si>
  <si>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</si>
  <si>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</si>
  <si>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</si>
  <si>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</si>
  <si>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</si>
  <si>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</si>
  <si>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</si>
  <si>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</si>
  <si>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</si>
  <si>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</si>
  <si>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</si>
  <si>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</si>
  <si>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</si>
  <si>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</si>
  <si>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</si>
  <si>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</si>
  <si>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</si>
  <si>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</si>
  <si>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</si>
  <si>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</si>
  <si>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</si>
  <si>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</si>
  <si>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</si>
  <si>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</si>
  <si>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</si>
  <si>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</si>
  <si>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</si>
  <si>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</si>
  <si>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</si>
  <si>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</si>
  <si>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</si>
  <si>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</si>
  <si>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</si>
  <si>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</si>
  <si>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</si>
  <si>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</si>
  <si>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</si>
  <si>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</si>
  <si>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</si>
  <si>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</si>
  <si>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</si>
  <si>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</si>
  <si>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</si>
  <si>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</si>
  <si>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</si>
  <si>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</si>
  <si>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</si>
  <si>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</si>
  <si>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</si>
  <si>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</si>
  <si>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</si>
  <si>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</si>
  <si>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</si>
  <si>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</si>
  <si>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</si>
  <si>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</si>
  <si>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</si>
  <si>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</si>
  <si>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</si>
  <si>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</si>
  <si>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</si>
  <si>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</si>
  <si>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</si>
  <si>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</si>
  <si>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</si>
  <si>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</si>
  <si>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</si>
  <si>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</si>
  <si>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</si>
  <si>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</si>
  <si>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</si>
  <si>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</si>
  <si>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</si>
  <si>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</si>
  <si>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</si>
  <si>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</si>
  <si>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</si>
  <si>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</si>
  <si>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</si>
  <si>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</si>
  <si>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</si>
  <si>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</si>
  <si>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</si>
  <si>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</si>
  <si>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</si>
  <si>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</si>
  <si>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</si>
  <si>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</si>
  <si>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</si>
  <si>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</si>
  <si>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</si>
  <si>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</si>
  <si>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</si>
  <si>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</si>
  <si>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</si>
  <si>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</si>
  <si>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</si>
  <si>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</si>
  <si>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</si>
  <si>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</si>
  <si>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</si>
  <si>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</si>
  <si>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</si>
  <si>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</si>
  <si>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</si>
  <si>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</si>
  <si>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</si>
  <si>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</si>
  <si>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</si>
  <si>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</si>
  <si>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</si>
  <si>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</si>
  <si>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</si>
  <si>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</si>
  <si>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</si>
  <si>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</si>
  <si>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</si>
  <si>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</si>
  <si>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</si>
  <si>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</si>
  <si>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</si>
  <si>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</si>
  <si>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</si>
  <si>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</si>
  <si>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</si>
  <si>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</si>
  <si>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</si>
  <si>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</si>
  <si>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</si>
  <si>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</si>
  <si>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</si>
  <si>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</si>
  <si>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</si>
  <si>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</si>
  <si>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</si>
  <si>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</si>
  <si>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</si>
  <si>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</si>
  <si>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</si>
  <si>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</si>
  <si>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</si>
  <si>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</si>
  <si>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</si>
  <si>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</si>
  <si>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</si>
  <si>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</si>
  <si>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</si>
  <si>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</si>
  <si>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</si>
  <si>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</si>
  <si>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</si>
  <si>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</si>
  <si>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</si>
  <si>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</si>
  <si>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</si>
  <si>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</si>
  <si>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</si>
  <si>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</si>
  <si>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</si>
  <si>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</si>
  <si>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</si>
  <si>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</si>
  <si>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</si>
  <si>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</si>
  <si>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</si>
  <si>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</si>
  <si>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</si>
  <si>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</si>
  <si>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</si>
  <si>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</si>
  <si>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</si>
  <si>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</si>
  <si>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</si>
  <si>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</si>
  <si>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</si>
  <si>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</si>
  <si>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</si>
  <si>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</si>
  <si>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</si>
  <si>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</si>
  <si>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</si>
  <si>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</si>
  <si>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</si>
  <si>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</si>
  <si>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</si>
  <si>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</si>
  <si>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</si>
  <si>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</si>
  <si>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</si>
  <si>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</si>
  <si>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</si>
  <si>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</si>
  <si>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</si>
  <si>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</si>
  <si>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</si>
  <si>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</si>
  <si>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</si>
  <si>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</si>
  <si>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</si>
  <si>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</si>
  <si>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</si>
  <si>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</si>
  <si>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</si>
  <si>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</si>
  <si>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</si>
  <si>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</si>
  <si>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</si>
  <si>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</si>
  <si>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</si>
  <si>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</si>
  <si>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</si>
  <si>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</si>
  <si>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</si>
  <si>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</si>
  <si>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</si>
  <si>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</si>
  <si>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</si>
  <si>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</si>
  <si>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</si>
  <si>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</si>
  <si>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</si>
  <si>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</si>
  <si>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</si>
  <si>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</si>
  <si>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</si>
  <si>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</si>
  <si>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</si>
  <si>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</si>
  <si>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</si>
  <si>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</si>
  <si>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</si>
  <si>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</si>
  <si>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</si>
  <si>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</si>
  <si>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</si>
  <si>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</si>
  <si>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</si>
  <si>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</si>
  <si>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</si>
  <si>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</si>
  <si>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</si>
  <si>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</si>
  <si>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</si>
  <si>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</si>
  <si>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</si>
  <si>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</si>
  <si>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</si>
  <si>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</si>
  <si>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</si>
  <si>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</si>
  <si>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</si>
  <si>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</si>
  <si>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</si>
  <si>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</si>
  <si>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</si>
  <si>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</si>
  <si>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</si>
  <si>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</si>
  <si>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</si>
  <si>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</si>
  <si>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</si>
  <si>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</si>
  <si>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</si>
  <si>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</si>
  <si>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</si>
  <si>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</si>
  <si>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</si>
  <si>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</si>
  <si>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</si>
  <si>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</si>
  <si>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</si>
  <si>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</si>
  <si>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</si>
  <si>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</si>
  <si>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</si>
  <si>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</si>
  <si>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</si>
  <si>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</si>
  <si>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</si>
  <si>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</si>
  <si>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</si>
  <si>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</si>
  <si>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</si>
  <si>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</si>
  <si>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</si>
  <si>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</si>
  <si>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</si>
  <si>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</si>
  <si>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</si>
  <si>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</si>
  <si>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</si>
  <si>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</si>
  <si>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</si>
  <si>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</si>
  <si>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</si>
  <si>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</si>
  <si>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</si>
  <si>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</si>
  <si>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</si>
  <si>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</si>
  <si>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</si>
  <si>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</si>
  <si>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</si>
  <si>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</si>
  <si>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</si>
  <si>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</si>
  <si>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</si>
  <si>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</si>
  <si>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</si>
  <si>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</si>
  <si>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</si>
  <si>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</si>
  <si>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</si>
  <si>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</si>
  <si>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</si>
  <si>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</si>
  <si>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</si>
  <si>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</si>
  <si>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</si>
  <si>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</si>
  <si>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</si>
  <si>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</si>
  <si>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</si>
  <si>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</si>
  <si>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</si>
  <si>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</si>
  <si>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</si>
  <si>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</si>
  <si>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</si>
  <si>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</si>
  <si>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</si>
  <si>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</si>
  <si>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</si>
  <si>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</si>
  <si>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</si>
  <si>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</si>
  <si>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</si>
  <si>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</si>
  <si>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</si>
  <si>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</si>
  <si>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</si>
  <si>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</si>
  <si>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</si>
  <si>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</si>
  <si>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</si>
  <si>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</si>
  <si>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</si>
  <si>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</si>
  <si>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</si>
  <si>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</si>
  <si>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</si>
  <si>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</si>
  <si>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</si>
  <si>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</si>
  <si>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</si>
  <si>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</si>
  <si>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</si>
  <si>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</si>
  <si>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</si>
  <si>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</si>
  <si>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</si>
  <si>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</si>
  <si>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</si>
  <si>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</si>
  <si>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</si>
  <si>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</si>
  <si>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</si>
  <si>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</si>
  <si>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</si>
  <si>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</si>
  <si>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</si>
  <si>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</si>
  <si>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</si>
  <si>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</si>
  <si>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</si>
  <si>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</si>
  <si>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</si>
  <si>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</si>
  <si>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</si>
  <si>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</si>
  <si>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</si>
  <si>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</si>
  <si>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</si>
  <si>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</si>
  <si>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</si>
  <si>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</si>
  <si>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</si>
  <si>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</si>
  <si>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</si>
  <si>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</si>
  <si>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</si>
  <si>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</si>
  <si>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</si>
  <si>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</si>
  <si>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</si>
  <si>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</si>
  <si>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</si>
  <si>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</si>
  <si>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</si>
  <si>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</si>
  <si>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</si>
  <si>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</si>
  <si>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</si>
  <si>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</si>
  <si>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</si>
  <si>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</si>
  <si>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</si>
  <si>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</si>
  <si>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</si>
  <si>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</si>
  <si>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</si>
  <si>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</si>
  <si>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</si>
  <si>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</si>
  <si>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</si>
  <si>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</si>
  <si>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</si>
  <si>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</si>
  <si>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</si>
  <si>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</si>
  <si>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</si>
  <si>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</si>
  <si>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</si>
  <si>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</si>
  <si>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</si>
  <si>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</si>
  <si>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</si>
  <si>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</si>
  <si>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</si>
  <si>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</si>
  <si>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</si>
  <si>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</si>
  <si>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</si>
  <si>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</si>
  <si>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</si>
  <si>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</si>
  <si>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</si>
  <si>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</si>
  <si>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</si>
  <si>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</si>
  <si>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</si>
  <si>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</si>
  <si>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</si>
  <si>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</si>
  <si>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</si>
  <si>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</si>
  <si>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</si>
  <si>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</si>
  <si>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</si>
  <si>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</si>
  <si>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</si>
  <si>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</si>
  <si>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</si>
  <si>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</si>
  <si>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</si>
  <si>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</si>
  <si>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</si>
  <si>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</si>
  <si>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</si>
  <si>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</si>
  <si>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</si>
  <si>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</si>
  <si>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</si>
  <si>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</si>
  <si>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</si>
  <si>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</si>
  <si>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</si>
  <si>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</si>
  <si>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</si>
  <si>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</si>
  <si>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</si>
  <si>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</si>
  <si>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</si>
  <si>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</si>
  <si>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</si>
  <si>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</si>
  <si>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</si>
  <si>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</si>
  <si>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</si>
  <si>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</si>
  <si>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</si>
  <si>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</si>
  <si>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</si>
  <si>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</si>
  <si>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</si>
  <si>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</si>
  <si>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</si>
  <si>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</si>
  <si>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</si>
  <si>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</si>
  <si>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</si>
  <si>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</si>
  <si>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</si>
  <si>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</si>
  <si>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</si>
  <si>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</si>
  <si>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</si>
  <si>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</si>
  <si>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</si>
  <si>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</si>
  <si>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</si>
  <si>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</si>
  <si>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</si>
  <si>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</si>
  <si>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</si>
  <si>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</si>
  <si>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</si>
  <si>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</si>
  <si>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</si>
  <si>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</si>
  <si>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</si>
  <si>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</si>
  <si>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</si>
  <si>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</si>
  <si>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</si>
  <si>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</si>
  <si>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</si>
  <si>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</si>
  <si>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</si>
  <si>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</si>
  <si>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</si>
  <si>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</si>
  <si>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</si>
  <si>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</si>
  <si>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</si>
  <si>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</si>
  <si>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</si>
  <si>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</si>
  <si>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</si>
  <si>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</si>
  <si>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</si>
  <si>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</si>
  <si>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</si>
  <si>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</si>
  <si>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</si>
  <si>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</si>
  <si>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</si>
  <si>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</si>
  <si>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</si>
  <si>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</si>
  <si>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</si>
  <si>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</si>
  <si>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</si>
  <si>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</si>
  <si>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</si>
  <si>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</si>
  <si>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</si>
  <si>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</si>
  <si>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</si>
  <si>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</si>
  <si>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</si>
  <si>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</si>
  <si>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</si>
  <si>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</si>
  <si>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</si>
  <si>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</si>
  <si>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</si>
  <si>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</si>
  <si>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</si>
  <si>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</si>
  <si>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</si>
  <si>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</si>
  <si>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</si>
  <si>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</si>
  <si>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</si>
  <si>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</si>
  <si>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</si>
  <si>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</si>
  <si>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</si>
  <si>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</si>
  <si>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</si>
  <si>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</si>
  <si>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</si>
  <si>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</si>
  <si>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</si>
  <si>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</si>
  <si>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</si>
  <si>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</si>
  <si>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</si>
  <si>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</si>
  <si>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</si>
  <si>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</si>
  <si>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</si>
  <si>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</si>
  <si>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</si>
  <si>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</si>
  <si>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</si>
  <si>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</si>
  <si>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</si>
  <si>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</si>
  <si>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</si>
  <si>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</si>
  <si>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</si>
  <si>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</si>
  <si>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</si>
  <si>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</si>
  <si>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</si>
  <si>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</si>
  <si>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</si>
  <si>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</si>
  <si>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</si>
  <si>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</si>
  <si>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</si>
  <si>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</si>
  <si>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</si>
  <si>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</si>
  <si>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</si>
  <si>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</si>
  <si>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</si>
  <si>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</si>
  <si>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</si>
  <si>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</si>
  <si>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</si>
  <si>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</si>
  <si>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</si>
  <si>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</si>
  <si>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</si>
  <si>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</si>
  <si>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</si>
  <si>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</si>
  <si>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</si>
  <si>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</si>
  <si>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</si>
  <si>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</si>
  <si>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</si>
  <si>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</si>
  <si>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</si>
  <si>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</si>
  <si>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</si>
  <si>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</si>
  <si>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</si>
  <si>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</si>
  <si>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</si>
  <si>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</si>
  <si>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</si>
  <si>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</si>
  <si>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</si>
  <si>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</si>
  <si>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</si>
  <si>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</si>
  <si>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</si>
  <si>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</si>
  <si>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</si>
  <si>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</si>
  <si>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</si>
  <si>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</si>
  <si>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</si>
  <si>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</si>
  <si>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</si>
  <si>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</si>
  <si>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</si>
  <si>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</si>
  <si>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</si>
  <si>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</si>
  <si>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</si>
  <si>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</si>
  <si>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</si>
  <si>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</si>
  <si>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</si>
  <si>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</si>
  <si>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</si>
  <si>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</si>
  <si>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</si>
  <si>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</si>
  <si>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</si>
  <si>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</si>
  <si>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</si>
  <si>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</si>
  <si>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</si>
  <si>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</si>
  <si>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</si>
  <si>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</si>
  <si>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</si>
  <si>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</si>
  <si>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</si>
  <si>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</si>
  <si>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</si>
  <si>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</si>
  <si>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</si>
  <si>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</si>
  <si>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</si>
  <si>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</si>
  <si>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</si>
  <si>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</si>
  <si>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</si>
  <si>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</si>
  <si>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</si>
  <si>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</si>
  <si>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</si>
  <si>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</si>
  <si>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</si>
  <si>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</si>
  <si>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</si>
  <si>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</si>
  <si>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</si>
  <si>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</si>
  <si>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</si>
  <si>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</si>
  <si>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</si>
  <si>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</si>
  <si>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</si>
  <si>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</si>
  <si>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</si>
  <si>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</si>
  <si>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</si>
  <si>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</si>
  <si>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</si>
  <si>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</si>
  <si>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</si>
  <si>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</si>
  <si>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</si>
  <si>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</si>
  <si>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</si>
  <si>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</si>
  <si>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</si>
  <si>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</si>
  <si>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</si>
  <si>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</si>
  <si>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</si>
  <si>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</si>
  <si>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</si>
  <si>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</si>
  <si>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</si>
  <si>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</si>
  <si>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</si>
  <si>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</si>
  <si>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</si>
  <si>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</si>
  <si>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</si>
  <si>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</si>
  <si>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</si>
  <si>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</si>
  <si>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</si>
  <si>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</si>
  <si>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</si>
  <si>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</si>
  <si>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</si>
  <si>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</si>
  <si>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</si>
  <si>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</si>
  <si>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</si>
  <si>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</si>
  <si>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</si>
  <si>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</si>
  <si>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</si>
  <si>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</si>
  <si>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</si>
  <si>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</si>
  <si>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</si>
  <si>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</si>
  <si>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</si>
  <si>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</si>
  <si>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</si>
  <si>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</si>
  <si>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</si>
  <si>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</si>
  <si>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</si>
  <si>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</si>
  <si>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</si>
  <si>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</si>
  <si>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</si>
  <si>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</si>
  <si>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</si>
  <si>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</si>
  <si>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</si>
  <si>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</si>
  <si>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</si>
  <si>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</si>
  <si>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</si>
  <si>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</si>
  <si>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</si>
  <si>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</si>
  <si>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</si>
  <si>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</si>
  <si>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</si>
  <si>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</si>
  <si>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</si>
  <si>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</si>
  <si>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</si>
  <si>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</si>
  <si>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</si>
  <si>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</si>
  <si>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</si>
  <si>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</si>
  <si>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</si>
  <si>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</si>
  <si>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</si>
  <si>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</si>
  <si>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</si>
  <si>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</si>
  <si>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</si>
  <si>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</si>
  <si>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</si>
  <si>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</si>
  <si>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</si>
  <si>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</si>
  <si>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</si>
  <si>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</si>
  <si>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</si>
  <si>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</si>
  <si>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</si>
  <si>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</si>
  <si>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</si>
  <si>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</si>
  <si>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</si>
  <si>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</si>
  <si>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</si>
  <si>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</si>
  <si>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</si>
  <si>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</si>
  <si>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</si>
  <si>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</si>
  <si>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</si>
  <si>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</si>
  <si>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</si>
  <si>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</si>
  <si>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</si>
  <si>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</si>
  <si>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</si>
  <si>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</si>
  <si>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</si>
  <si>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</si>
  <si>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</si>
  <si>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</si>
  <si>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</si>
  <si>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</si>
  <si>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</si>
  <si>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</si>
  <si>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</si>
  <si>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</si>
  <si>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</si>
  <si>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</si>
  <si>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</si>
  <si>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</si>
  <si>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</si>
  <si>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</si>
  <si>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</si>
  <si>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</si>
  <si>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</si>
  <si>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</si>
  <si>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</si>
  <si>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</si>
  <si>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</si>
  <si>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</si>
  <si>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</si>
  <si>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</si>
  <si>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</si>
  <si>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</si>
  <si>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</si>
  <si>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</si>
  <si>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</si>
  <si>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</si>
  <si>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</si>
  <si>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</si>
  <si>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</si>
  <si>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</si>
  <si>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</si>
  <si>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</si>
  <si>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</si>
  <si>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</si>
  <si>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</si>
  <si>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</si>
  <si>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</si>
  <si>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</si>
  <si>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</si>
  <si>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</si>
  <si>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</si>
  <si>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</si>
  <si>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</si>
  <si>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</si>
  <si>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</si>
  <si>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</si>
  <si>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</si>
  <si>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</si>
  <si>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</si>
  <si>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</si>
  <si>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</si>
  <si>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</si>
  <si>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</si>
  <si>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</si>
  <si>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</si>
  <si>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</si>
  <si>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</si>
  <si>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</si>
  <si>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</si>
  <si>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</si>
  <si>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</si>
  <si>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</si>
  <si>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</si>
  <si>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</si>
  <si>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</si>
  <si>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</si>
  <si>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</si>
  <si>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</si>
  <si>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</si>
  <si>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</si>
  <si>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</si>
  <si>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</si>
  <si>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</si>
  <si>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</si>
  <si>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</si>
  <si>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</si>
  <si>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</si>
  <si>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</si>
  <si>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</si>
  <si>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</si>
  <si>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</si>
  <si>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</si>
  <si>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</si>
  <si>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</si>
  <si>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</si>
  <si>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</si>
  <si>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</si>
  <si>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</si>
  <si>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</si>
  <si>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</si>
  <si>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</si>
  <si>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</si>
  <si>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</si>
  <si>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</si>
  <si>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</si>
  <si>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</si>
  <si>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</si>
  <si>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</si>
  <si>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</si>
  <si>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</si>
  <si>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</si>
  <si>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</si>
  <si>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</si>
  <si>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</si>
  <si>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</si>
  <si>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</si>
  <si>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</si>
  <si>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</si>
  <si>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</si>
  <si>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</si>
  <si>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</si>
  <si>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</si>
  <si>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</si>
  <si>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</si>
  <si>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</si>
  <si>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</si>
  <si>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</si>
  <si>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</si>
  <si>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</si>
  <si>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</si>
  <si>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</si>
  <si>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</si>
  <si>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</si>
  <si>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</si>
  <si>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</si>
  <si>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</si>
  <si>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</si>
  <si>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</si>
  <si>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</si>
  <si>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</si>
  <si>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</si>
  <si>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</si>
  <si>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</si>
  <si>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</si>
  <si>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</si>
  <si>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</si>
  <si>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</si>
  <si>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</si>
  <si>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</si>
  <si>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</si>
  <si>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</si>
  <si>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</si>
  <si>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</si>
  <si>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</si>
  <si>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</si>
  <si>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</si>
  <si>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</si>
  <si>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</si>
  <si>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</si>
  <si>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</si>
  <si>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</si>
  <si>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</si>
  <si>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</si>
  <si>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</si>
  <si>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</si>
  <si>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</si>
  <si>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</si>
  <si>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</si>
  <si>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</si>
  <si>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</si>
  <si>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</si>
  <si>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</si>
  <si>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</si>
  <si>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</si>
  <si>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</si>
  <si>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</si>
  <si>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</si>
  <si>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</si>
  <si>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</si>
  <si>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</si>
  <si>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</si>
  <si>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</si>
  <si>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</si>
  <si>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</si>
  <si>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</si>
  <si>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</si>
  <si>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</si>
  <si>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</si>
  <si>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</si>
  <si>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</si>
  <si>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</si>
  <si>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</si>
  <si>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</si>
  <si>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</si>
  <si>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</si>
  <si>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</si>
  <si>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</si>
  <si>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</si>
  <si>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</si>
  <si>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</si>
  <si>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</si>
  <si>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</si>
  <si>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</si>
  <si>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</si>
  <si>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</si>
  <si>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</si>
  <si>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</si>
  <si>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</si>
  <si>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</si>
  <si>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</si>
  <si>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</si>
  <si>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</si>
  <si>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</si>
  <si>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</si>
  <si>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</si>
  <si>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</si>
  <si>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</si>
  <si>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</si>
  <si>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</si>
  <si>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</si>
  <si>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</si>
  <si>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</si>
  <si>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</si>
  <si>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</si>
  <si>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</si>
  <si>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</si>
  <si>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</si>
  <si>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</si>
  <si>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</si>
  <si>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</si>
  <si>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</si>
  <si>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</si>
  <si>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</si>
  <si>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</si>
  <si>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</si>
  <si>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</si>
  <si>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</si>
  <si>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</si>
  <si>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</si>
  <si>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</si>
  <si>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</si>
  <si>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</si>
  <si>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</si>
  <si>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</si>
  <si>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</si>
  <si>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</si>
  <si>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</si>
  <si>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</si>
  <si>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</si>
  <si>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</si>
  <si>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</si>
  <si>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</si>
  <si>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</si>
  <si>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</si>
  <si>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</si>
  <si>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</si>
  <si>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</si>
  <si>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</si>
  <si>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</si>
  <si>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</si>
  <si>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</si>
  <si>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</si>
  <si>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</si>
  <si>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</si>
  <si>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</si>
  <si>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</si>
  <si>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</si>
  <si>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</si>
  <si>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</si>
  <si>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</si>
  <si>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</si>
  <si>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</si>
  <si>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</si>
  <si>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</si>
  <si>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</si>
  <si>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</si>
  <si>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</si>
  <si>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</si>
  <si>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</si>
  <si>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</si>
  <si>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</si>
  <si>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</si>
  <si>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</si>
  <si>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</si>
  <si>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</si>
  <si>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</si>
  <si>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</si>
  <si>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</si>
  <si>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</si>
  <si>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</si>
  <si>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</si>
  <si>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</si>
  <si>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</si>
  <si>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</si>
  <si>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</si>
  <si>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</si>
  <si>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</si>
  <si>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</si>
  <si>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</si>
  <si>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</si>
  <si>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</si>
  <si>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</si>
  <si>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</si>
  <si>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</si>
  <si>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</si>
  <si>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</si>
  <si>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</si>
  <si>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</si>
  <si>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</si>
  <si>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</si>
  <si>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</si>
  <si>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</si>
  <si>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</si>
  <si>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</si>
  <si>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</si>
  <si>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</si>
  <si>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</si>
  <si>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</si>
  <si>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</si>
  <si>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</si>
  <si>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</si>
  <si>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</si>
  <si>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</si>
  <si>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</si>
  <si>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</si>
  <si>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</si>
  <si>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</si>
  <si>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</si>
  <si>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</si>
  <si>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</si>
  <si>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</si>
  <si>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</si>
  <si>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</si>
  <si>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</si>
  <si>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</si>
  <si>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</si>
  <si>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</si>
  <si>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</si>
  <si>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</si>
  <si>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</si>
  <si>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</si>
  <si>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</si>
  <si>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</si>
  <si>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</si>
  <si>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</si>
  <si>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</si>
  <si>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</si>
  <si>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</si>
  <si>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</si>
  <si>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</si>
  <si>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</si>
  <si>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</si>
  <si>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</si>
  <si>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</si>
  <si>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</si>
  <si>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</si>
  <si>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</si>
  <si>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</si>
  <si>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</si>
  <si>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</si>
  <si>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</si>
  <si>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</si>
  <si>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</si>
  <si>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</si>
  <si>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</si>
  <si>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</si>
  <si>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</si>
  <si>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</si>
  <si>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</si>
  <si>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</si>
  <si>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</si>
  <si>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</si>
  <si>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</si>
  <si>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</si>
  <si>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</si>
  <si>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</si>
  <si>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</si>
  <si>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</si>
  <si>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</si>
  <si>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</si>
  <si>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</si>
  <si>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</si>
  <si>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</si>
  <si>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</si>
  <si>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</si>
  <si>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</si>
  <si>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</si>
  <si>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</si>
  <si>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</si>
  <si>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</si>
  <si>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</si>
  <si>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</si>
  <si>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</si>
  <si>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</si>
  <si>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</si>
  <si>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</si>
  <si>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</si>
  <si>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</si>
  <si>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</si>
  <si>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</si>
  <si>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</si>
  <si>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</si>
  <si>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</si>
  <si>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</si>
  <si>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</si>
  <si>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</si>
  <si>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</si>
  <si>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</si>
  <si>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</si>
  <si>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</si>
  <si>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</si>
  <si>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</si>
  <si>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</si>
  <si>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</si>
  <si>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</si>
  <si>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</si>
  <si>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</si>
  <si>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</si>
  <si>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</si>
  <si>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</si>
  <si>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</si>
  <si>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</si>
  <si>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</si>
  <si>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</si>
  <si>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</si>
  <si>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</si>
  <si>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</si>
  <si>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</si>
  <si>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</si>
  <si>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</si>
  <si>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</si>
  <si>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</si>
  <si>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</si>
  <si>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</si>
  <si>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</si>
  <si>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</si>
  <si>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</si>
  <si>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</si>
  <si>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</si>
  <si>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</si>
  <si>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</si>
  <si>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</si>
  <si>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</si>
  <si>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</si>
  <si>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</si>
  <si>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</si>
  <si>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</si>
  <si>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</si>
  <si>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</si>
  <si>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</si>
  <si>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</si>
  <si>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</si>
  <si>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</si>
  <si>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</si>
  <si>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</si>
  <si>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</si>
  <si>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</si>
  <si>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</si>
  <si>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</si>
  <si>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</si>
  <si>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</si>
  <si>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</si>
  <si>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</si>
  <si>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</si>
  <si>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</si>
  <si>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</si>
  <si>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</si>
  <si>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</si>
  <si>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</si>
  <si>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</si>
  <si>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</si>
  <si>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</si>
  <si>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</si>
  <si>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</si>
  <si>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</si>
  <si>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</si>
  <si>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</si>
  <si>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</si>
  <si>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</si>
  <si>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</si>
  <si>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</si>
  <si>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</si>
  <si>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</si>
  <si>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</si>
  <si>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</si>
  <si>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</si>
  <si>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</si>
  <si>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</si>
  <si>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</si>
  <si>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</si>
  <si>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</si>
  <si>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</si>
  <si>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</si>
  <si>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</si>
  <si>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</si>
  <si>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</si>
  <si>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</si>
  <si>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</si>
  <si>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</si>
  <si>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</si>
  <si>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</si>
  <si>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</si>
  <si>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</si>
  <si>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</si>
  <si>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</si>
  <si>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</si>
  <si>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</si>
  <si>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</si>
  <si>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</si>
  <si>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</si>
  <si>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</si>
  <si>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</si>
  <si>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</si>
  <si>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</si>
  <si>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</si>
  <si>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</si>
  <si>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</si>
  <si>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</si>
  <si>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</si>
  <si>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</si>
  <si>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</si>
  <si>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</si>
  <si>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</si>
  <si>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</si>
  <si>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</si>
  <si>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</si>
  <si>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</si>
  <si>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</si>
  <si>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</si>
  <si>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</si>
  <si>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</si>
  <si>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</si>
  <si>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</si>
  <si>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</si>
  <si>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</si>
  <si>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</si>
  <si>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</si>
  <si>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</si>
  <si>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</si>
  <si>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</si>
  <si>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</si>
  <si>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</si>
  <si>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</si>
  <si>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</si>
  <si>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</si>
  <si>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</si>
  <si>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</si>
  <si>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</si>
  <si>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</si>
  <si>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</si>
  <si>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</si>
  <si>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</si>
  <si>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</si>
  <si>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</si>
  <si>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</si>
  <si>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</si>
  <si>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</si>
  <si>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</si>
  <si>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</si>
  <si>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</si>
  <si>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</si>
  <si>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</si>
  <si>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</si>
  <si>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</si>
  <si>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</si>
  <si>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</si>
  <si>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</si>
  <si>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</si>
  <si>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</si>
  <si>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</si>
  <si>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</si>
  <si>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</si>
  <si>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</si>
  <si>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</si>
  <si>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</si>
  <si>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</si>
  <si>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</si>
  <si>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</si>
  <si>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</si>
  <si>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</si>
  <si>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</si>
  <si>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</si>
  <si>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</si>
  <si>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</si>
  <si>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</si>
  <si>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</si>
  <si>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</si>
  <si>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</si>
  <si>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</si>
  <si>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</si>
  <si>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</si>
  <si>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</si>
  <si>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</si>
  <si>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</si>
  <si>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</si>
  <si>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</si>
  <si>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</si>
  <si>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</si>
  <si>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</si>
  <si>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</si>
  <si>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</si>
  <si>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</si>
  <si>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</si>
  <si>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</si>
  <si>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</si>
  <si>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</si>
  <si>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</si>
  <si>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</si>
  <si>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</si>
  <si>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</si>
  <si>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</si>
  <si>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</si>
  <si>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</si>
  <si>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</si>
  <si>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</si>
  <si>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</si>
  <si>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</si>
  <si>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</si>
  <si>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</si>
  <si>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</si>
  <si>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</si>
  <si>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</si>
  <si>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</si>
  <si>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</si>
  <si>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</si>
  <si>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</si>
  <si>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</si>
  <si>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</si>
  <si>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</si>
  <si>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</si>
  <si>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</si>
  <si>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</si>
  <si>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</si>
  <si>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</si>
  <si>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</si>
  <si>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</si>
  <si>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</si>
  <si>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</si>
  <si>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</si>
  <si>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</si>
  <si>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</si>
  <si>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</si>
  <si>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</si>
  <si>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</si>
  <si>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</si>
  <si>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</si>
  <si>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</si>
  <si>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</si>
  <si>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</si>
  <si>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</si>
  <si>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</si>
  <si>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</si>
  <si>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</si>
  <si>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</si>
  <si>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</si>
  <si>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</si>
  <si>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</si>
  <si>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</si>
  <si>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</si>
  <si>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</si>
  <si>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</si>
  <si>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</si>
  <si>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</si>
  <si>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</si>
  <si>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</si>
  <si>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</si>
  <si>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</si>
  <si>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</si>
  <si>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</si>
  <si>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</si>
  <si>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</si>
  <si>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</si>
  <si>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</si>
  <si>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</si>
  <si>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</si>
  <si>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</si>
  <si>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</si>
  <si>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</si>
  <si>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</si>
  <si>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</si>
  <si>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</si>
  <si>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</si>
  <si>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</si>
  <si>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</si>
  <si>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</si>
  <si>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</si>
  <si>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</si>
  <si>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</si>
  <si>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</si>
  <si>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</si>
  <si>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</si>
  <si>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</si>
  <si>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</si>
  <si>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</si>
  <si>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</si>
  <si>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</si>
  <si>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</si>
  <si>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</si>
  <si>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</si>
  <si>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</si>
  <si>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</si>
  <si>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</si>
  <si>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</si>
  <si>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</si>
  <si>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</si>
  <si>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</si>
  <si>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</si>
  <si>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</si>
  <si>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</si>
  <si>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</si>
  <si>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</si>
  <si>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</si>
  <si>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</si>
  <si>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</si>
  <si>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</si>
  <si>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</si>
  <si>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</si>
  <si>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</si>
  <si>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</si>
  <si>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</si>
  <si>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</si>
  <si>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</si>
  <si>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</si>
  <si>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</si>
  <si>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</si>
  <si>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</si>
  <si>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</si>
  <si>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</si>
  <si>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</si>
  <si>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</si>
  <si>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</si>
  <si>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</si>
  <si>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</si>
  <si>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</si>
  <si>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</si>
  <si>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</si>
  <si>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</si>
  <si>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</si>
  <si>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</si>
  <si>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</si>
  <si>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</si>
  <si>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</si>
  <si>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</si>
  <si>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</si>
  <si>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</si>
  <si>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</si>
  <si>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</si>
  <si>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</si>
  <si>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</si>
  <si>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</si>
  <si>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</si>
  <si>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</si>
  <si>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</si>
  <si>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</si>
  <si>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</si>
  <si>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</si>
  <si>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</si>
  <si>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</si>
  <si>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</si>
  <si>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</si>
  <si>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</si>
  <si>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</si>
  <si>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</si>
  <si>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</si>
  <si>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</si>
  <si>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</si>
  <si>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</si>
  <si>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</si>
  <si>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</si>
  <si>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</si>
  <si>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</si>
  <si>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</si>
  <si>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</si>
  <si>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</si>
  <si>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</si>
  <si>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</si>
  <si>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</si>
  <si>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</si>
  <si>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</si>
  <si>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</si>
  <si>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</si>
  <si>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</si>
  <si>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</si>
  <si>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</si>
  <si>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</si>
  <si>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</si>
  <si>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</si>
  <si>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</si>
  <si>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</si>
  <si>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</si>
  <si>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</si>
  <si>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</si>
  <si>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</si>
  <si>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</si>
  <si>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</si>
  <si>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</si>
  <si>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</si>
  <si>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</si>
  <si>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</si>
  <si>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</si>
  <si>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</si>
  <si>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</si>
  <si>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</si>
  <si>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</si>
  <si>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</si>
  <si>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</si>
  <si>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</si>
  <si>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</si>
  <si>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</si>
  <si>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</si>
  <si>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</si>
  <si>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</si>
  <si>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</si>
  <si>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</si>
  <si>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</si>
  <si>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</si>
  <si>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</si>
  <si>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</si>
  <si>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</si>
  <si>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</si>
  <si>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</si>
  <si>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</si>
  <si>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</si>
  <si>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</si>
  <si>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</si>
  <si>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</si>
  <si>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</si>
  <si>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</si>
  <si>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</si>
  <si>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</si>
  <si>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</si>
  <si>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</si>
  <si>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</si>
  <si>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</si>
  <si>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</si>
  <si>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</si>
  <si>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</si>
  <si>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</si>
  <si>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</si>
  <si>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</si>
  <si>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</si>
  <si>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</si>
  <si>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</si>
  <si>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</si>
  <si>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</si>
  <si>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</si>
  <si>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</si>
  <si>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</si>
  <si>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</si>
  <si>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</si>
  <si>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</si>
  <si>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</si>
  <si>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</si>
  <si>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</si>
  <si>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</si>
  <si>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</si>
  <si>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</si>
  <si>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</si>
  <si>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</si>
  <si>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</si>
  <si>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</si>
  <si>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</si>
  <si>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</si>
  <si>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</si>
  <si>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</si>
  <si>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</si>
  <si>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</si>
  <si>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</si>
  <si>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</si>
  <si>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</si>
  <si>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</si>
  <si>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</si>
  <si>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</si>
  <si>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</si>
  <si>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</si>
  <si>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</si>
  <si>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</si>
  <si>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</si>
  <si>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</si>
  <si>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</si>
  <si>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</si>
  <si>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</si>
  <si>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</si>
  <si>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</si>
  <si>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</si>
  <si>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</si>
  <si>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</si>
  <si>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</si>
  <si>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</si>
  <si>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</si>
  <si>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</si>
  <si>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</si>
  <si>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</si>
  <si>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</si>
  <si>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</si>
  <si>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</si>
  <si>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</si>
  <si>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</si>
  <si>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</si>
  <si>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</si>
  <si>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</si>
  <si>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</si>
  <si>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</si>
  <si>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</si>
  <si>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</si>
  <si>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</si>
  <si>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</si>
  <si>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</si>
  <si>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</si>
  <si>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</si>
  <si>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</si>
  <si>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</si>
  <si>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</si>
  <si>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</si>
  <si>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</si>
  <si>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</si>
  <si>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</si>
  <si>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</si>
  <si>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</si>
  <si>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</si>
  <si>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</si>
  <si>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</si>
  <si>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</si>
  <si>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</si>
  <si>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</si>
  <si>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</si>
  <si>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</si>
  <si>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</si>
  <si>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</si>
  <si>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</si>
  <si>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</si>
  <si>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</si>
  <si>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</si>
  <si>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</si>
  <si>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</si>
  <si>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</si>
  <si>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</si>
  <si>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</si>
  <si>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</si>
  <si>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</si>
  <si>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</si>
  <si>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</si>
  <si>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</si>
  <si>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</si>
  <si>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</si>
  <si>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</si>
  <si>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</si>
  <si>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</si>
  <si>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</si>
  <si>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</si>
  <si>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</si>
  <si>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</si>
  <si>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</si>
  <si>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</si>
  <si>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</si>
  <si>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</si>
  <si>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</si>
  <si>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</si>
  <si>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</si>
  <si>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</si>
  <si>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</si>
  <si>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</si>
  <si>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</si>
  <si>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</si>
  <si>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</si>
  <si>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</si>
  <si>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</si>
  <si>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</si>
  <si>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</si>
  <si>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</si>
  <si>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</si>
  <si>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</si>
  <si>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</si>
  <si>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</si>
  <si>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</si>
  <si>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</si>
  <si>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</si>
  <si>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</si>
  <si>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</si>
  <si>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</si>
  <si>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</si>
  <si>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</si>
  <si>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</si>
  <si>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</si>
  <si>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</si>
  <si>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</si>
  <si>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</si>
  <si>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</si>
  <si>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</si>
  <si>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</si>
  <si>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</si>
  <si>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</si>
  <si>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</si>
  <si>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</si>
  <si>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</si>
  <si>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</si>
  <si>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</si>
  <si>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</si>
  <si>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</si>
  <si>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</si>
  <si>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</si>
  <si>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</si>
  <si>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</si>
  <si>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</si>
  <si>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</si>
  <si>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</si>
  <si>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</si>
  <si>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</si>
  <si>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</si>
  <si>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</si>
  <si>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</si>
  <si>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</si>
  <si>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</si>
  <si>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</si>
  <si>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</si>
  <si>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</si>
  <si>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</si>
  <si>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</si>
  <si>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</si>
  <si>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</si>
  <si>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</si>
  <si>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</si>
  <si>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</si>
  <si>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</si>
  <si>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</si>
  <si>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</si>
  <si>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</si>
  <si>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</si>
  <si>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</si>
  <si>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</si>
  <si>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</si>
  <si>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</si>
  <si>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</si>
  <si>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</si>
  <si>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</si>
  <si>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</si>
  <si>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</si>
  <si>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</si>
  <si>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</si>
  <si>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</si>
  <si>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</si>
  <si>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</si>
  <si>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</si>
  <si>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</si>
  <si>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</si>
  <si>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</si>
  <si>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</si>
  <si>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</si>
  <si>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</si>
  <si>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</si>
  <si>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</si>
  <si>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</si>
  <si>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</si>
  <si>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</si>
  <si>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</si>
  <si>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</si>
  <si>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</si>
  <si>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</si>
  <si>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</si>
  <si>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</si>
  <si>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</si>
  <si>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</si>
  <si>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</si>
  <si>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</si>
  <si>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</si>
  <si>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</si>
  <si>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</si>
  <si>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</si>
  <si>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</si>
  <si>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</si>
  <si>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</si>
  <si>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</si>
  <si>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</si>
  <si>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</si>
  <si>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</si>
  <si>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</si>
  <si>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</si>
  <si>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</si>
  <si>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</si>
  <si>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</si>
  <si>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</si>
  <si>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</si>
  <si>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</si>
  <si>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</si>
  <si>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</si>
  <si>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</si>
  <si>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</si>
  <si>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</si>
  <si>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</si>
  <si>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</si>
  <si>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</si>
  <si>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</si>
  <si>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</si>
  <si>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</si>
  <si>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</si>
  <si>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</si>
  <si>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</si>
  <si>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</si>
  <si>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</si>
  <si>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</si>
  <si>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</si>
  <si>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</si>
  <si>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</si>
  <si>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</si>
  <si>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</si>
  <si>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</si>
  <si>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</si>
  <si>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</si>
  <si>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</si>
  <si>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</si>
  <si>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</si>
  <si>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</si>
  <si>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</si>
  <si>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</si>
  <si>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</si>
  <si>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</si>
  <si>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</si>
  <si>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</si>
  <si>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</si>
  <si>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</si>
  <si>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</si>
  <si>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</si>
  <si>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</si>
  <si>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</si>
  <si>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</si>
  <si>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</si>
  <si>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</si>
  <si>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</si>
  <si>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</si>
  <si>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</si>
  <si>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</si>
  <si>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</si>
  <si>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</si>
  <si>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</si>
  <si>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</si>
  <si>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</si>
  <si>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</si>
  <si>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</si>
  <si>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</si>
  <si>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</si>
  <si>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</si>
  <si>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</si>
  <si>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</si>
  <si>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</si>
  <si>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</si>
  <si>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</si>
  <si>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</si>
  <si>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</si>
  <si>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</si>
  <si>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</si>
  <si>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</si>
  <si>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</si>
  <si>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</si>
  <si>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</si>
  <si>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</si>
  <si>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</si>
  <si>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</si>
  <si>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</si>
  <si>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</si>
  <si>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</si>
  <si>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</si>
  <si>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</si>
  <si>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</si>
  <si>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</si>
  <si>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</si>
  <si>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</si>
  <si>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</si>
  <si>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</si>
  <si>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</si>
  <si>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</si>
  <si>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</si>
  <si>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</si>
  <si>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</si>
  <si>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</si>
  <si>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</si>
  <si>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</si>
  <si>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</si>
  <si>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</si>
  <si>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</si>
  <si>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</si>
  <si>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</si>
  <si>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</si>
  <si>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</si>
  <si>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</si>
  <si>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</si>
  <si>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</si>
  <si>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</si>
  <si>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</si>
  <si>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</si>
  <si>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</si>
  <si>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</si>
  <si>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</si>
  <si>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</si>
  <si>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</si>
  <si>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</si>
  <si>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</si>
  <si>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</si>
  <si>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</si>
  <si>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</si>
  <si>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</si>
  <si>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</si>
  <si>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</si>
  <si>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</si>
  <si>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</si>
  <si>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</si>
  <si>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</si>
  <si>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</si>
  <si>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</si>
  <si>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</si>
  <si>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</si>
  <si>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</si>
  <si>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</si>
  <si>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</si>
  <si>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</si>
  <si>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</si>
  <si>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</si>
  <si>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</si>
  <si>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</si>
  <si>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</si>
  <si>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</si>
  <si>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</si>
  <si>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</si>
  <si>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</si>
  <si>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</si>
  <si>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</si>
  <si>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</si>
  <si>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</si>
  <si>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</si>
  <si>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</si>
  <si>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</si>
  <si>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</si>
  <si>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</si>
  <si>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</si>
  <si>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</si>
  <si>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</si>
  <si>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</si>
  <si>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</si>
  <si>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</si>
  <si>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</si>
  <si>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</si>
  <si>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</si>
  <si>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</si>
  <si>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</si>
  <si>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</si>
  <si>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</si>
  <si>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</si>
  <si>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</si>
  <si>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</si>
  <si>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</si>
  <si>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</si>
  <si>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</si>
  <si>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</si>
  <si>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</si>
  <si>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</si>
  <si>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</si>
  <si>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</si>
  <si>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</si>
  <si>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</si>
  <si>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</si>
  <si>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</si>
  <si>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</si>
  <si>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</si>
  <si>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</si>
  <si>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</si>
  <si>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</si>
  <si>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</si>
  <si>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</si>
  <si>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</si>
  <si>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</si>
  <si>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</si>
  <si>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</si>
  <si>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</si>
  <si>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</si>
  <si>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</si>
  <si>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</si>
  <si>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</si>
  <si>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</si>
  <si>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</si>
  <si>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</si>
  <si>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</si>
  <si>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</si>
  <si>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</si>
  <si>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</si>
  <si>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</si>
  <si>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</si>
  <si>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</si>
  <si>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</si>
  <si>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</si>
  <si>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</si>
  <si>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</si>
  <si>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</si>
  <si>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</si>
  <si>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</si>
  <si>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</si>
  <si>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</si>
  <si>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</si>
  <si>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</si>
  <si>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</si>
  <si>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</si>
  <si>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</si>
  <si>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</si>
  <si>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</si>
  <si>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</si>
  <si>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</si>
  <si>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</si>
  <si>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</si>
  <si>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</si>
  <si>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</si>
  <si>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</si>
  <si>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</si>
  <si>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</si>
  <si>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</si>
  <si>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</si>
  <si>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</si>
  <si>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</si>
  <si>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</si>
  <si>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</si>
  <si>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</si>
  <si>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</si>
  <si>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</si>
  <si>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</si>
  <si>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</si>
  <si>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</si>
  <si>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</si>
  <si>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</si>
  <si>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</si>
  <si>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</si>
  <si>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</si>
  <si>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</si>
  <si>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1-202</t>
    <phoneticPr fontId="3" type="noConversion"/>
  </si>
  <si>
    <t>地上</t>
  </si>
  <si>
    <t>住宅</t>
  </si>
  <si>
    <t>平层住宅</t>
  </si>
  <si>
    <t>竣工时间</t>
    <phoneticPr fontId="143" type="noConversion"/>
  </si>
  <si>
    <t>序号</t>
  </si>
  <si>
    <t>楼栋名称</t>
  </si>
  <si>
    <t>房号</t>
  </si>
  <si>
    <t>房间全称</t>
  </si>
  <si>
    <t>建筑面积</t>
  </si>
  <si>
    <t>住宅区-1</t>
  </si>
  <si>
    <t>海南恒大海上帝景-一期-住宅区-1-202</t>
  </si>
  <si>
    <t>海南恒大海上帝景-一期-住宅区-1-203</t>
  </si>
  <si>
    <t>海南恒大海上帝景-一期-住宅区-1-205</t>
  </si>
  <si>
    <t>海南恒大海上帝景-一期-住宅区-1-301</t>
  </si>
  <si>
    <t>海南恒大海上帝景-一期-住宅区-1-305</t>
  </si>
  <si>
    <t>海南恒大海上帝景-一期-住宅区-1-501</t>
  </si>
  <si>
    <t>海南恒大海上帝景-一期-住宅区-1-502</t>
  </si>
  <si>
    <t>海南恒大海上帝景-一期-住宅区-1-602</t>
  </si>
  <si>
    <t>海南恒大海上帝景-一期-住宅区-1-603</t>
  </si>
  <si>
    <t>海南恒大海上帝景-一期-住宅区-1-701</t>
  </si>
  <si>
    <t>海南恒大海上帝景-一期-住宅区-1-801</t>
  </si>
  <si>
    <t>海南恒大海上帝景-一期-住宅区-1-901</t>
  </si>
  <si>
    <t>海南恒大海上帝景-一期-住宅区-1-902</t>
  </si>
  <si>
    <t>海南恒大海上帝景-一期-住宅区-1-1001</t>
  </si>
  <si>
    <t>海南恒大海上帝景-一期-住宅区-1-1102</t>
  </si>
  <si>
    <t>海南恒大海上帝景-一期-住宅区-1-1201</t>
  </si>
  <si>
    <t>海南恒大海上帝景-一期-住宅区-1-1202</t>
  </si>
  <si>
    <t>海南恒大海上帝景-一期-住宅区-1-1502</t>
  </si>
  <si>
    <t>海南恒大海上帝景-一期-住宅区-1-1601</t>
  </si>
  <si>
    <t>海南恒大海上帝景-一期-住宅区-1-1702</t>
  </si>
  <si>
    <t>海南恒大海上帝景-一期-住宅区-1-1801</t>
  </si>
  <si>
    <t>海南恒大海上帝景-一期-住宅区-1-1902</t>
  </si>
  <si>
    <t>海南恒大海上帝景-一期-住宅区-1-1903</t>
  </si>
  <si>
    <t>海南恒大海上帝景-一期-住宅区-1-2001</t>
  </si>
  <si>
    <t>海南恒大海上帝景-一期-住宅区-1-2203</t>
  </si>
  <si>
    <t>海南恒大海上帝景-一期-住宅区-1-2302</t>
  </si>
  <si>
    <t>海南恒大海上帝景-一期-住宅区-1-2602</t>
  </si>
  <si>
    <t>海南恒大海上帝景-一期-住宅区-1-2701</t>
  </si>
  <si>
    <t>海南恒大海上帝景-一期-住宅区-1-2702</t>
  </si>
  <si>
    <t>海南恒大海上帝景-一期-住宅区-1-2703</t>
  </si>
  <si>
    <t>海南恒大海上帝景-一期-住宅区-1-2801</t>
  </si>
  <si>
    <t>住宅区-2</t>
  </si>
  <si>
    <t>海南恒大海上帝景-一期-住宅区-2-201</t>
  </si>
  <si>
    <t>海南恒大海上帝景-一期-住宅区-2-202</t>
  </si>
  <si>
    <t>海南恒大海上帝景-一期-住宅区-2-203</t>
  </si>
  <si>
    <t>海南恒大海上帝景-一期-住宅区-2-205</t>
  </si>
  <si>
    <t>海南恒大海上帝景-一期-住宅区-2-301</t>
  </si>
  <si>
    <t>海南恒大海上帝景-一期-住宅区-2-302</t>
  </si>
  <si>
    <t>海南恒大海上帝景-一期-住宅区-2-303</t>
  </si>
  <si>
    <t>海南恒大海上帝景-一期-住宅区-2-305</t>
  </si>
  <si>
    <t>海南恒大海上帝景-一期-住宅区-2-505</t>
  </si>
  <si>
    <t>海南恒大海上帝景-一期-住宅区-2-605</t>
  </si>
  <si>
    <t>海南恒大海上帝景-一期-住宅区-2-701</t>
  </si>
  <si>
    <t>海南恒大海上帝景-一期-住宅区-2-702</t>
  </si>
  <si>
    <t>海南恒大海上帝景-一期-住宅区-2-703</t>
  </si>
  <si>
    <t>海南恒大海上帝景-一期-住宅区-2-705</t>
  </si>
  <si>
    <t>海南恒大海上帝景-一期-住宅区-2-802</t>
  </si>
  <si>
    <t>海南恒大海上帝景-一期-住宅区-2-803</t>
  </si>
  <si>
    <t>海南恒大海上帝景-一期-住宅区-2-805</t>
  </si>
  <si>
    <t>海南恒大海上帝景-一期-住宅区-2-905</t>
  </si>
  <si>
    <t>海南恒大海上帝景-一期-住宅区-2-1003</t>
  </si>
  <si>
    <t>海南恒大海上帝景-一期-住宅区-2-1005</t>
  </si>
  <si>
    <t>海南恒大海上帝景-一期-住宅区-2-1601</t>
  </si>
  <si>
    <t>海南恒大海上帝景-一期-住宅区-2-1605</t>
  </si>
  <si>
    <t>海南恒大海上帝景-一期-住宅区-2-1705</t>
  </si>
  <si>
    <t>海南恒大海上帝景-一期-住宅区-2-1905</t>
  </si>
  <si>
    <t>海南恒大海上帝景-一期-住宅区-2-2001</t>
  </si>
  <si>
    <t>海南恒大海上帝景-一期-住宅区-2-2005</t>
  </si>
  <si>
    <t>海南恒大海上帝景-一期-住宅区-2-2102</t>
  </si>
  <si>
    <t>海南恒大海上帝景-一期-住宅区-2-2103</t>
  </si>
  <si>
    <t>海南恒大海上帝景-一期-住宅区-2-2205</t>
  </si>
  <si>
    <t>海南恒大海上帝景-一期-住宅区-2-2302</t>
  </si>
  <si>
    <t>海南恒大海上帝景-一期-住宅区-2-2501</t>
  </si>
  <si>
    <t>海南恒大海上帝景-一期-住宅区-2-2502</t>
  </si>
  <si>
    <t>海南恒大海上帝景-一期-住宅区-2-2602</t>
  </si>
  <si>
    <t>海南恒大海上帝景-一期-住宅区-2-2605</t>
  </si>
  <si>
    <t>海南恒大海上帝景-一期-住宅区-2-2701</t>
  </si>
  <si>
    <t>住宅区-3</t>
  </si>
  <si>
    <t>海南恒大海上帝景-一期-住宅区-3-201</t>
  </si>
  <si>
    <t>海南恒大海上帝景-一期-住宅区-3-202</t>
  </si>
  <si>
    <t>海南恒大海上帝景-一期-住宅区-3-203</t>
  </si>
  <si>
    <t>海南恒大海上帝景-一期-住宅区-3-205</t>
  </si>
  <si>
    <t>海南恒大海上帝景-一期-住宅区-3-207</t>
  </si>
  <si>
    <t>海南恒大海上帝景-一期-住宅区-3-301</t>
  </si>
  <si>
    <t>海南恒大海上帝景-一期-住宅区-3-702</t>
  </si>
  <si>
    <t>海南恒大海上帝景-一期-住宅区-3-1101</t>
  </si>
  <si>
    <t>海南恒大海上帝景-一期-住宅区-3-1102</t>
  </si>
  <si>
    <t>海南恒大海上帝景-一期-住宅区-3-1103</t>
  </si>
  <si>
    <t>海南恒大海上帝景-一期-住宅区-3-2006</t>
  </si>
  <si>
    <t>住宅区-4</t>
  </si>
  <si>
    <t>海南恒大海上帝景-一期-住宅区-4-201</t>
  </si>
  <si>
    <t>海南恒大海上帝景-一期-住宅区-4-203</t>
  </si>
  <si>
    <t>海南恒大海上帝景-一期-住宅区-4-205</t>
  </si>
  <si>
    <t>海南恒大海上帝景-一期-住宅区-4-207</t>
  </si>
  <si>
    <t>海南恒大海上帝景-一期-住宅区-4-303</t>
  </si>
  <si>
    <t>海南恒大海上帝景-一期-住宅区-4-305</t>
  </si>
  <si>
    <t>海南恒大海上帝景-一期-住宅区-4-707</t>
  </si>
  <si>
    <t>海南恒大海上帝景-一期-住宅区-4-2501</t>
  </si>
  <si>
    <t>海南恒大海上帝景-一期-住宅区-4-2502</t>
  </si>
  <si>
    <t>海南恒大海上帝景-一期-住宅区-4-2503</t>
  </si>
  <si>
    <t>海南恒大海上帝景-一期-住宅区-4-2602</t>
  </si>
  <si>
    <t>住宅区-5</t>
  </si>
  <si>
    <t>海南恒大海上帝景-一期-住宅区-5-201</t>
  </si>
  <si>
    <t>海南恒大海上帝景-一期-住宅区-5-202</t>
  </si>
  <si>
    <t>海南恒大海上帝景-一期-住宅区-5-203</t>
  </si>
  <si>
    <t>海南恒大海上帝景-一期-住宅区-5-205</t>
  </si>
  <si>
    <t>海南恒大海上帝景-一期-住宅区-5-301</t>
  </si>
  <si>
    <t>海南恒大海上帝景-一期-住宅区-5-302</t>
  </si>
  <si>
    <t>海南恒大海上帝景-一期-住宅区-5-303</t>
  </si>
  <si>
    <t>海南恒大海上帝景-一期-住宅区-5-503</t>
  </si>
  <si>
    <t>海南恒大海上帝景-一期-住宅区-5-701</t>
  </si>
  <si>
    <t>海南恒大海上帝景-一期-住宅区-5-703</t>
  </si>
  <si>
    <t>海南恒大海上帝景-一期-住宅区-5-802</t>
  </si>
  <si>
    <t>海南恒大海上帝景-一期-住宅区-5-803</t>
  </si>
  <si>
    <t>海南恒大海上帝景-一期-住宅区-5-1001</t>
  </si>
  <si>
    <t>海南恒大海上帝景-一期-住宅区-5-1102</t>
  </si>
  <si>
    <t>海南恒大海上帝景-一期-住宅区-5-1202</t>
  </si>
  <si>
    <t>海南恒大海上帝景-一期-住宅区-5-1501</t>
  </si>
  <si>
    <t>海南恒大海上帝景-一期-住宅区-5-1503</t>
  </si>
  <si>
    <t>海南恒大海上帝景-一期-住宅区-5-1603</t>
  </si>
  <si>
    <t>海南恒大海上帝景-一期-住宅区-5-1703</t>
  </si>
  <si>
    <t>海南恒大海上帝景-一期-住宅区-5-1803</t>
  </si>
  <si>
    <t>海南恒大海上帝景-一期-住宅区-5-2103</t>
  </si>
  <si>
    <t>海南恒大海上帝景-一期-住宅区-5-2303</t>
  </si>
  <si>
    <t>海南恒大海上帝景-一期-住宅区-5-2502</t>
  </si>
  <si>
    <t>海南恒大海上帝景-一期-住宅区-5-2601</t>
  </si>
  <si>
    <t>海南恒大海上帝景-一期-住宅区-5-2602</t>
  </si>
  <si>
    <t>住宅区-6</t>
  </si>
  <si>
    <t>海南恒大海上帝景-一期-住宅区-6-201</t>
  </si>
  <si>
    <t>海南恒大海上帝景-一期-住宅区-6-202</t>
  </si>
  <si>
    <t>海南恒大海上帝景-一期-住宅区-6-203</t>
  </si>
  <si>
    <t>海南恒大海上帝景-一期-住宅区-6-205</t>
  </si>
  <si>
    <t>海南恒大海上帝景-一期-住宅区-6-302</t>
  </si>
  <si>
    <t>海南恒大海上帝景-一期-住宅区-6-303</t>
  </si>
  <si>
    <t>海南恒大海上帝景-一期-住宅区-6-502</t>
  </si>
  <si>
    <t>海南恒大海上帝景-一期-住宅区-6-503</t>
  </si>
  <si>
    <t>海南恒大海上帝景-一期-住宅区-6-505</t>
  </si>
  <si>
    <t>海南恒大海上帝景-一期-住宅区-6-602</t>
  </si>
  <si>
    <t>海南恒大海上帝景-一期-住宅区-6-603</t>
  </si>
  <si>
    <t>海南恒大海上帝景-一期-住宅区-6-702</t>
  </si>
  <si>
    <t>海南恒大海上帝景-一期-住宅区-6-703</t>
  </si>
  <si>
    <t>海南恒大海上帝景-一期-住宅区-6-801</t>
  </si>
  <si>
    <t>海南恒大海上帝景-一期-住宅区-6-802</t>
  </si>
  <si>
    <t>海南恒大海上帝景-一期-住宅区-6-803</t>
  </si>
  <si>
    <t>海南恒大海上帝景-一期-住宅区-6-902</t>
  </si>
  <si>
    <t>海南恒大海上帝景-一期-住宅区-6-903</t>
  </si>
  <si>
    <t>海南恒大海上帝景-一期-住宅区-6-905</t>
  </si>
  <si>
    <t>海南恒大海上帝景-一期-住宅区-6-1002</t>
  </si>
  <si>
    <t>海南恒大海上帝景-一期-住宅区-6-1003</t>
  </si>
  <si>
    <t>海南恒大海上帝景-一期-住宅区-6-1005</t>
  </si>
  <si>
    <t>海南恒大海上帝景-一期-住宅区-6-1105</t>
  </si>
  <si>
    <t>海南恒大海上帝景-一期-住宅区-6-1205</t>
  </si>
  <si>
    <t>海南恒大海上帝景-一期-住宅区-6-1502</t>
  </si>
  <si>
    <t>海南恒大海上帝景-一期-住宅区-6-1503</t>
  </si>
  <si>
    <t>海南恒大海上帝景-一期-住宅区-6-1602</t>
  </si>
  <si>
    <t>海南恒大海上帝景-一期-住宅区-6-1603</t>
  </si>
  <si>
    <t>海南恒大海上帝景-一期-住宅区-6-1702</t>
  </si>
  <si>
    <t>海南恒大海上帝景-一期-住宅区-6-1703</t>
  </si>
  <si>
    <t>海南恒大海上帝景-一期-住宅区-6-1802</t>
  </si>
  <si>
    <t>海南恒大海上帝景-一期-住宅区-6-1805</t>
  </si>
  <si>
    <t>海南恒大海上帝景-一期-住宅区-6-1902</t>
  </si>
  <si>
    <t>海南恒大海上帝景-一期-住宅区-6-2102</t>
  </si>
  <si>
    <t>海南恒大海上帝景-一期-住宅区-6-2105</t>
  </si>
  <si>
    <t>海南恒大海上帝景-一期-住宅区-6-2203</t>
  </si>
  <si>
    <t>海南恒大海上帝景-一期-住宅区-6-2205</t>
  </si>
  <si>
    <t>海南恒大海上帝景-一期-住宅区-6-2305</t>
  </si>
  <si>
    <t>海南恒大海上帝景-一期-住宅区-6-2502</t>
  </si>
  <si>
    <t>海南恒大海上帝景-一期-住宅区-6-2503</t>
  </si>
  <si>
    <t>海南恒大海上帝景-一期-住宅区-6-2505</t>
  </si>
  <si>
    <t>海南恒大海上帝景-一期-住宅区-6-2602</t>
  </si>
  <si>
    <t>分摊土地面积</t>
    <phoneticPr fontId="143" type="noConversion"/>
  </si>
  <si>
    <t>楼层</t>
    <phoneticPr fontId="143" type="noConversion"/>
  </si>
  <si>
    <t>合计</t>
    <phoneticPr fontId="143" type="noConversion"/>
  </si>
  <si>
    <t>其余住宅</t>
    <phoneticPr fontId="7" type="noConversion"/>
  </si>
  <si>
    <t>是</t>
  </si>
  <si>
    <t>成新度</t>
  </si>
  <si>
    <t>收益法 (元)</t>
  </si>
  <si>
    <t>押一</t>
  </si>
  <si>
    <t>按租金收入计税</t>
  </si>
  <si>
    <t>钢混</t>
  </si>
  <si>
    <t>非生产用房</t>
  </si>
  <si>
    <t>否</t>
  </si>
  <si>
    <t>清水湾智汇城</t>
    <phoneticPr fontId="3" type="noConversion"/>
  </si>
  <si>
    <t>雅居乐</t>
    <phoneticPr fontId="3" type="noConversion"/>
  </si>
  <si>
    <t>碧桂园</t>
    <phoneticPr fontId="3" type="noConversion"/>
  </si>
  <si>
    <t>精装修</t>
    <phoneticPr fontId="3" type="noConversion"/>
  </si>
  <si>
    <t>普装</t>
    <phoneticPr fontId="3" type="noConversion"/>
  </si>
  <si>
    <t>简装</t>
    <phoneticPr fontId="3" type="noConversion"/>
  </si>
  <si>
    <t>毛坯</t>
    <phoneticPr fontId="3" type="noConversion"/>
  </si>
  <si>
    <t>钢混</t>
    <phoneticPr fontId="143" type="noConversion"/>
  </si>
  <si>
    <t>混合</t>
    <phoneticPr fontId="143" type="noConversion"/>
  </si>
  <si>
    <t>小高层</t>
    <phoneticPr fontId="3" type="noConversion"/>
  </si>
  <si>
    <t>高层</t>
    <phoneticPr fontId="3" type="noConversion"/>
  </si>
  <si>
    <t>高档</t>
    <phoneticPr fontId="3" type="noConversion"/>
  </si>
  <si>
    <t>中档</t>
    <phoneticPr fontId="3" type="noConversion"/>
  </si>
  <si>
    <t>七通</t>
  </si>
  <si>
    <t>六通</t>
  </si>
  <si>
    <t>五通</t>
  </si>
  <si>
    <t>四通</t>
  </si>
  <si>
    <t>三通</t>
  </si>
  <si>
    <t>较好</t>
  </si>
  <si>
    <t>高层</t>
  </si>
  <si>
    <t>住宅</t>
    <phoneticPr fontId="25" type="noConversion"/>
  </si>
  <si>
    <t>现房</t>
  </si>
  <si>
    <t>比较法-住宅</t>
  </si>
  <si>
    <t>收益还原</t>
  </si>
  <si>
    <t>居住项目</t>
  </si>
  <si>
    <t>无</t>
  </si>
  <si>
    <t>通路</t>
  </si>
  <si>
    <t>通电</t>
  </si>
  <si>
    <t>通讯</t>
  </si>
  <si>
    <t>通上水</t>
  </si>
  <si>
    <t>通下水</t>
  </si>
  <si>
    <t>燃气</t>
  </si>
  <si>
    <t>住宅</t>
    <phoneticPr fontId="7" type="noConversion"/>
  </si>
  <si>
    <t>洋房</t>
  </si>
  <si>
    <t>洋房</t>
    <phoneticPr fontId="3" type="noConversion"/>
  </si>
  <si>
    <t>低区</t>
  </si>
  <si>
    <t>低区</t>
    <phoneticPr fontId="25" type="noConversion"/>
  </si>
  <si>
    <t>中区</t>
  </si>
  <si>
    <t>中区</t>
    <phoneticPr fontId="25" type="noConversion"/>
  </si>
  <si>
    <t>高区</t>
  </si>
  <si>
    <t>高区</t>
    <phoneticPr fontId="25" type="noConversion"/>
  </si>
  <si>
    <t>楼层</t>
    <phoneticPr fontId="25" type="noConversion"/>
  </si>
  <si>
    <t>吴薇</t>
  </si>
  <si>
    <t>郑燚</t>
  </si>
  <si>
    <t>成本比率</t>
  </si>
  <si>
    <r>
      <t>住宅区</t>
    </r>
    <r>
      <rPr>
        <sz val="8"/>
        <color rgb="FF000000"/>
        <rFont val="Arial"/>
        <family val="2"/>
      </rPr>
      <t>-1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</si>
  <si>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</si>
  <si>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</si>
  <si>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</si>
  <si>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</si>
  <si>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</si>
  <si>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</si>
  <si>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</si>
  <si>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</si>
  <si>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</si>
  <si>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</si>
  <si>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</si>
  <si>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-1-901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</si>
  <si>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</si>
  <si>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</si>
  <si>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</si>
  <si>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</si>
  <si>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</si>
  <si>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</si>
  <si>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</si>
  <si>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</si>
  <si>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</si>
  <si>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</si>
  <si>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-1-1903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</si>
  <si>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</si>
  <si>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</si>
  <si>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</si>
  <si>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</si>
  <si>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</si>
  <si>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</si>
  <si>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</si>
  <si>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-1-2801</t>
    </r>
  </si>
  <si>
    <r>
      <t>住宅区</t>
    </r>
    <r>
      <rPr>
        <sz val="8"/>
        <color rgb="FF000000"/>
        <rFont val="Arial"/>
        <family val="2"/>
      </rPr>
      <t>-2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</si>
  <si>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</si>
  <si>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</si>
  <si>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</si>
  <si>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</si>
  <si>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</si>
  <si>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</si>
  <si>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</si>
  <si>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</si>
  <si>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</si>
  <si>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</si>
  <si>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</si>
  <si>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</si>
  <si>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</si>
  <si>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</si>
  <si>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</si>
  <si>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</si>
  <si>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</si>
  <si>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</si>
  <si>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-2-1003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</si>
  <si>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</si>
  <si>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</si>
  <si>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</si>
  <si>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-2-1705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</si>
  <si>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</si>
  <si>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</si>
  <si>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</si>
  <si>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</si>
  <si>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</si>
  <si>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</si>
  <si>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</si>
  <si>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</si>
  <si>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</si>
  <si>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</si>
  <si>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</si>
  <si>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-2-2701</t>
    </r>
  </si>
  <si>
    <r>
      <t>住宅区</t>
    </r>
    <r>
      <rPr>
        <sz val="8"/>
        <color rgb="FF000000"/>
        <rFont val="Arial"/>
        <family val="2"/>
      </rPr>
      <t>-3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</si>
  <si>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</si>
  <si>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</si>
  <si>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</si>
  <si>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</si>
  <si>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</si>
  <si>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</si>
  <si>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</si>
  <si>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</si>
  <si>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</si>
  <si>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</si>
  <si>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-3-2006</t>
    </r>
  </si>
  <si>
    <r>
      <t>住宅区</t>
    </r>
    <r>
      <rPr>
        <sz val="8"/>
        <color rgb="FF000000"/>
        <rFont val="Arial"/>
        <family val="2"/>
      </rPr>
      <t>-4</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</si>
  <si>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</si>
  <si>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</si>
  <si>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</si>
  <si>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</si>
  <si>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</si>
  <si>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</si>
  <si>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-4-707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</si>
  <si>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</si>
  <si>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</si>
  <si>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</si>
  <si>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-4-2602</t>
    </r>
  </si>
  <si>
    <r>
      <t>住宅区</t>
    </r>
    <r>
      <rPr>
        <sz val="8"/>
        <color rgb="FF000000"/>
        <rFont val="Arial"/>
        <family val="2"/>
      </rPr>
      <t>-5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</si>
  <si>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</si>
  <si>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</si>
  <si>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</si>
  <si>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</si>
  <si>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</si>
  <si>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</si>
  <si>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</si>
  <si>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</si>
  <si>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</si>
  <si>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</si>
  <si>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</si>
  <si>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</si>
  <si>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</si>
  <si>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</si>
  <si>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</si>
  <si>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</si>
  <si>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</si>
  <si>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</si>
  <si>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</si>
  <si>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</si>
  <si>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</si>
  <si>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</si>
  <si>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</si>
  <si>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</si>
  <si>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-5-2602</t>
    </r>
  </si>
  <si>
    <r>
      <t>住宅区</t>
    </r>
    <r>
      <rPr>
        <sz val="8"/>
        <color rgb="FF000000"/>
        <rFont val="Arial"/>
        <family val="2"/>
      </rPr>
      <t>-6</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</si>
  <si>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</si>
  <si>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</si>
  <si>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</si>
  <si>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</si>
  <si>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</si>
  <si>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</si>
  <si>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</si>
  <si>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</si>
  <si>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</si>
  <si>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</si>
  <si>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</si>
  <si>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</si>
  <si>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</si>
  <si>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</si>
  <si>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</si>
  <si>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</si>
  <si>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</si>
  <si>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</si>
  <si>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</si>
  <si>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</si>
  <si>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</si>
  <si>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</si>
  <si>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-6-1105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</si>
  <si>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</si>
  <si>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</si>
  <si>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</si>
  <si>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</si>
  <si>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</si>
  <si>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</si>
  <si>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</si>
  <si>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</si>
  <si>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-6-1805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</si>
  <si>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</si>
  <si>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</si>
  <si>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-6-2105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</si>
  <si>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</si>
  <si>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</si>
  <si>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</si>
  <si>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</si>
  <si>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</si>
  <si>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</si>
  <si>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-6-2602</t>
    </r>
  </si>
  <si>
    <t>单位：平方米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</si>
</sst>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8"/>
      <color rgb="FF000000"/>
      <name val="宋体"/>
      <family val="3"/>
      <charset val="134"/>
    </font>
    <font>
      <sz val="8"/>
      <color rgb="FF000000"/>
      <name val="Arial"/>
      <family val="2"/>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left" vertical="center"/>
    </xf>
    <xf numFmtId="0" fontId="0" fillId="0" borderId="1" xfId="0" applyBorder="1" applyAlignment="1">
      <alignment horizontal="left" vertical="center"/>
    </xf>
    <xf numFmtId="177" fontId="80" fillId="0" borderId="1" xfId="1" applyNumberFormat="1" applyFont="1" applyFill="1" applyBorder="1" applyAlignment="1" applyProtection="1">
      <alignment vertical="center"/>
      <protection locked="0" hidden="1"/>
    </xf>
    <xf numFmtId="0" fontId="254" fillId="0" borderId="1" xfId="0" applyFont="1" applyBorder="1" applyAlignment="1">
      <alignment horizontal="center" vertical="center"/>
    </xf>
    <xf numFmtId="0" fontId="254" fillId="0" borderId="1" xfId="0" applyNumberFormat="1" applyFont="1" applyBorder="1" applyAlignment="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255" fillId="0" borderId="82" xfId="0" applyFont="1" applyBorder="1" applyAlignment="1">
      <alignment horizontal="justify" vertical="center"/>
    </xf>
    <xf numFmtId="0" fontId="255" fillId="0" borderId="65" xfId="0" applyFont="1" applyBorder="1" applyAlignment="1">
      <alignment horizontal="justify" vertical="center"/>
    </xf>
    <xf numFmtId="0" fontId="256" fillId="0" borderId="81" xfId="0" applyFont="1" applyBorder="1" applyAlignment="1">
      <alignment horizontal="justify" vertical="center"/>
    </xf>
    <xf numFmtId="0" fontId="255" fillId="0" borderId="43" xfId="0" applyFont="1" applyBorder="1" applyAlignment="1">
      <alignment horizontal="justify" vertical="center"/>
    </xf>
    <xf numFmtId="0" fontId="256" fillId="0" borderId="43" xfId="0" applyFont="1" applyBorder="1" applyAlignment="1">
      <alignment horizontal="justify" vertical="center"/>
    </xf>
    <xf numFmtId="0" fontId="255" fillId="0" borderId="63" xfId="0" applyFont="1" applyBorder="1" applyAlignment="1">
      <alignment horizontal="justify" vertical="center"/>
    </xf>
    <xf numFmtId="0" fontId="255" fillId="0" borderId="64" xfId="0" applyFont="1" applyBorder="1" applyAlignment="1">
      <alignment horizontal="justify" vertical="center"/>
    </xf>
    <xf numFmtId="0" fontId="255" fillId="0" borderId="65" xfId="0" applyFont="1" applyBorder="1" applyAlignment="1">
      <alignment horizontal="justify" vertical="center"/>
    </xf>
    <xf numFmtId="0" fontId="257" fillId="0" borderId="0" xfId="0" applyFont="1" applyAlignment="1">
      <alignment horizontal="justify"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304800</xdr:colOff>
      <xdr:row>92</xdr:row>
      <xdr:rowOff>53340</xdr:rowOff>
    </xdr:from>
    <xdr:to>
      <xdr:col>21</xdr:col>
      <xdr:colOff>380533</xdr:colOff>
      <xdr:row>100</xdr:row>
      <xdr:rowOff>296761</xdr:rowOff>
    </xdr:to>
    <xdr:pic>
      <xdr:nvPicPr>
        <xdr:cNvPr id="2" name="图片 1"/>
        <xdr:cNvPicPr>
          <a:picLocks noChangeAspect="1"/>
        </xdr:cNvPicPr>
      </xdr:nvPicPr>
      <xdr:blipFill>
        <a:blip xmlns:r="http://schemas.openxmlformats.org/officeDocument/2006/relationships" r:embed="rId1"/>
        <a:stretch>
          <a:fillRect/>
        </a:stretch>
      </xdr:blipFill>
      <xdr:spPr>
        <a:xfrm>
          <a:off x="11849100" y="40980360"/>
          <a:ext cx="3733333" cy="3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估价对象为房地产，为所有。根据《国有土地使用证》[]，估价对象（分摊）出让国有建设用地使用权面积为7.71平方米，建筑面积为177.12平方米。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估价对象为房地产,属开发建设的居住项目，该项目尚在开发建设中。根据《国有土地使用证》[]，估价对象（分摊）出让国有建设用地使用权面积为7.71平方米，规划建筑面积为177.12平方米。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2019年8月12日（评估专业人员实地查勘之日）</v>
      </c>
    </row>
    <row r="13" spans="1:2" s="1592" customFormat="1">
      <c r="A13" s="1590" t="s">
        <v>1223</v>
      </c>
      <c r="B13" s="1591"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本次评估采用的主估价方法为比较法和收益法。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375</v>
      </c>
    </row>
    <row r="21" spans="1:2" s="1592" customFormat="1">
      <c r="A21" s="1590" t="s">
        <v>1231</v>
      </c>
      <c r="B21" s="1591">
        <f ca="1">'预评函-2'!D7</f>
        <v>21172</v>
      </c>
    </row>
    <row r="22" spans="1:2" s="1592" customFormat="1">
      <c r="A22" s="1590" t="s">
        <v>1232</v>
      </c>
      <c r="B22" s="1591" t="str">
        <f ca="1">'预评函-2'!D6</f>
        <v>叁佰柒拾伍万元整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375</v>
      </c>
    </row>
    <row r="31" spans="1:2" s="1592" customFormat="1">
      <c r="A31" s="1590" t="s">
        <v>1270</v>
      </c>
      <c r="B31" s="1591">
        <f ca="1">'预评函-2'!D15</f>
        <v>21172</v>
      </c>
    </row>
    <row r="32" spans="1:2" s="1592" customFormat="1">
      <c r="A32" s="1590" t="s">
        <v>1237</v>
      </c>
      <c r="B32" s="1591" t="str">
        <f ca="1">'预评函-2'!D14</f>
        <v>叁佰柒拾伍万元整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ht="31.2">
      <c r="A42" s="1590" t="s">
        <v>1284</v>
      </c>
      <c r="B42" s="1591" t="str">
        <f>'预评函-3'!B2</f>
        <v>建筑面积</v>
      </c>
    </row>
    <row r="43" spans="1:2" s="1592" customFormat="1">
      <c r="A43" s="1590" t="s">
        <v>1285</v>
      </c>
      <c r="B43" s="1591">
        <f>'预评函-3'!B4</f>
        <v>177.12</v>
      </c>
    </row>
    <row r="44" spans="1:2" s="1592" customFormat="1" ht="31.2">
      <c r="A44" s="1590" t="s">
        <v>1269</v>
      </c>
      <c r="B44" s="1591" t="str">
        <f>'预评函-3'!C2</f>
        <v>(分摊)土地面积</v>
      </c>
    </row>
    <row r="45" spans="1:2" s="1592" customFormat="1">
      <c r="A45" s="1590" t="s">
        <v>1241</v>
      </c>
      <c r="B45" s="1591">
        <f>'预评函-3'!C4</f>
        <v>7.71</v>
      </c>
    </row>
    <row r="46" spans="1:2" s="1592" customFormat="1">
      <c r="A46" s="1590" t="s">
        <v>1267</v>
      </c>
      <c r="B46" s="1591" t="str">
        <f>'预评函-3'!D2</f>
        <v>出让国有建设用地使用权价值</v>
      </c>
    </row>
    <row r="47" spans="1:2" s="1592" customFormat="1">
      <c r="A47" s="1590" t="s">
        <v>1242</v>
      </c>
      <c r="B47" s="1591">
        <f ca="1">'预评函-3'!D4</f>
        <v>56</v>
      </c>
    </row>
    <row r="48" spans="1:2" s="1592" customFormat="1">
      <c r="A48" s="1590" t="s">
        <v>1243</v>
      </c>
      <c r="B48" s="1591">
        <f ca="1">'预评函-3'!E4</f>
        <v>3162</v>
      </c>
    </row>
    <row r="49" spans="1:2" s="1592" customFormat="1">
      <c r="A49" s="1590" t="s">
        <v>1244</v>
      </c>
      <c r="B49" s="1591" t="str">
        <f ca="1">'预评函-3'!D5</f>
        <v>伍拾陆万元整</v>
      </c>
    </row>
    <row r="50" spans="1:2" s="1592" customFormat="1">
      <c r="A50" s="1590" t="s">
        <v>1268</v>
      </c>
      <c r="B50" s="1591" t="str">
        <f>'预评函-3'!F2</f>
        <v>在建建筑物价值</v>
      </c>
    </row>
    <row r="51" spans="1:2" s="1592" customFormat="1">
      <c r="A51" s="1590" t="s">
        <v>1245</v>
      </c>
      <c r="B51" s="1591">
        <f ca="1">'预评函-3'!F4</f>
        <v>319</v>
      </c>
    </row>
    <row r="52" spans="1:2" s="1592" customFormat="1">
      <c r="A52" s="1590" t="s">
        <v>1246</v>
      </c>
      <c r="B52" s="1591">
        <f ca="1">'预评函-3'!G4</f>
        <v>18010</v>
      </c>
    </row>
    <row r="53" spans="1:2" s="1592" customFormat="1">
      <c r="A53" s="1590" t="s">
        <v>1274</v>
      </c>
      <c r="B53" s="1591" t="str">
        <f ca="1">'预评函-3'!F5</f>
        <v>叁佰壹拾玖万元整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299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0" t="s">
        <v>861</v>
      </c>
      <c r="C54" s="2017" t="s">
        <v>1277</v>
      </c>
    </row>
    <row r="55" spans="1:4">
      <c r="A55" s="2996"/>
      <c r="B55" s="2020" t="s">
        <v>862</v>
      </c>
      <c r="C55" s="2017" t="s">
        <v>1278</v>
      </c>
    </row>
    <row r="56" spans="1:4">
      <c r="A56" s="2996"/>
      <c r="B56" s="2020" t="s">
        <v>863</v>
      </c>
      <c r="C56" s="2017" t="s">
        <v>1282</v>
      </c>
    </row>
    <row r="57" spans="1:4">
      <c r="A57" s="299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1" sqref="I11"/>
    </sheetView>
  </sheetViews>
  <sheetFormatPr defaultColWidth="10" defaultRowHeight="18" customHeight="1"/>
  <cols>
    <col min="1" max="1" width="14.88671875" style="2030" customWidth="1"/>
    <col min="2" max="2" width="11.88671875" style="2030" customWidth="1"/>
    <col min="3" max="3" width="11.44140625" style="2030" customWidth="1"/>
    <col min="4" max="4" width="13" style="2030" customWidth="1"/>
    <col min="5"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05" t="str">
        <f>IF(B10="北京市","北京市",C10)&amp;F10&amp;IF(结果表!G1="在建","出让国有建设用地使用权及在建建筑物",IF(结果表!G1="土地","出让国有建设用地使用权",))&amp;B9&amp;"预评估"</f>
        <v>房地产抵押价值预评估</v>
      </c>
      <c r="C1" s="3006"/>
      <c r="D1" s="3006"/>
      <c r="E1" s="3006"/>
      <c r="F1" s="3006"/>
      <c r="G1" s="3006"/>
      <c r="H1" s="3006"/>
      <c r="I1" s="30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v>43689</v>
      </c>
      <c r="C3" s="2035" t="s">
        <v>1774</v>
      </c>
      <c r="D3" s="2034">
        <f>B3</f>
        <v>43689</v>
      </c>
      <c r="E3" s="2024"/>
      <c r="F3" s="2024"/>
      <c r="G3" s="2024"/>
      <c r="H3" s="2024"/>
      <c r="I3" s="2024"/>
      <c r="J3" s="2024"/>
      <c r="K3" s="2025"/>
      <c r="L3" s="2026"/>
      <c r="M3" s="2026"/>
      <c r="N3" s="2027"/>
      <c r="O3" s="2028"/>
      <c r="P3" s="2027"/>
      <c r="Q3" s="2027"/>
      <c r="R3" s="2027"/>
      <c r="S3" s="2029"/>
    </row>
    <row r="4" spans="1:19" ht="18" customHeight="1" thickBot="1">
      <c r="A4" s="2036" t="s">
        <v>1775</v>
      </c>
      <c r="B4" s="2037" t="s">
        <v>3285</v>
      </c>
      <c r="C4" s="1037">
        <f ca="1">SUMIF(注册房地产估价师,B4,估价师及机构信息!B3:B24)</f>
        <v>1419970001</v>
      </c>
      <c r="D4" s="2037" t="s">
        <v>3286</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3055</v>
      </c>
      <c r="C8" s="2054"/>
      <c r="D8" s="3008" t="s">
        <v>1780</v>
      </c>
      <c r="E8" s="2055" t="s">
        <v>3056</v>
      </c>
      <c r="F8" s="2056"/>
      <c r="G8" s="2024"/>
      <c r="H8" s="2024"/>
      <c r="I8" s="2024"/>
      <c r="J8" s="2040"/>
      <c r="K8" s="2041"/>
      <c r="L8" s="2026"/>
      <c r="M8" s="2026"/>
      <c r="N8" s="2027"/>
      <c r="O8" s="2028"/>
      <c r="P8" s="2027"/>
      <c r="Q8" s="2027"/>
      <c r="R8" s="2027"/>
    </row>
    <row r="9" spans="1:19" ht="18" customHeight="1" thickBot="1">
      <c r="A9" s="2038" t="s">
        <v>1781</v>
      </c>
      <c r="B9" s="2057" t="s">
        <v>3056</v>
      </c>
      <c r="C9" s="2058"/>
      <c r="D9" s="3009"/>
      <c r="E9" s="2057" t="s">
        <v>70</v>
      </c>
      <c r="F9" s="2059"/>
      <c r="G9" s="2060"/>
      <c r="H9" s="2060"/>
      <c r="I9" s="2060"/>
      <c r="J9" s="2040"/>
      <c r="K9" s="2052"/>
      <c r="L9" s="2026"/>
      <c r="M9" s="2026"/>
      <c r="N9" s="2027"/>
      <c r="O9" s="2028"/>
      <c r="P9" s="2027"/>
      <c r="Q9" s="2027"/>
      <c r="R9" s="2027"/>
    </row>
    <row r="10" spans="1:19" ht="18" customHeight="1" thickTop="1">
      <c r="A10" s="2061" t="s">
        <v>1782</v>
      </c>
      <c r="B10" s="2062" t="s">
        <v>3057</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3059</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66557</v>
      </c>
      <c r="E13" s="2078"/>
      <c r="F13" s="2078"/>
      <c r="G13" s="2078"/>
      <c r="H13" s="2078"/>
      <c r="I13" s="1047"/>
      <c r="J13" s="2040"/>
      <c r="K13" s="2052"/>
      <c r="L13" s="2026"/>
      <c r="M13" s="2026"/>
      <c r="N13" s="2027"/>
      <c r="O13" s="2028"/>
      <c r="P13" s="2027"/>
      <c r="Q13" s="2027"/>
      <c r="R13" s="2027"/>
    </row>
    <row r="14" spans="1:19" ht="18" customHeight="1">
      <c r="A14" s="2075"/>
      <c r="B14" s="2076"/>
      <c r="C14" s="2077" t="s">
        <v>1794</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1795</v>
      </c>
      <c r="D15" s="1049">
        <f>IF(B12="出让",IF(D13="","",ROUNDDOWN(MIN((D13-$D$3)/365,D14),2)),D14)</f>
        <v>62.65</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15"/>
      <c r="C16" s="3016"/>
      <c r="D16" s="3017"/>
      <c r="E16" s="2084" t="s">
        <v>1797</v>
      </c>
      <c r="F16" s="3018"/>
      <c r="G16" s="3019"/>
      <c r="H16" s="3019"/>
      <c r="I16" s="3020"/>
      <c r="J16" s="2027"/>
      <c r="K16" s="2081"/>
      <c r="L16" s="2082"/>
      <c r="M16" s="2082"/>
      <c r="N16" s="2083"/>
      <c r="O16" s="2082"/>
      <c r="P16" s="2083"/>
      <c r="Q16" s="2027"/>
      <c r="R16" s="2027"/>
    </row>
    <row r="17" spans="1:22" ht="18" customHeight="1">
      <c r="A17" s="2085" t="s">
        <v>1798</v>
      </c>
      <c r="B17" s="2033" t="s">
        <v>1799</v>
      </c>
      <c r="C17" s="1054">
        <f>'数据-汇总表'!E3</f>
        <v>177.12</v>
      </c>
      <c r="D17" s="2086" t="s">
        <v>1800</v>
      </c>
      <c r="E17" s="3021" t="s">
        <v>1801</v>
      </c>
      <c r="F17" s="3022"/>
      <c r="G17" s="3022"/>
      <c r="H17" s="3022"/>
      <c r="I17" s="3023"/>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7.71</v>
      </c>
      <c r="D18" s="2089" t="s">
        <v>1800</v>
      </c>
      <c r="E18" s="3024" t="s">
        <v>1804</v>
      </c>
      <c r="F18" s="3025"/>
      <c r="G18" s="3025"/>
      <c r="H18" s="3025"/>
      <c r="I18" s="3026"/>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11" t="s">
        <v>1809</v>
      </c>
      <c r="C20" s="3012"/>
      <c r="D20" s="3013" t="s">
        <v>1810</v>
      </c>
      <c r="E20" s="3014"/>
      <c r="F20" s="2096" t="s">
        <v>1811</v>
      </c>
      <c r="G20" s="2040"/>
      <c r="H20" s="2040"/>
      <c r="I20" s="2040"/>
      <c r="J20" s="2040"/>
      <c r="K20" s="301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2998" t="s">
        <v>1824</v>
      </c>
      <c r="B27" s="2061" t="s">
        <v>1825</v>
      </c>
      <c r="C27" s="2118" t="s">
        <v>3267</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2998"/>
      <c r="B28" s="2033" t="s">
        <v>1826</v>
      </c>
      <c r="C28" s="2120" t="s">
        <v>3268</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2998"/>
      <c r="B29" s="2033" t="s">
        <v>1827</v>
      </c>
      <c r="C29" s="2123" t="s">
        <v>3242</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2999"/>
      <c r="B30" s="2033" t="s">
        <v>1828</v>
      </c>
      <c r="C30" s="3000"/>
      <c r="D30" s="300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02" t="s">
        <v>1829</v>
      </c>
      <c r="B31" s="2125" t="s">
        <v>3264</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0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0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t="s">
        <v>3269</v>
      </c>
      <c r="C34" s="2132" t="s">
        <v>3270</v>
      </c>
      <c r="D34" s="2132" t="s">
        <v>3271</v>
      </c>
      <c r="E34" s="2132" t="s">
        <v>3272</v>
      </c>
      <c r="F34" s="2132" t="s">
        <v>3273</v>
      </c>
      <c r="G34" s="2132" t="s">
        <v>3274</v>
      </c>
      <c r="H34" s="2132"/>
      <c r="I34" s="2040"/>
      <c r="J34" s="2040"/>
      <c r="K34" s="1794">
        <f>COUNTIF(B34:H34,"——")</f>
        <v>0</v>
      </c>
      <c r="L34" s="2073" t="s">
        <v>1831</v>
      </c>
      <c r="M34" s="2073" t="s">
        <v>1832</v>
      </c>
      <c r="N34" s="2073" t="s">
        <v>1833</v>
      </c>
      <c r="O34" s="2073" t="s">
        <v>1834</v>
      </c>
      <c r="P34" s="2073" t="s">
        <v>1835</v>
      </c>
      <c r="Q34" s="2073" t="s">
        <v>1836</v>
      </c>
      <c r="R34" s="2073" t="s">
        <v>1837</v>
      </c>
      <c r="S34" s="2997" t="s">
        <v>1838</v>
      </c>
      <c r="T34" s="2133" t="str">
        <f>NUMBERSTRING(7-K34,1)&amp;"通"</f>
        <v>七通</v>
      </c>
      <c r="U34" s="2027"/>
      <c r="V34" s="2027"/>
    </row>
    <row r="35" spans="1:22" ht="18" customHeight="1">
      <c r="A35" s="2134"/>
      <c r="B35" s="3004" t="s">
        <v>1839</v>
      </c>
      <c r="C35" s="3004"/>
      <c r="D35" s="3004"/>
      <c r="E35" s="3004"/>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7"/>
      <c r="T35" s="48" t="str">
        <f>IF(T34="一通",L35,IF(T34="二通",M35,IF(T34="三通",N35,IF(T34="四通",O35,IF(T34="五通",P35,IF(T34="六通",Q35,R35))))))</f>
        <v>通路、通电、通讯、通上水、通下水、燃气、</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O13" activePane="bottomRight" state="frozen"/>
      <selection activeCell="C50" sqref="C50"/>
      <selection pane="topRight" activeCell="C50" sqref="C50"/>
      <selection pane="bottomLeft" activeCell="C50" sqref="C50"/>
      <selection pane="bottomRight" activeCell="AY4" sqref="AY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面积表!F158</f>
        <v>1241.6299999999987</v>
      </c>
      <c r="B3" s="14">
        <f>IF(C3="否",G5-AT5,G5)</f>
        <v>26597.459999999995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f>面积表!F3</f>
        <v>7.71</v>
      </c>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1875</v>
      </c>
      <c r="B5" s="1802"/>
      <c r="C5" s="1802"/>
      <c r="D5" s="1805"/>
      <c r="E5" s="16" t="s">
        <v>1</v>
      </c>
      <c r="F5" s="16">
        <f>SUM(F13:F587)</f>
        <v>0</v>
      </c>
      <c r="G5" s="16">
        <f>SUM(G13:G587)</f>
        <v>26597.459999999995</v>
      </c>
      <c r="H5" s="16">
        <f t="shared" ref="H5:AT5" si="0">SUM(H13:H656)</f>
        <v>26597.459999999995</v>
      </c>
      <c r="I5" s="16">
        <f t="shared" si="0"/>
        <v>26597.459999999995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177.12</v>
      </c>
      <c r="BA5" s="18">
        <f t="shared" si="1"/>
        <v>177.12</v>
      </c>
      <c r="BB5" s="18">
        <f t="shared" si="1"/>
        <v>177.12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1876</v>
      </c>
      <c r="B6" s="2173"/>
      <c r="C6" s="2173"/>
      <c r="D6" s="2174"/>
      <c r="E6" s="16">
        <f>H6+AC6+AT6</f>
        <v>1241.6300000000001</v>
      </c>
      <c r="F6" s="16" t="s">
        <v>1</v>
      </c>
      <c r="G6" s="16" t="s">
        <v>2</v>
      </c>
      <c r="H6" s="20">
        <f>SUMIF(I$12:AB$12,"总值",I6:AB6)</f>
        <v>1241.6300000000001</v>
      </c>
      <c r="I6" s="16">
        <f t="shared" ref="I6:AB6" si="2">ROUND($A$3*I5/$B$3,2)</f>
        <v>1241.6300000000001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7.71</v>
      </c>
      <c r="AZ6" s="16" t="s">
        <v>3</v>
      </c>
      <c r="BA6" s="16">
        <f>ROUND($AY$6*BA5/$AZ$5,2)</f>
        <v>7.71</v>
      </c>
      <c r="BB6" s="16">
        <f>ROUND($AY$6*BB5/$AZ$5,2)</f>
        <v>7.71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1895</v>
      </c>
      <c r="I9" s="2190" t="s">
        <v>3061</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7"/>
      <c r="BN9" s="2184"/>
      <c r="BO9" s="1817"/>
      <c r="BP9" s="1817"/>
      <c r="BQ9" s="1817"/>
      <c r="BR9" s="1817"/>
      <c r="BS9" s="1817"/>
      <c r="BT9" s="26"/>
    </row>
    <row r="10" spans="1:72" s="2188" customFormat="1" ht="13.2">
      <c r="A10" s="2181"/>
      <c r="B10" s="2181"/>
      <c r="C10" s="2181"/>
      <c r="D10" s="2181"/>
      <c r="E10" s="2181"/>
      <c r="F10" s="2181"/>
      <c r="G10" s="1291"/>
      <c r="H10" s="28"/>
      <c r="I10" s="2190" t="s">
        <v>3062</v>
      </c>
      <c r="J10" s="981"/>
      <c r="K10" s="2196"/>
      <c r="L10" s="981"/>
      <c r="M10" s="2196"/>
      <c r="N10" s="981"/>
      <c r="O10" s="2196"/>
      <c r="P10" s="981"/>
      <c r="Q10" s="2196"/>
      <c r="R10" s="981"/>
      <c r="S10" s="2196"/>
      <c r="T10" s="981"/>
      <c r="U10" s="2196"/>
      <c r="V10" s="981"/>
      <c r="W10" s="2196"/>
      <c r="X10" s="981"/>
      <c r="Y10" s="2196"/>
      <c r="Z10" s="981"/>
      <c r="AA10" s="2196"/>
      <c r="AB10" s="981"/>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t="s">
        <v>3063</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平层住宅</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3282"/>
      <c r="B13" s="1271"/>
      <c r="C13" s="1271" t="s">
        <v>3060</v>
      </c>
      <c r="D13" s="2212" t="s">
        <v>3235</v>
      </c>
      <c r="E13" s="16">
        <f>IF($C$3="是",ROUND($A$3*G13/$B$3,2),ROUND($A$3*(G13-AT13)/$B$3,2))</f>
        <v>8.27</v>
      </c>
      <c r="F13" s="32"/>
      <c r="G13" s="33">
        <f>H13+AC13+AT13</f>
        <v>177.12</v>
      </c>
      <c r="H13" s="20">
        <f>SUMIF(I$12:AB$12,"总值",I13:AB13)</f>
        <v>177.12</v>
      </c>
      <c r="I13" s="2213">
        <v>177.12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1-202</v>
      </c>
      <c r="AY13" s="1805">
        <f>ROUND($AY$6*AZ13/$AZ$5,2)</f>
        <v>7.71</v>
      </c>
      <c r="AZ13" s="16">
        <f>BA13+BL13</f>
        <v>177.12</v>
      </c>
      <c r="BA13" s="16">
        <f>SUM(BB13:BK13)</f>
        <v>177.12</v>
      </c>
      <c r="BB13" s="16">
        <f>IF($D13="是",I13-J13,0)</f>
        <v>177.12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2152"/>
      <c r="D14" s="2212" t="s">
        <v>3242</v>
      </c>
      <c r="E14" s="16">
        <f>IF($C$3="是",ROUND($A$3*G14/$B$3,2),ROUND($A$3*(G14-AT14)/$B$3,2))</f>
        <v>1233.3599999999999</v>
      </c>
      <c r="F14" s="32"/>
      <c r="G14" s="33">
        <f>H14+AC14+AT14</f>
        <v>26420.339999999997</v>
      </c>
      <c r="H14" s="20">
        <f>SUMIF(I$12:AB$12,"总值",I14:AB14)</f>
        <v>26420.339999999997</v>
      </c>
      <c r="I14" s="2213">
        <f>面积表!E158-I13</f>
        <v>26420.339999999997</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59"/>
  <sheetViews>
    <sheetView tabSelected="1" topLeftCell="B1" workbookViewId="0">
      <pane xSplit="1" ySplit="2" topLeftCell="C3" activePane="bottomRight" state="frozen"/>
      <selection activeCell="B1" sqref="B1"/>
      <selection pane="topRight" activeCell="C1" sqref="C1"/>
      <selection pane="bottomLeft" activeCell="B3" sqref="B3"/>
      <selection pane="bottomRight" activeCell="O158" sqref="K2:O158"/>
    </sheetView>
  </sheetViews>
  <sheetFormatPr defaultRowHeight="14.4"/>
  <cols>
    <col min="1" max="1" width="4.77734375" customWidth="1"/>
    <col min="4" max="4" width="39.21875" customWidth="1"/>
    <col min="5" max="5" width="9.88671875" customWidth="1"/>
    <col min="6" max="6" width="13.88671875" bestFit="1" customWidth="1"/>
    <col min="9" max="9" width="11.6640625" bestFit="1" customWidth="1"/>
  </cols>
  <sheetData>
    <row r="1" spans="1:15" ht="15" thickBot="1"/>
    <row r="2" spans="1:15" ht="15" thickBot="1">
      <c r="A2" s="3285" t="s">
        <v>3065</v>
      </c>
      <c r="B2" s="3285" t="s">
        <v>3066</v>
      </c>
      <c r="C2" s="3285" t="s">
        <v>3067</v>
      </c>
      <c r="D2" s="3285" t="s">
        <v>3068</v>
      </c>
      <c r="E2" s="3285" t="s">
        <v>3069</v>
      </c>
      <c r="F2" s="3287" t="s">
        <v>3231</v>
      </c>
      <c r="G2" s="3288" t="s">
        <v>3232</v>
      </c>
      <c r="H2" s="3283" t="s">
        <v>3064</v>
      </c>
      <c r="I2" s="3284">
        <v>41608</v>
      </c>
      <c r="K2" s="3306" t="s">
        <v>3065</v>
      </c>
      <c r="L2" s="3307" t="s">
        <v>3066</v>
      </c>
      <c r="M2" s="3307" t="s">
        <v>3067</v>
      </c>
      <c r="N2" s="3307" t="s">
        <v>3068</v>
      </c>
      <c r="O2" s="3307" t="s">
        <v>3069</v>
      </c>
    </row>
    <row r="3" spans="1:15" ht="30.6" thickBot="1">
      <c r="A3" s="3285">
        <v>1</v>
      </c>
      <c r="B3" s="3285" t="s">
        <v>3070</v>
      </c>
      <c r="C3" s="3286">
        <v>202</v>
      </c>
      <c r="D3" s="3285" t="s">
        <v>3071</v>
      </c>
      <c r="E3" s="3285">
        <v>177.12</v>
      </c>
      <c r="F3" s="3285">
        <v>7.71</v>
      </c>
      <c r="G3" s="3289">
        <v>2</v>
      </c>
      <c r="K3" s="3308">
        <v>1</v>
      </c>
      <c r="L3" s="3309" t="s">
        <v>3288</v>
      </c>
      <c r="M3" s="3310">
        <v>202</v>
      </c>
      <c r="N3" s="3309" t="s">
        <v>3289</v>
      </c>
      <c r="O3" s="3310">
        <v>177.12</v>
      </c>
    </row>
    <row r="4" spans="1:15" ht="30.6" thickBot="1">
      <c r="A4" s="3285">
        <v>2</v>
      </c>
      <c r="B4" s="3285" t="s">
        <v>3070</v>
      </c>
      <c r="C4" s="3286">
        <v>203</v>
      </c>
      <c r="D4" s="3285" t="s">
        <v>3072</v>
      </c>
      <c r="E4" s="3285">
        <v>177.12</v>
      </c>
      <c r="F4" s="3285">
        <v>7.71</v>
      </c>
      <c r="G4" s="3289">
        <v>2</v>
      </c>
      <c r="K4" s="3308">
        <v>2</v>
      </c>
      <c r="L4" s="3309" t="s">
        <v>3288</v>
      </c>
      <c r="M4" s="3310">
        <v>203</v>
      </c>
      <c r="N4" s="3309" t="s">
        <v>3290</v>
      </c>
      <c r="O4" s="3310">
        <v>177.12</v>
      </c>
    </row>
    <row r="5" spans="1:15" ht="30.6" thickBot="1">
      <c r="A5" s="3285">
        <v>3</v>
      </c>
      <c r="B5" s="3285" t="s">
        <v>3070</v>
      </c>
      <c r="C5" s="3286">
        <v>205</v>
      </c>
      <c r="D5" s="3285" t="s">
        <v>3073</v>
      </c>
      <c r="E5" s="3285">
        <v>146</v>
      </c>
      <c r="F5" s="3285">
        <v>6.36</v>
      </c>
      <c r="G5" s="3289">
        <v>2</v>
      </c>
      <c r="K5" s="3308">
        <v>3</v>
      </c>
      <c r="L5" s="3309" t="s">
        <v>3288</v>
      </c>
      <c r="M5" s="3310">
        <v>205</v>
      </c>
      <c r="N5" s="3309" t="s">
        <v>3291</v>
      </c>
      <c r="O5" s="3310">
        <v>146</v>
      </c>
    </row>
    <row r="6" spans="1:15" ht="30.6" thickBot="1">
      <c r="A6" s="3285">
        <v>4</v>
      </c>
      <c r="B6" s="3285" t="s">
        <v>3070</v>
      </c>
      <c r="C6" s="3286">
        <v>301</v>
      </c>
      <c r="D6" s="3285" t="s">
        <v>3074</v>
      </c>
      <c r="E6" s="3285">
        <v>144.38</v>
      </c>
      <c r="F6" s="3285">
        <v>6.29</v>
      </c>
      <c r="G6" s="3285">
        <v>3</v>
      </c>
      <c r="K6" s="3308">
        <v>4</v>
      </c>
      <c r="L6" s="3309" t="s">
        <v>3288</v>
      </c>
      <c r="M6" s="3310">
        <v>301</v>
      </c>
      <c r="N6" s="3309" t="s">
        <v>3292</v>
      </c>
      <c r="O6" s="3310">
        <v>144.38</v>
      </c>
    </row>
    <row r="7" spans="1:15" ht="30.6" thickBot="1">
      <c r="A7" s="3285">
        <v>5</v>
      </c>
      <c r="B7" s="3285" t="s">
        <v>3070</v>
      </c>
      <c r="C7" s="3286">
        <v>305</v>
      </c>
      <c r="D7" s="3285" t="s">
        <v>3075</v>
      </c>
      <c r="E7" s="3285">
        <v>146.88999999999999</v>
      </c>
      <c r="F7" s="3285">
        <v>6.39</v>
      </c>
      <c r="G7" s="3289">
        <v>3</v>
      </c>
      <c r="K7" s="3308">
        <v>5</v>
      </c>
      <c r="L7" s="3309" t="s">
        <v>3288</v>
      </c>
      <c r="M7" s="3310">
        <v>305</v>
      </c>
      <c r="N7" s="3309" t="s">
        <v>3293</v>
      </c>
      <c r="O7" s="3310">
        <v>146.88999999999999</v>
      </c>
    </row>
    <row r="8" spans="1:15" ht="30.6" thickBot="1">
      <c r="A8" s="3285">
        <v>6</v>
      </c>
      <c r="B8" s="3285" t="s">
        <v>3070</v>
      </c>
      <c r="C8" s="3286">
        <v>501</v>
      </c>
      <c r="D8" s="3285" t="s">
        <v>3076</v>
      </c>
      <c r="E8" s="3285">
        <v>144.41999999999999</v>
      </c>
      <c r="F8" s="3285">
        <v>6.29</v>
      </c>
      <c r="G8" s="3289">
        <v>4</v>
      </c>
      <c r="K8" s="3308">
        <v>6</v>
      </c>
      <c r="L8" s="3309" t="s">
        <v>3288</v>
      </c>
      <c r="M8" s="3310">
        <v>501</v>
      </c>
      <c r="N8" s="3309" t="s">
        <v>3294</v>
      </c>
      <c r="O8" s="3310">
        <v>144.41999999999999</v>
      </c>
    </row>
    <row r="9" spans="1:15" ht="30.6" thickBot="1">
      <c r="A9" s="3285">
        <v>7</v>
      </c>
      <c r="B9" s="3285" t="s">
        <v>3070</v>
      </c>
      <c r="C9" s="3286">
        <v>502</v>
      </c>
      <c r="D9" s="3285" t="s">
        <v>3077</v>
      </c>
      <c r="E9" s="3285">
        <v>176.86</v>
      </c>
      <c r="F9" s="3285">
        <v>7.7</v>
      </c>
      <c r="G9" s="3285">
        <v>4</v>
      </c>
      <c r="K9" s="3308">
        <v>7</v>
      </c>
      <c r="L9" s="3309" t="s">
        <v>3288</v>
      </c>
      <c r="M9" s="3310">
        <v>502</v>
      </c>
      <c r="N9" s="3309" t="s">
        <v>3295</v>
      </c>
      <c r="O9" s="3310">
        <v>176.86</v>
      </c>
    </row>
    <row r="10" spans="1:15" ht="30.6" thickBot="1">
      <c r="A10" s="3285">
        <v>8</v>
      </c>
      <c r="B10" s="3285" t="s">
        <v>3070</v>
      </c>
      <c r="C10" s="3286">
        <v>602</v>
      </c>
      <c r="D10" s="3285" t="s">
        <v>3078</v>
      </c>
      <c r="E10" s="3285">
        <v>176.68</v>
      </c>
      <c r="F10" s="3285">
        <v>7.69</v>
      </c>
      <c r="G10" s="3289">
        <v>5</v>
      </c>
      <c r="K10" s="3308">
        <v>8</v>
      </c>
      <c r="L10" s="3309" t="s">
        <v>3288</v>
      </c>
      <c r="M10" s="3310">
        <v>602</v>
      </c>
      <c r="N10" s="3309" t="s">
        <v>3296</v>
      </c>
      <c r="O10" s="3310">
        <v>176.68</v>
      </c>
    </row>
    <row r="11" spans="1:15" ht="30.6" thickBot="1">
      <c r="A11" s="3285">
        <v>9</v>
      </c>
      <c r="B11" s="3285" t="s">
        <v>3070</v>
      </c>
      <c r="C11" s="3286">
        <v>603</v>
      </c>
      <c r="D11" s="3285" t="s">
        <v>3079</v>
      </c>
      <c r="E11" s="3285">
        <v>176.68</v>
      </c>
      <c r="F11" s="3285">
        <v>7.69</v>
      </c>
      <c r="G11" s="3285">
        <v>5</v>
      </c>
      <c r="K11" s="3308">
        <v>9</v>
      </c>
      <c r="L11" s="3309" t="s">
        <v>3288</v>
      </c>
      <c r="M11" s="3310">
        <v>603</v>
      </c>
      <c r="N11" s="3309" t="s">
        <v>3297</v>
      </c>
      <c r="O11" s="3310">
        <v>176.68</v>
      </c>
    </row>
    <row r="12" spans="1:15" ht="30.6" thickBot="1">
      <c r="A12" s="3285">
        <v>10</v>
      </c>
      <c r="B12" s="3285" t="s">
        <v>3070</v>
      </c>
      <c r="C12" s="3286">
        <v>701</v>
      </c>
      <c r="D12" s="3285" t="s">
        <v>3080</v>
      </c>
      <c r="E12" s="3285">
        <v>145.59</v>
      </c>
      <c r="F12" s="3285">
        <v>6.34</v>
      </c>
      <c r="G12" s="3285">
        <v>6</v>
      </c>
      <c r="K12" s="3308">
        <v>10</v>
      </c>
      <c r="L12" s="3309" t="s">
        <v>3288</v>
      </c>
      <c r="M12" s="3310">
        <v>701</v>
      </c>
      <c r="N12" s="3309" t="s">
        <v>3298</v>
      </c>
      <c r="O12" s="3310">
        <v>145.59</v>
      </c>
    </row>
    <row r="13" spans="1:15" ht="30.6" thickBot="1">
      <c r="A13" s="3285">
        <v>11</v>
      </c>
      <c r="B13" s="3285" t="s">
        <v>3070</v>
      </c>
      <c r="C13" s="3286">
        <v>801</v>
      </c>
      <c r="D13" s="3285" t="s">
        <v>3081</v>
      </c>
      <c r="E13" s="3285">
        <v>145.34</v>
      </c>
      <c r="F13" s="3285">
        <v>6.33</v>
      </c>
      <c r="G13" s="3285">
        <v>7</v>
      </c>
      <c r="K13" s="3308">
        <v>11</v>
      </c>
      <c r="L13" s="3309" t="s">
        <v>3288</v>
      </c>
      <c r="M13" s="3310">
        <v>801</v>
      </c>
      <c r="N13" s="3309" t="s">
        <v>3299</v>
      </c>
      <c r="O13" s="3310">
        <v>145.34</v>
      </c>
    </row>
    <row r="14" spans="1:15" ht="30.6" thickBot="1">
      <c r="A14" s="3285">
        <v>12</v>
      </c>
      <c r="B14" s="3285" t="s">
        <v>3070</v>
      </c>
      <c r="C14" s="3286">
        <v>901</v>
      </c>
      <c r="D14" s="3285" t="s">
        <v>3082</v>
      </c>
      <c r="E14" s="3285">
        <v>145.16</v>
      </c>
      <c r="F14" s="3285">
        <v>6.32</v>
      </c>
      <c r="G14" s="3285">
        <v>8</v>
      </c>
      <c r="K14" s="3308">
        <v>12</v>
      </c>
      <c r="L14" s="3309" t="s">
        <v>3288</v>
      </c>
      <c r="M14" s="3310">
        <v>901</v>
      </c>
      <c r="N14" s="3309" t="s">
        <v>3300</v>
      </c>
      <c r="O14" s="3310">
        <v>145.16</v>
      </c>
    </row>
    <row r="15" spans="1:15" ht="30.6" thickBot="1">
      <c r="A15" s="3285">
        <v>13</v>
      </c>
      <c r="B15" s="3285" t="s">
        <v>3070</v>
      </c>
      <c r="C15" s="3286">
        <v>902</v>
      </c>
      <c r="D15" s="3285" t="s">
        <v>3083</v>
      </c>
      <c r="E15" s="3285">
        <v>176.45</v>
      </c>
      <c r="F15" s="3285">
        <v>7.68</v>
      </c>
      <c r="G15" s="3285">
        <v>8</v>
      </c>
      <c r="K15" s="3308">
        <v>13</v>
      </c>
      <c r="L15" s="3309" t="s">
        <v>3288</v>
      </c>
      <c r="M15" s="3310">
        <v>902</v>
      </c>
      <c r="N15" s="3309" t="s">
        <v>3301</v>
      </c>
      <c r="O15" s="3310">
        <v>176.45</v>
      </c>
    </row>
    <row r="16" spans="1:15" ht="40.799999999999997" thickBot="1">
      <c r="A16" s="3285">
        <v>14</v>
      </c>
      <c r="B16" s="3285" t="s">
        <v>3070</v>
      </c>
      <c r="C16" s="3286">
        <v>1001</v>
      </c>
      <c r="D16" s="3285" t="s">
        <v>3084</v>
      </c>
      <c r="E16" s="3285">
        <v>145.02000000000001</v>
      </c>
      <c r="F16" s="3285">
        <v>6.31</v>
      </c>
      <c r="G16" s="3285">
        <v>9</v>
      </c>
      <c r="K16" s="3308">
        <v>14</v>
      </c>
      <c r="L16" s="3309" t="s">
        <v>3288</v>
      </c>
      <c r="M16" s="3310">
        <v>1001</v>
      </c>
      <c r="N16" s="3309" t="s">
        <v>3302</v>
      </c>
      <c r="O16" s="3310">
        <v>145.02000000000001</v>
      </c>
    </row>
    <row r="17" spans="1:15" ht="40.799999999999997" thickBot="1">
      <c r="A17" s="3285">
        <v>15</v>
      </c>
      <c r="B17" s="3285" t="s">
        <v>3070</v>
      </c>
      <c r="C17" s="3286">
        <v>1102</v>
      </c>
      <c r="D17" s="3285" t="s">
        <v>3085</v>
      </c>
      <c r="E17" s="3285">
        <v>176.4</v>
      </c>
      <c r="F17" s="3285">
        <v>7.68</v>
      </c>
      <c r="G17" s="3285">
        <v>10</v>
      </c>
      <c r="K17" s="3308">
        <v>15</v>
      </c>
      <c r="L17" s="3309" t="s">
        <v>3288</v>
      </c>
      <c r="M17" s="3310">
        <v>1102</v>
      </c>
      <c r="N17" s="3309" t="s">
        <v>3303</v>
      </c>
      <c r="O17" s="3310">
        <v>176.4</v>
      </c>
    </row>
    <row r="18" spans="1:15" ht="40.799999999999997" thickBot="1">
      <c r="A18" s="3285">
        <v>16</v>
      </c>
      <c r="B18" s="3285" t="s">
        <v>3070</v>
      </c>
      <c r="C18" s="3286">
        <v>1201</v>
      </c>
      <c r="D18" s="3285" t="s">
        <v>3086</v>
      </c>
      <c r="E18" s="3285">
        <v>144.82</v>
      </c>
      <c r="F18" s="3285">
        <v>6.3</v>
      </c>
      <c r="G18" s="3289">
        <v>11</v>
      </c>
      <c r="K18" s="3308">
        <v>16</v>
      </c>
      <c r="L18" s="3309" t="s">
        <v>3288</v>
      </c>
      <c r="M18" s="3310">
        <v>1201</v>
      </c>
      <c r="N18" s="3309" t="s">
        <v>3304</v>
      </c>
      <c r="O18" s="3310">
        <v>144.82</v>
      </c>
    </row>
    <row r="19" spans="1:15" ht="40.799999999999997" thickBot="1">
      <c r="A19" s="3285">
        <v>17</v>
      </c>
      <c r="B19" s="3285" t="s">
        <v>3070</v>
      </c>
      <c r="C19" s="3286">
        <v>1202</v>
      </c>
      <c r="D19" s="3285" t="s">
        <v>3087</v>
      </c>
      <c r="E19" s="3285">
        <v>176.4</v>
      </c>
      <c r="F19" s="3285">
        <v>7.68</v>
      </c>
      <c r="G19" s="3285">
        <v>11</v>
      </c>
      <c r="K19" s="3308">
        <v>17</v>
      </c>
      <c r="L19" s="3309" t="s">
        <v>3288</v>
      </c>
      <c r="M19" s="3310">
        <v>1202</v>
      </c>
      <c r="N19" s="3309" t="s">
        <v>3305</v>
      </c>
      <c r="O19" s="3310">
        <v>176.4</v>
      </c>
    </row>
    <row r="20" spans="1:15" ht="40.799999999999997" thickBot="1">
      <c r="A20" s="3285">
        <v>18</v>
      </c>
      <c r="B20" s="3285" t="s">
        <v>3070</v>
      </c>
      <c r="C20" s="3286">
        <v>1502</v>
      </c>
      <c r="D20" s="3285" t="s">
        <v>3088</v>
      </c>
      <c r="E20" s="3285">
        <v>176.43</v>
      </c>
      <c r="F20" s="3285">
        <v>7.68</v>
      </c>
      <c r="G20" s="3285">
        <v>12</v>
      </c>
      <c r="K20" s="3308">
        <v>18</v>
      </c>
      <c r="L20" s="3309" t="s">
        <v>3288</v>
      </c>
      <c r="M20" s="3310">
        <v>1502</v>
      </c>
      <c r="N20" s="3309" t="s">
        <v>3306</v>
      </c>
      <c r="O20" s="3310">
        <v>176.43</v>
      </c>
    </row>
    <row r="21" spans="1:15" ht="40.799999999999997" thickBot="1">
      <c r="A21" s="3285">
        <v>19</v>
      </c>
      <c r="B21" s="3285" t="s">
        <v>3070</v>
      </c>
      <c r="C21" s="3286">
        <v>1601</v>
      </c>
      <c r="D21" s="3285" t="s">
        <v>3089</v>
      </c>
      <c r="E21" s="3285">
        <v>144.75</v>
      </c>
      <c r="F21" s="3285">
        <v>6.3</v>
      </c>
      <c r="G21" s="3285">
        <v>13</v>
      </c>
      <c r="K21" s="3308">
        <v>19</v>
      </c>
      <c r="L21" s="3309" t="s">
        <v>3288</v>
      </c>
      <c r="M21" s="3310">
        <v>1601</v>
      </c>
      <c r="N21" s="3309" t="s">
        <v>3307</v>
      </c>
      <c r="O21" s="3310">
        <v>144.75</v>
      </c>
    </row>
    <row r="22" spans="1:15" ht="40.799999999999997" thickBot="1">
      <c r="A22" s="3285">
        <v>20</v>
      </c>
      <c r="B22" s="3285" t="s">
        <v>3070</v>
      </c>
      <c r="C22" s="3286">
        <v>1702</v>
      </c>
      <c r="D22" s="3285" t="s">
        <v>3090</v>
      </c>
      <c r="E22" s="3285">
        <v>176.53</v>
      </c>
      <c r="F22" s="3285">
        <v>7.68</v>
      </c>
      <c r="G22" s="3289">
        <v>14</v>
      </c>
      <c r="K22" s="3308">
        <v>20</v>
      </c>
      <c r="L22" s="3309" t="s">
        <v>3288</v>
      </c>
      <c r="M22" s="3310">
        <v>1702</v>
      </c>
      <c r="N22" s="3309" t="s">
        <v>3308</v>
      </c>
      <c r="O22" s="3310">
        <v>176.53</v>
      </c>
    </row>
    <row r="23" spans="1:15" ht="40.799999999999997" thickBot="1">
      <c r="A23" s="3285">
        <v>21</v>
      </c>
      <c r="B23" s="3285" t="s">
        <v>3070</v>
      </c>
      <c r="C23" s="3286">
        <v>1801</v>
      </c>
      <c r="D23" s="3285" t="s">
        <v>3091</v>
      </c>
      <c r="E23" s="3285">
        <v>144.75</v>
      </c>
      <c r="F23" s="3285">
        <v>6.3</v>
      </c>
      <c r="G23" s="3285">
        <v>15</v>
      </c>
      <c r="K23" s="3308">
        <v>21</v>
      </c>
      <c r="L23" s="3309" t="s">
        <v>3288</v>
      </c>
      <c r="M23" s="3310">
        <v>1801</v>
      </c>
      <c r="N23" s="3309" t="s">
        <v>3309</v>
      </c>
      <c r="O23" s="3310">
        <v>144.75</v>
      </c>
    </row>
    <row r="24" spans="1:15" ht="40.799999999999997" thickBot="1">
      <c r="A24" s="3285">
        <v>22</v>
      </c>
      <c r="B24" s="3285" t="s">
        <v>3070</v>
      </c>
      <c r="C24" s="3286">
        <v>1902</v>
      </c>
      <c r="D24" s="3285" t="s">
        <v>3092</v>
      </c>
      <c r="E24" s="3285">
        <v>176.72</v>
      </c>
      <c r="F24" s="3285">
        <v>7.69</v>
      </c>
      <c r="G24" s="3289">
        <v>16</v>
      </c>
      <c r="K24" s="3308">
        <v>22</v>
      </c>
      <c r="L24" s="3309" t="s">
        <v>3288</v>
      </c>
      <c r="M24" s="3310">
        <v>1902</v>
      </c>
      <c r="N24" s="3309" t="s">
        <v>3310</v>
      </c>
      <c r="O24" s="3310">
        <v>176.72</v>
      </c>
    </row>
    <row r="25" spans="1:15" ht="40.799999999999997" thickBot="1">
      <c r="A25" s="3285">
        <v>23</v>
      </c>
      <c r="B25" s="3285" t="s">
        <v>3070</v>
      </c>
      <c r="C25" s="3286">
        <v>1903</v>
      </c>
      <c r="D25" s="3285" t="s">
        <v>3093</v>
      </c>
      <c r="E25" s="3285">
        <v>176.72</v>
      </c>
      <c r="F25" s="3285">
        <v>7.69</v>
      </c>
      <c r="G25" s="3289">
        <v>16</v>
      </c>
      <c r="K25" s="3308">
        <v>23</v>
      </c>
      <c r="L25" s="3309" t="s">
        <v>3288</v>
      </c>
      <c r="M25" s="3310">
        <v>1903</v>
      </c>
      <c r="N25" s="3309" t="s">
        <v>3311</v>
      </c>
      <c r="O25" s="3310">
        <v>176.72</v>
      </c>
    </row>
    <row r="26" spans="1:15" ht="40.799999999999997" thickBot="1">
      <c r="A26" s="3285">
        <v>24</v>
      </c>
      <c r="B26" s="3285" t="s">
        <v>3070</v>
      </c>
      <c r="C26" s="3286">
        <v>2001</v>
      </c>
      <c r="D26" s="3285" t="s">
        <v>3094</v>
      </c>
      <c r="E26" s="3285">
        <v>144.84</v>
      </c>
      <c r="F26" s="3285">
        <v>6.31</v>
      </c>
      <c r="G26" s="3285">
        <v>17</v>
      </c>
      <c r="K26" s="3308">
        <v>24</v>
      </c>
      <c r="L26" s="3309" t="s">
        <v>3288</v>
      </c>
      <c r="M26" s="3310">
        <v>2001</v>
      </c>
      <c r="N26" s="3309" t="s">
        <v>3312</v>
      </c>
      <c r="O26" s="3310">
        <v>144.84</v>
      </c>
    </row>
    <row r="27" spans="1:15" ht="40.799999999999997" thickBot="1">
      <c r="A27" s="3285">
        <v>25</v>
      </c>
      <c r="B27" s="3285" t="s">
        <v>3070</v>
      </c>
      <c r="C27" s="3286">
        <v>2203</v>
      </c>
      <c r="D27" s="3285" t="s">
        <v>3095</v>
      </c>
      <c r="E27" s="3285">
        <v>177.17</v>
      </c>
      <c r="F27" s="3285">
        <v>7.71</v>
      </c>
      <c r="G27" s="3285">
        <v>19</v>
      </c>
      <c r="K27" s="3308">
        <v>25</v>
      </c>
      <c r="L27" s="3309" t="s">
        <v>3288</v>
      </c>
      <c r="M27" s="3310">
        <v>2203</v>
      </c>
      <c r="N27" s="3309" t="s">
        <v>3313</v>
      </c>
      <c r="O27" s="3310">
        <v>177.17</v>
      </c>
    </row>
    <row r="28" spans="1:15" ht="40.799999999999997" thickBot="1">
      <c r="A28" s="3285">
        <v>26</v>
      </c>
      <c r="B28" s="3285" t="s">
        <v>3070</v>
      </c>
      <c r="C28" s="3286">
        <v>2302</v>
      </c>
      <c r="D28" s="3285" t="s">
        <v>3096</v>
      </c>
      <c r="E28" s="3285">
        <v>177.57</v>
      </c>
      <c r="F28" s="3285">
        <v>7.73</v>
      </c>
      <c r="G28" s="3289">
        <v>20</v>
      </c>
      <c r="K28" s="3308">
        <v>26</v>
      </c>
      <c r="L28" s="3309" t="s">
        <v>3288</v>
      </c>
      <c r="M28" s="3310">
        <v>2302</v>
      </c>
      <c r="N28" s="3309" t="s">
        <v>3314</v>
      </c>
      <c r="O28" s="3310">
        <v>177.57</v>
      </c>
    </row>
    <row r="29" spans="1:15" ht="40.799999999999997" thickBot="1">
      <c r="A29" s="3285">
        <v>27</v>
      </c>
      <c r="B29" s="3285" t="s">
        <v>3070</v>
      </c>
      <c r="C29" s="3286">
        <v>2602</v>
      </c>
      <c r="D29" s="3285" t="s">
        <v>3097</v>
      </c>
      <c r="E29" s="3285">
        <v>178.24</v>
      </c>
      <c r="F29" s="3285">
        <v>7.76</v>
      </c>
      <c r="G29" s="3289">
        <v>22</v>
      </c>
      <c r="K29" s="3308">
        <v>27</v>
      </c>
      <c r="L29" s="3309" t="s">
        <v>3288</v>
      </c>
      <c r="M29" s="3310">
        <v>2602</v>
      </c>
      <c r="N29" s="3309" t="s">
        <v>3315</v>
      </c>
      <c r="O29" s="3310">
        <v>178.24</v>
      </c>
    </row>
    <row r="30" spans="1:15" ht="40.799999999999997" thickBot="1">
      <c r="A30" s="3285">
        <v>28</v>
      </c>
      <c r="B30" s="3285" t="s">
        <v>3070</v>
      </c>
      <c r="C30" s="3286">
        <v>2701</v>
      </c>
      <c r="D30" s="3285" t="s">
        <v>3098</v>
      </c>
      <c r="E30" s="3285">
        <v>144.38</v>
      </c>
      <c r="F30" s="3285">
        <v>6.29</v>
      </c>
      <c r="G30" s="3289">
        <v>23</v>
      </c>
      <c r="K30" s="3308">
        <v>28</v>
      </c>
      <c r="L30" s="3309" t="s">
        <v>3288</v>
      </c>
      <c r="M30" s="3310">
        <v>2701</v>
      </c>
      <c r="N30" s="3309" t="s">
        <v>3316</v>
      </c>
      <c r="O30" s="3310">
        <v>144.38</v>
      </c>
    </row>
    <row r="31" spans="1:15" ht="40.799999999999997" thickBot="1">
      <c r="A31" s="3285">
        <v>29</v>
      </c>
      <c r="B31" s="3285" t="s">
        <v>3070</v>
      </c>
      <c r="C31" s="3286">
        <v>2702</v>
      </c>
      <c r="D31" s="3285" t="s">
        <v>3099</v>
      </c>
      <c r="E31" s="3285">
        <v>178.77</v>
      </c>
      <c r="F31" s="3285">
        <v>7.78</v>
      </c>
      <c r="G31" s="3289">
        <v>23</v>
      </c>
      <c r="K31" s="3308">
        <v>29</v>
      </c>
      <c r="L31" s="3309" t="s">
        <v>3288</v>
      </c>
      <c r="M31" s="3310">
        <v>2702</v>
      </c>
      <c r="N31" s="3309" t="s">
        <v>3317</v>
      </c>
      <c r="O31" s="3310">
        <v>178.77</v>
      </c>
    </row>
    <row r="32" spans="1:15" ht="40.799999999999997" thickBot="1">
      <c r="A32" s="3285">
        <v>30</v>
      </c>
      <c r="B32" s="3285" t="s">
        <v>3070</v>
      </c>
      <c r="C32" s="3286">
        <v>2703</v>
      </c>
      <c r="D32" s="3285" t="s">
        <v>3100</v>
      </c>
      <c r="E32" s="3285">
        <v>178.77</v>
      </c>
      <c r="F32" s="3285">
        <v>7.78</v>
      </c>
      <c r="G32" s="3289">
        <v>23</v>
      </c>
      <c r="K32" s="3308">
        <v>30</v>
      </c>
      <c r="L32" s="3309" t="s">
        <v>3288</v>
      </c>
      <c r="M32" s="3310">
        <v>2703</v>
      </c>
      <c r="N32" s="3309" t="s">
        <v>3318</v>
      </c>
      <c r="O32" s="3310">
        <v>178.77</v>
      </c>
    </row>
    <row r="33" spans="1:15" ht="40.799999999999997" thickBot="1">
      <c r="A33" s="3285">
        <v>31</v>
      </c>
      <c r="B33" s="3285" t="s">
        <v>3070</v>
      </c>
      <c r="C33" s="3286">
        <v>2801</v>
      </c>
      <c r="D33" s="3285" t="s">
        <v>3101</v>
      </c>
      <c r="E33" s="3285">
        <v>402.32</v>
      </c>
      <c r="F33" s="3285">
        <v>17.510000000000002</v>
      </c>
      <c r="G33" s="3289">
        <v>24</v>
      </c>
      <c r="K33" s="3308">
        <v>31</v>
      </c>
      <c r="L33" s="3309" t="s">
        <v>3288</v>
      </c>
      <c r="M33" s="3310">
        <v>2801</v>
      </c>
      <c r="N33" s="3309" t="s">
        <v>3319</v>
      </c>
      <c r="O33" s="3310">
        <v>402.32</v>
      </c>
    </row>
    <row r="34" spans="1:15" ht="30.6" thickBot="1">
      <c r="A34" s="3285">
        <v>32</v>
      </c>
      <c r="B34" s="3285" t="s">
        <v>3102</v>
      </c>
      <c r="C34" s="3286">
        <v>201</v>
      </c>
      <c r="D34" s="3285" t="s">
        <v>3103</v>
      </c>
      <c r="E34" s="3285">
        <v>142.97999999999999</v>
      </c>
      <c r="F34" s="3285">
        <v>6.53</v>
      </c>
      <c r="G34" s="3289">
        <v>2</v>
      </c>
      <c r="K34" s="3308">
        <v>32</v>
      </c>
      <c r="L34" s="3309" t="s">
        <v>3320</v>
      </c>
      <c r="M34" s="3310">
        <v>201</v>
      </c>
      <c r="N34" s="3309" t="s">
        <v>3321</v>
      </c>
      <c r="O34" s="3310">
        <v>142.97999999999999</v>
      </c>
    </row>
    <row r="35" spans="1:15" ht="30.6" thickBot="1">
      <c r="A35" s="3285">
        <v>33</v>
      </c>
      <c r="B35" s="3285" t="s">
        <v>3102</v>
      </c>
      <c r="C35" s="3286">
        <v>202</v>
      </c>
      <c r="D35" s="3285" t="s">
        <v>3104</v>
      </c>
      <c r="E35" s="3285">
        <v>176.49</v>
      </c>
      <c r="F35" s="3285">
        <v>8.06</v>
      </c>
      <c r="G35" s="3289">
        <v>2</v>
      </c>
      <c r="K35" s="3308">
        <v>33</v>
      </c>
      <c r="L35" s="3309" t="s">
        <v>3320</v>
      </c>
      <c r="M35" s="3310">
        <v>202</v>
      </c>
      <c r="N35" s="3309" t="s">
        <v>3322</v>
      </c>
      <c r="O35" s="3310">
        <v>176.49</v>
      </c>
    </row>
    <row r="36" spans="1:15" ht="30.6" thickBot="1">
      <c r="A36" s="3285">
        <v>34</v>
      </c>
      <c r="B36" s="3285" t="s">
        <v>3102</v>
      </c>
      <c r="C36" s="3286">
        <v>203</v>
      </c>
      <c r="D36" s="3285" t="s">
        <v>3105</v>
      </c>
      <c r="E36" s="3285">
        <v>176.49</v>
      </c>
      <c r="F36" s="3285">
        <v>8.06</v>
      </c>
      <c r="G36" s="3289">
        <v>2</v>
      </c>
      <c r="K36" s="3308">
        <v>34</v>
      </c>
      <c r="L36" s="3309" t="s">
        <v>3320</v>
      </c>
      <c r="M36" s="3310">
        <v>203</v>
      </c>
      <c r="N36" s="3309" t="s">
        <v>3323</v>
      </c>
      <c r="O36" s="3310">
        <v>176.49</v>
      </c>
    </row>
    <row r="37" spans="1:15" ht="30.6" thickBot="1">
      <c r="A37" s="3285">
        <v>35</v>
      </c>
      <c r="B37" s="3285" t="s">
        <v>3102</v>
      </c>
      <c r="C37" s="3286">
        <v>205</v>
      </c>
      <c r="D37" s="3285" t="s">
        <v>3106</v>
      </c>
      <c r="E37" s="3285">
        <v>145.47999999999999</v>
      </c>
      <c r="F37" s="3285">
        <v>6.64</v>
      </c>
      <c r="G37" s="3289">
        <v>2</v>
      </c>
      <c r="K37" s="3308">
        <v>35</v>
      </c>
      <c r="L37" s="3309" t="s">
        <v>3320</v>
      </c>
      <c r="M37" s="3310">
        <v>205</v>
      </c>
      <c r="N37" s="3309" t="s">
        <v>3324</v>
      </c>
      <c r="O37" s="3310">
        <v>145.47999999999999</v>
      </c>
    </row>
    <row r="38" spans="1:15" ht="30.6" thickBot="1">
      <c r="A38" s="3285">
        <v>36</v>
      </c>
      <c r="B38" s="3285" t="s">
        <v>3102</v>
      </c>
      <c r="C38" s="3286">
        <v>301</v>
      </c>
      <c r="D38" s="3285" t="s">
        <v>3107</v>
      </c>
      <c r="E38" s="3285">
        <v>143.86000000000001</v>
      </c>
      <c r="F38" s="3285">
        <v>6.57</v>
      </c>
      <c r="G38" s="3289">
        <v>3</v>
      </c>
      <c r="K38" s="3308">
        <v>36</v>
      </c>
      <c r="L38" s="3309" t="s">
        <v>3320</v>
      </c>
      <c r="M38" s="3310">
        <v>301</v>
      </c>
      <c r="N38" s="3309" t="s">
        <v>3325</v>
      </c>
      <c r="O38" s="3310">
        <v>143.86000000000001</v>
      </c>
    </row>
    <row r="39" spans="1:15" ht="30.6" thickBot="1">
      <c r="A39" s="3285">
        <v>37</v>
      </c>
      <c r="B39" s="3285" t="s">
        <v>3102</v>
      </c>
      <c r="C39" s="3286">
        <v>302</v>
      </c>
      <c r="D39" s="3285" t="s">
        <v>3108</v>
      </c>
      <c r="E39" s="3285">
        <v>176.32</v>
      </c>
      <c r="F39" s="3285">
        <v>8.0500000000000007</v>
      </c>
      <c r="G39" s="3289">
        <v>3</v>
      </c>
      <c r="K39" s="3308">
        <v>37</v>
      </c>
      <c r="L39" s="3309" t="s">
        <v>3320</v>
      </c>
      <c r="M39" s="3310">
        <v>302</v>
      </c>
      <c r="N39" s="3309" t="s">
        <v>3326</v>
      </c>
      <c r="O39" s="3310">
        <v>176.32</v>
      </c>
    </row>
    <row r="40" spans="1:15" ht="30.6" thickBot="1">
      <c r="A40" s="3285">
        <v>38</v>
      </c>
      <c r="B40" s="3285" t="s">
        <v>3102</v>
      </c>
      <c r="C40" s="3286">
        <v>303</v>
      </c>
      <c r="D40" s="3285" t="s">
        <v>3109</v>
      </c>
      <c r="E40" s="3285">
        <v>176.32</v>
      </c>
      <c r="F40" s="3285">
        <v>8.0500000000000007</v>
      </c>
      <c r="G40" s="3289">
        <v>3</v>
      </c>
      <c r="K40" s="3308">
        <v>38</v>
      </c>
      <c r="L40" s="3309" t="s">
        <v>3320</v>
      </c>
      <c r="M40" s="3310">
        <v>303</v>
      </c>
      <c r="N40" s="3309" t="s">
        <v>3327</v>
      </c>
      <c r="O40" s="3310">
        <v>176.32</v>
      </c>
    </row>
    <row r="41" spans="1:15" ht="30.6" thickBot="1">
      <c r="A41" s="3285">
        <v>39</v>
      </c>
      <c r="B41" s="3285" t="s">
        <v>3102</v>
      </c>
      <c r="C41" s="3286">
        <v>305</v>
      </c>
      <c r="D41" s="3285" t="s">
        <v>3110</v>
      </c>
      <c r="E41" s="3285">
        <v>146.36000000000001</v>
      </c>
      <c r="F41" s="3285">
        <v>6.68</v>
      </c>
      <c r="G41" s="3289">
        <v>3</v>
      </c>
      <c r="K41" s="3308">
        <v>39</v>
      </c>
      <c r="L41" s="3309" t="s">
        <v>3320</v>
      </c>
      <c r="M41" s="3310">
        <v>305</v>
      </c>
      <c r="N41" s="3309" t="s">
        <v>3328</v>
      </c>
      <c r="O41" s="3310">
        <v>146.36000000000001</v>
      </c>
    </row>
    <row r="42" spans="1:15" ht="30.6" thickBot="1">
      <c r="A42" s="3285">
        <v>40</v>
      </c>
      <c r="B42" s="3285" t="s">
        <v>3102</v>
      </c>
      <c r="C42" s="3286">
        <v>505</v>
      </c>
      <c r="D42" s="3285" t="s">
        <v>3111</v>
      </c>
      <c r="E42" s="3285">
        <v>146.44</v>
      </c>
      <c r="F42" s="3285">
        <v>6.69</v>
      </c>
      <c r="G42" s="3289">
        <v>4</v>
      </c>
      <c r="K42" s="3308">
        <v>40</v>
      </c>
      <c r="L42" s="3309" t="s">
        <v>3320</v>
      </c>
      <c r="M42" s="3310">
        <v>505</v>
      </c>
      <c r="N42" s="3309" t="s">
        <v>3329</v>
      </c>
      <c r="O42" s="3310">
        <v>146.44</v>
      </c>
    </row>
    <row r="43" spans="1:15" ht="30.6" thickBot="1">
      <c r="A43" s="3285">
        <v>41</v>
      </c>
      <c r="B43" s="3285" t="s">
        <v>3102</v>
      </c>
      <c r="C43" s="3286">
        <v>605</v>
      </c>
      <c r="D43" s="3285" t="s">
        <v>3112</v>
      </c>
      <c r="E43" s="3285">
        <v>146.36000000000001</v>
      </c>
      <c r="F43" s="3285">
        <v>6.68</v>
      </c>
      <c r="G43" s="3289">
        <v>5</v>
      </c>
      <c r="K43" s="3308">
        <v>41</v>
      </c>
      <c r="L43" s="3309" t="s">
        <v>3320</v>
      </c>
      <c r="M43" s="3310">
        <v>605</v>
      </c>
      <c r="N43" s="3309" t="s">
        <v>3330</v>
      </c>
      <c r="O43" s="3310">
        <v>146.36000000000001</v>
      </c>
    </row>
    <row r="44" spans="1:15" ht="30.6" thickBot="1">
      <c r="A44" s="3285">
        <v>42</v>
      </c>
      <c r="B44" s="3285" t="s">
        <v>3102</v>
      </c>
      <c r="C44" s="3286">
        <v>701</v>
      </c>
      <c r="D44" s="3285" t="s">
        <v>3113</v>
      </c>
      <c r="E44" s="3285">
        <v>145.07</v>
      </c>
      <c r="F44" s="3285">
        <v>6.34</v>
      </c>
      <c r="G44" s="3285">
        <v>6</v>
      </c>
      <c r="K44" s="3308">
        <v>42</v>
      </c>
      <c r="L44" s="3309" t="s">
        <v>3320</v>
      </c>
      <c r="M44" s="3310">
        <v>701</v>
      </c>
      <c r="N44" s="3309" t="s">
        <v>3331</v>
      </c>
      <c r="O44" s="3310">
        <v>145.07</v>
      </c>
    </row>
    <row r="45" spans="1:15" ht="30.6" thickBot="1">
      <c r="A45" s="3285">
        <v>43</v>
      </c>
      <c r="B45" s="3285" t="s">
        <v>3102</v>
      </c>
      <c r="C45" s="3286">
        <v>702</v>
      </c>
      <c r="D45" s="3285" t="s">
        <v>3114</v>
      </c>
      <c r="E45" s="3285">
        <v>175.95</v>
      </c>
      <c r="F45" s="3285">
        <v>8.3800000000000008</v>
      </c>
      <c r="G45" s="3289">
        <v>6</v>
      </c>
      <c r="K45" s="3308">
        <v>43</v>
      </c>
      <c r="L45" s="3309" t="s">
        <v>3320</v>
      </c>
      <c r="M45" s="3310">
        <v>702</v>
      </c>
      <c r="N45" s="3309" t="s">
        <v>3332</v>
      </c>
      <c r="O45" s="3310">
        <v>175.95</v>
      </c>
    </row>
    <row r="46" spans="1:15" ht="30.6" thickBot="1">
      <c r="A46" s="3285">
        <v>44</v>
      </c>
      <c r="B46" s="3285" t="s">
        <v>3102</v>
      </c>
      <c r="C46" s="3286">
        <v>703</v>
      </c>
      <c r="D46" s="3285" t="s">
        <v>3115</v>
      </c>
      <c r="E46" s="3285">
        <v>175.95</v>
      </c>
      <c r="F46" s="3285">
        <v>8.3800000000000008</v>
      </c>
      <c r="G46" s="3289">
        <v>6</v>
      </c>
      <c r="K46" s="3308">
        <v>44</v>
      </c>
      <c r="L46" s="3309" t="s">
        <v>3320</v>
      </c>
      <c r="M46" s="3310">
        <v>703</v>
      </c>
      <c r="N46" s="3309" t="s">
        <v>3333</v>
      </c>
      <c r="O46" s="3310">
        <v>175.95</v>
      </c>
    </row>
    <row r="47" spans="1:15" ht="30.6" thickBot="1">
      <c r="A47" s="3285">
        <v>45</v>
      </c>
      <c r="B47" s="3285" t="s">
        <v>3102</v>
      </c>
      <c r="C47" s="3286">
        <v>705</v>
      </c>
      <c r="D47" s="3285" t="s">
        <v>3116</v>
      </c>
      <c r="E47" s="3285">
        <v>147.53</v>
      </c>
      <c r="F47" s="3285">
        <v>6.74</v>
      </c>
      <c r="G47" s="3289">
        <v>6</v>
      </c>
      <c r="K47" s="3308">
        <v>45</v>
      </c>
      <c r="L47" s="3309" t="s">
        <v>3320</v>
      </c>
      <c r="M47" s="3310">
        <v>705</v>
      </c>
      <c r="N47" s="3309" t="s">
        <v>3334</v>
      </c>
      <c r="O47" s="3310">
        <v>147.53</v>
      </c>
    </row>
    <row r="48" spans="1:15" ht="30.6" thickBot="1">
      <c r="A48" s="3285">
        <v>46</v>
      </c>
      <c r="B48" s="3285" t="s">
        <v>3102</v>
      </c>
      <c r="C48" s="3286">
        <v>802</v>
      </c>
      <c r="D48" s="3285" t="s">
        <v>3117</v>
      </c>
      <c r="E48" s="3285">
        <v>175.87</v>
      </c>
      <c r="F48" s="3285">
        <v>8.3699999999999992</v>
      </c>
      <c r="G48" s="3289">
        <v>7</v>
      </c>
      <c r="K48" s="3308">
        <v>46</v>
      </c>
      <c r="L48" s="3309" t="s">
        <v>3320</v>
      </c>
      <c r="M48" s="3310">
        <v>802</v>
      </c>
      <c r="N48" s="3309" t="s">
        <v>3335</v>
      </c>
      <c r="O48" s="3310">
        <v>175.87</v>
      </c>
    </row>
    <row r="49" spans="1:15" ht="30.6" thickBot="1">
      <c r="A49" s="3285">
        <v>47</v>
      </c>
      <c r="B49" s="3285" t="s">
        <v>3102</v>
      </c>
      <c r="C49" s="3286">
        <v>803</v>
      </c>
      <c r="D49" s="3285" t="s">
        <v>3118</v>
      </c>
      <c r="E49" s="3285">
        <v>175.87</v>
      </c>
      <c r="F49" s="3285">
        <v>8.3699999999999992</v>
      </c>
      <c r="G49" s="3289">
        <v>7</v>
      </c>
      <c r="K49" s="3308">
        <v>47</v>
      </c>
      <c r="L49" s="3309" t="s">
        <v>3320</v>
      </c>
      <c r="M49" s="3310">
        <v>803</v>
      </c>
      <c r="N49" s="3309" t="s">
        <v>3336</v>
      </c>
      <c r="O49" s="3310">
        <v>175.87</v>
      </c>
    </row>
    <row r="50" spans="1:15" ht="30.6" thickBot="1">
      <c r="A50" s="3285">
        <v>48</v>
      </c>
      <c r="B50" s="3285" t="s">
        <v>3102</v>
      </c>
      <c r="C50" s="3286">
        <v>805</v>
      </c>
      <c r="D50" s="3285" t="s">
        <v>3119</v>
      </c>
      <c r="E50" s="3285">
        <v>147.32</v>
      </c>
      <c r="F50" s="3285">
        <v>6.73</v>
      </c>
      <c r="G50" s="3289">
        <v>7</v>
      </c>
      <c r="K50" s="3308">
        <v>48</v>
      </c>
      <c r="L50" s="3309" t="s">
        <v>3320</v>
      </c>
      <c r="M50" s="3310">
        <v>805</v>
      </c>
      <c r="N50" s="3309" t="s">
        <v>3337</v>
      </c>
      <c r="O50" s="3310">
        <v>147.32</v>
      </c>
    </row>
    <row r="51" spans="1:15" ht="30.6" thickBot="1">
      <c r="A51" s="3285">
        <v>49</v>
      </c>
      <c r="B51" s="3285" t="s">
        <v>3102</v>
      </c>
      <c r="C51" s="3286">
        <v>905</v>
      </c>
      <c r="D51" s="3285" t="s">
        <v>3120</v>
      </c>
      <c r="E51" s="3285">
        <v>147.13999999999999</v>
      </c>
      <c r="F51" s="3285">
        <v>6.72</v>
      </c>
      <c r="G51" s="3289">
        <v>8</v>
      </c>
      <c r="K51" s="3308">
        <v>49</v>
      </c>
      <c r="L51" s="3309" t="s">
        <v>3320</v>
      </c>
      <c r="M51" s="3310">
        <v>905</v>
      </c>
      <c r="N51" s="3309" t="s">
        <v>3338</v>
      </c>
      <c r="O51" s="3310">
        <v>147.13999999999999</v>
      </c>
    </row>
    <row r="52" spans="1:15" ht="40.799999999999997" thickBot="1">
      <c r="A52" s="3285">
        <v>50</v>
      </c>
      <c r="B52" s="3285" t="s">
        <v>3102</v>
      </c>
      <c r="C52" s="3286">
        <v>1003</v>
      </c>
      <c r="D52" s="3285" t="s">
        <v>3121</v>
      </c>
      <c r="E52" s="3285">
        <v>175.78</v>
      </c>
      <c r="F52" s="3285">
        <v>8.0299999999999994</v>
      </c>
      <c r="G52" s="3289">
        <v>9</v>
      </c>
      <c r="K52" s="3308">
        <v>50</v>
      </c>
      <c r="L52" s="3309" t="s">
        <v>3320</v>
      </c>
      <c r="M52" s="3310">
        <v>1003</v>
      </c>
      <c r="N52" s="3309" t="s">
        <v>3339</v>
      </c>
      <c r="O52" s="3310">
        <v>175.78</v>
      </c>
    </row>
    <row r="53" spans="1:15" ht="40.799999999999997" thickBot="1">
      <c r="A53" s="3285">
        <v>51</v>
      </c>
      <c r="B53" s="3285" t="s">
        <v>3102</v>
      </c>
      <c r="C53" s="3286">
        <v>1005</v>
      </c>
      <c r="D53" s="3285" t="s">
        <v>3122</v>
      </c>
      <c r="E53" s="3285">
        <v>147</v>
      </c>
      <c r="F53" s="3285">
        <v>6.71</v>
      </c>
      <c r="G53" s="3289">
        <v>9</v>
      </c>
      <c r="K53" s="3308">
        <v>51</v>
      </c>
      <c r="L53" s="3309" t="s">
        <v>3320</v>
      </c>
      <c r="M53" s="3310">
        <v>1005</v>
      </c>
      <c r="N53" s="3309" t="s">
        <v>3340</v>
      </c>
      <c r="O53" s="3310">
        <v>147</v>
      </c>
    </row>
    <row r="54" spans="1:15" ht="40.799999999999997" thickBot="1">
      <c r="A54" s="3285">
        <v>52</v>
      </c>
      <c r="B54" s="3285" t="s">
        <v>3102</v>
      </c>
      <c r="C54" s="3286">
        <v>1601</v>
      </c>
      <c r="D54" s="3285" t="s">
        <v>3123</v>
      </c>
      <c r="E54" s="3285">
        <v>144.22999999999999</v>
      </c>
      <c r="F54" s="3285">
        <v>6.59</v>
      </c>
      <c r="G54" s="3289">
        <v>13</v>
      </c>
      <c r="K54" s="3308">
        <v>52</v>
      </c>
      <c r="L54" s="3309" t="s">
        <v>3320</v>
      </c>
      <c r="M54" s="3310">
        <v>1601</v>
      </c>
      <c r="N54" s="3309" t="s">
        <v>3341</v>
      </c>
      <c r="O54" s="3310">
        <v>144.22999999999999</v>
      </c>
    </row>
    <row r="55" spans="1:15" ht="40.799999999999997" thickBot="1">
      <c r="A55" s="3285">
        <v>53</v>
      </c>
      <c r="B55" s="3285" t="s">
        <v>3102</v>
      </c>
      <c r="C55" s="3286">
        <v>1605</v>
      </c>
      <c r="D55" s="3285" t="s">
        <v>3124</v>
      </c>
      <c r="E55" s="3285">
        <v>146.72999999999999</v>
      </c>
      <c r="F55" s="3285">
        <v>6.7</v>
      </c>
      <c r="G55" s="3289">
        <v>13</v>
      </c>
      <c r="K55" s="3308">
        <v>53</v>
      </c>
      <c r="L55" s="3309" t="s">
        <v>3320</v>
      </c>
      <c r="M55" s="3310">
        <v>1605</v>
      </c>
      <c r="N55" s="3309" t="s">
        <v>3342</v>
      </c>
      <c r="O55" s="3310">
        <v>146.72999999999999</v>
      </c>
    </row>
    <row r="56" spans="1:15" ht="40.799999999999997" thickBot="1">
      <c r="A56" s="3285">
        <v>54</v>
      </c>
      <c r="B56" s="3285" t="s">
        <v>3102</v>
      </c>
      <c r="C56" s="3286">
        <v>1705</v>
      </c>
      <c r="D56" s="3285" t="s">
        <v>3125</v>
      </c>
      <c r="E56" s="3285">
        <v>146.72999999999999</v>
      </c>
      <c r="F56" s="3285">
        <v>6.7</v>
      </c>
      <c r="G56" s="3289">
        <v>14</v>
      </c>
      <c r="K56" s="3308">
        <v>54</v>
      </c>
      <c r="L56" s="3309" t="s">
        <v>3320</v>
      </c>
      <c r="M56" s="3310">
        <v>1705</v>
      </c>
      <c r="N56" s="3309" t="s">
        <v>3343</v>
      </c>
      <c r="O56" s="3310">
        <v>146.72999999999999</v>
      </c>
    </row>
    <row r="57" spans="1:15" ht="40.799999999999997" thickBot="1">
      <c r="A57" s="3285">
        <v>55</v>
      </c>
      <c r="B57" s="3285" t="s">
        <v>3102</v>
      </c>
      <c r="C57" s="3286">
        <v>1905</v>
      </c>
      <c r="D57" s="3285" t="s">
        <v>3126</v>
      </c>
      <c r="E57" s="3285">
        <v>146.77000000000001</v>
      </c>
      <c r="F57" s="3285">
        <v>6.7</v>
      </c>
      <c r="G57" s="3289">
        <v>16</v>
      </c>
      <c r="K57" s="3308">
        <v>55</v>
      </c>
      <c r="L57" s="3309" t="s">
        <v>3320</v>
      </c>
      <c r="M57" s="3310">
        <v>1905</v>
      </c>
      <c r="N57" s="3309" t="s">
        <v>3344</v>
      </c>
      <c r="O57" s="3310">
        <v>146.77000000000001</v>
      </c>
    </row>
    <row r="58" spans="1:15" ht="40.799999999999997" thickBot="1">
      <c r="A58" s="3285">
        <v>56</v>
      </c>
      <c r="B58" s="3285" t="s">
        <v>3102</v>
      </c>
      <c r="C58" s="3286">
        <v>2001</v>
      </c>
      <c r="D58" s="3285" t="s">
        <v>3127</v>
      </c>
      <c r="E58" s="3285">
        <v>144.32</v>
      </c>
      <c r="F58" s="3285">
        <v>6.59</v>
      </c>
      <c r="G58" s="3285">
        <v>17</v>
      </c>
      <c r="K58" s="3308">
        <v>56</v>
      </c>
      <c r="L58" s="3309" t="s">
        <v>3320</v>
      </c>
      <c r="M58" s="3310">
        <v>2001</v>
      </c>
      <c r="N58" s="3309" t="s">
        <v>3345</v>
      </c>
      <c r="O58" s="3310">
        <v>144.32</v>
      </c>
    </row>
    <row r="59" spans="1:15" ht="40.799999999999997" thickBot="1">
      <c r="A59" s="3285">
        <v>57</v>
      </c>
      <c r="B59" s="3285" t="s">
        <v>3102</v>
      </c>
      <c r="C59" s="3286">
        <v>2005</v>
      </c>
      <c r="D59" s="3285" t="s">
        <v>3128</v>
      </c>
      <c r="E59" s="3285">
        <v>146.83000000000001</v>
      </c>
      <c r="F59" s="3285">
        <v>6.7</v>
      </c>
      <c r="G59" s="3289">
        <v>17</v>
      </c>
      <c r="K59" s="3308">
        <v>57</v>
      </c>
      <c r="L59" s="3309" t="s">
        <v>3320</v>
      </c>
      <c r="M59" s="3310">
        <v>2005</v>
      </c>
      <c r="N59" s="3309" t="s">
        <v>3346</v>
      </c>
      <c r="O59" s="3310">
        <v>146.83000000000001</v>
      </c>
    </row>
    <row r="60" spans="1:15" ht="40.799999999999997" thickBot="1">
      <c r="A60" s="3285">
        <v>58</v>
      </c>
      <c r="B60" s="3285" t="s">
        <v>3102</v>
      </c>
      <c r="C60" s="3286">
        <v>2102</v>
      </c>
      <c r="D60" s="3285" t="s">
        <v>3129</v>
      </c>
      <c r="E60" s="3285">
        <v>176.37</v>
      </c>
      <c r="F60" s="3285">
        <v>8.0500000000000007</v>
      </c>
      <c r="G60" s="3285">
        <v>18</v>
      </c>
      <c r="K60" s="3308">
        <v>58</v>
      </c>
      <c r="L60" s="3309" t="s">
        <v>3320</v>
      </c>
      <c r="M60" s="3310">
        <v>2102</v>
      </c>
      <c r="N60" s="3309" t="s">
        <v>3347</v>
      </c>
      <c r="O60" s="3310">
        <v>176.37</v>
      </c>
    </row>
    <row r="61" spans="1:15" ht="40.799999999999997" thickBot="1">
      <c r="A61" s="3285">
        <v>59</v>
      </c>
      <c r="B61" s="3285" t="s">
        <v>3102</v>
      </c>
      <c r="C61" s="3286">
        <v>2103</v>
      </c>
      <c r="D61" s="3285" t="s">
        <v>3130</v>
      </c>
      <c r="E61" s="3285">
        <v>176.37</v>
      </c>
      <c r="F61" s="3285">
        <v>8.0500000000000007</v>
      </c>
      <c r="G61" s="3285">
        <v>18</v>
      </c>
      <c r="K61" s="3308">
        <v>59</v>
      </c>
      <c r="L61" s="3309" t="s">
        <v>3320</v>
      </c>
      <c r="M61" s="3310">
        <v>2103</v>
      </c>
      <c r="N61" s="3309" t="s">
        <v>3348</v>
      </c>
      <c r="O61" s="3310">
        <v>176.37</v>
      </c>
    </row>
    <row r="62" spans="1:15" ht="40.799999999999997" thickBot="1">
      <c r="A62" s="3285">
        <v>60</v>
      </c>
      <c r="B62" s="3285" t="s">
        <v>3102</v>
      </c>
      <c r="C62" s="3286">
        <v>2205</v>
      </c>
      <c r="D62" s="3285" t="s">
        <v>3131</v>
      </c>
      <c r="E62" s="3285">
        <v>146.35</v>
      </c>
      <c r="F62" s="3285">
        <v>6.68</v>
      </c>
      <c r="G62" s="3289">
        <v>19</v>
      </c>
      <c r="K62" s="3308">
        <v>60</v>
      </c>
      <c r="L62" s="3309" t="s">
        <v>3320</v>
      </c>
      <c r="M62" s="3310">
        <v>2205</v>
      </c>
      <c r="N62" s="3309" t="s">
        <v>3349</v>
      </c>
      <c r="O62" s="3310">
        <v>146.35</v>
      </c>
    </row>
    <row r="63" spans="1:15" ht="40.799999999999997" thickBot="1">
      <c r="A63" s="3285">
        <v>61</v>
      </c>
      <c r="B63" s="3285" t="s">
        <v>3102</v>
      </c>
      <c r="C63" s="3286">
        <v>2302</v>
      </c>
      <c r="D63" s="3285" t="s">
        <v>3132</v>
      </c>
      <c r="E63" s="3285">
        <v>177.01</v>
      </c>
      <c r="F63" s="3285">
        <v>8.08</v>
      </c>
      <c r="G63" s="3289">
        <v>20</v>
      </c>
      <c r="K63" s="3308">
        <v>61</v>
      </c>
      <c r="L63" s="3309" t="s">
        <v>3320</v>
      </c>
      <c r="M63" s="3310">
        <v>2302</v>
      </c>
      <c r="N63" s="3309" t="s">
        <v>3350</v>
      </c>
      <c r="O63" s="3310">
        <v>177.01</v>
      </c>
    </row>
    <row r="64" spans="1:15" ht="40.799999999999997" thickBot="1">
      <c r="A64" s="3285">
        <v>62</v>
      </c>
      <c r="B64" s="3285" t="s">
        <v>3102</v>
      </c>
      <c r="C64" s="3286">
        <v>2501</v>
      </c>
      <c r="D64" s="3285" t="s">
        <v>3133</v>
      </c>
      <c r="E64" s="3285">
        <v>143.85</v>
      </c>
      <c r="F64" s="3285">
        <v>6.57</v>
      </c>
      <c r="G64" s="3289">
        <v>21</v>
      </c>
      <c r="K64" s="3308">
        <v>62</v>
      </c>
      <c r="L64" s="3309" t="s">
        <v>3320</v>
      </c>
      <c r="M64" s="3310">
        <v>2501</v>
      </c>
      <c r="N64" s="3309" t="s">
        <v>3351</v>
      </c>
      <c r="O64" s="3310">
        <v>143.85</v>
      </c>
    </row>
    <row r="65" spans="1:15" ht="40.799999999999997" thickBot="1">
      <c r="A65" s="3285">
        <v>63</v>
      </c>
      <c r="B65" s="3285" t="s">
        <v>3102</v>
      </c>
      <c r="C65" s="3286">
        <v>2502</v>
      </c>
      <c r="D65" s="3285" t="s">
        <v>3134</v>
      </c>
      <c r="E65" s="3285">
        <v>177.4</v>
      </c>
      <c r="F65" s="3285">
        <v>8.1</v>
      </c>
      <c r="G65" s="3289">
        <v>21</v>
      </c>
      <c r="K65" s="3308">
        <v>63</v>
      </c>
      <c r="L65" s="3309" t="s">
        <v>3320</v>
      </c>
      <c r="M65" s="3310">
        <v>2502</v>
      </c>
      <c r="N65" s="3309" t="s">
        <v>3352</v>
      </c>
      <c r="O65" s="3310">
        <v>177.4</v>
      </c>
    </row>
    <row r="66" spans="1:15" ht="40.799999999999997" thickBot="1">
      <c r="A66" s="3285">
        <v>64</v>
      </c>
      <c r="B66" s="3285" t="s">
        <v>3102</v>
      </c>
      <c r="C66" s="3286">
        <v>2602</v>
      </c>
      <c r="D66" s="3285" t="s">
        <v>3135</v>
      </c>
      <c r="E66" s="3285">
        <v>177.91</v>
      </c>
      <c r="F66" s="3285">
        <v>8.1199999999999992</v>
      </c>
      <c r="G66" s="3289">
        <v>22</v>
      </c>
      <c r="K66" s="3308">
        <v>64</v>
      </c>
      <c r="L66" s="3309" t="s">
        <v>3320</v>
      </c>
      <c r="M66" s="3310">
        <v>2602</v>
      </c>
      <c r="N66" s="3309" t="s">
        <v>3353</v>
      </c>
      <c r="O66" s="3310">
        <v>177.91</v>
      </c>
    </row>
    <row r="67" spans="1:15" ht="40.799999999999997" thickBot="1">
      <c r="A67" s="3285">
        <v>65</v>
      </c>
      <c r="B67" s="3285" t="s">
        <v>3102</v>
      </c>
      <c r="C67" s="3286">
        <v>2605</v>
      </c>
      <c r="D67" s="3285" t="s">
        <v>3136</v>
      </c>
      <c r="E67" s="3285">
        <v>146.35</v>
      </c>
      <c r="F67" s="3285">
        <v>6.68</v>
      </c>
      <c r="G67" s="3289">
        <v>22</v>
      </c>
      <c r="K67" s="3308">
        <v>65</v>
      </c>
      <c r="L67" s="3309" t="s">
        <v>3320</v>
      </c>
      <c r="M67" s="3310">
        <v>2605</v>
      </c>
      <c r="N67" s="3309" t="s">
        <v>3354</v>
      </c>
      <c r="O67" s="3310">
        <v>146.35</v>
      </c>
    </row>
    <row r="68" spans="1:15" ht="40.799999999999997" thickBot="1">
      <c r="A68" s="3285">
        <v>66</v>
      </c>
      <c r="B68" s="3285" t="s">
        <v>3102</v>
      </c>
      <c r="C68" s="3286">
        <v>2701</v>
      </c>
      <c r="D68" s="3285" t="s">
        <v>3137</v>
      </c>
      <c r="E68" s="3285">
        <v>400.84</v>
      </c>
      <c r="F68" s="3285">
        <v>18.3</v>
      </c>
      <c r="G68" s="3289">
        <v>23</v>
      </c>
      <c r="K68" s="3308">
        <v>66</v>
      </c>
      <c r="L68" s="3309" t="s">
        <v>3320</v>
      </c>
      <c r="M68" s="3310">
        <v>2701</v>
      </c>
      <c r="N68" s="3309" t="s">
        <v>3355</v>
      </c>
      <c r="O68" s="3310">
        <v>400.84</v>
      </c>
    </row>
    <row r="69" spans="1:15" ht="30.6" thickBot="1">
      <c r="A69" s="3285">
        <v>67</v>
      </c>
      <c r="B69" s="3285" t="s">
        <v>3138</v>
      </c>
      <c r="C69" s="3286">
        <v>201</v>
      </c>
      <c r="D69" s="3285" t="s">
        <v>3139</v>
      </c>
      <c r="E69" s="3285">
        <v>145.71</v>
      </c>
      <c r="F69" s="3285">
        <v>7.55</v>
      </c>
      <c r="G69" s="3285">
        <v>2</v>
      </c>
      <c r="K69" s="3308">
        <v>67</v>
      </c>
      <c r="L69" s="3309" t="s">
        <v>3356</v>
      </c>
      <c r="M69" s="3310">
        <v>201</v>
      </c>
      <c r="N69" s="3309" t="s">
        <v>3357</v>
      </c>
      <c r="O69" s="3310">
        <v>145.71</v>
      </c>
    </row>
    <row r="70" spans="1:15" ht="30.6" thickBot="1">
      <c r="A70" s="3285">
        <v>68</v>
      </c>
      <c r="B70" s="3285" t="s">
        <v>3138</v>
      </c>
      <c r="C70" s="3286">
        <v>202</v>
      </c>
      <c r="D70" s="3285" t="s">
        <v>3140</v>
      </c>
      <c r="E70" s="3285">
        <v>121.44</v>
      </c>
      <c r="F70" s="3285">
        <v>6.29</v>
      </c>
      <c r="G70" s="3285">
        <v>2</v>
      </c>
      <c r="K70" s="3308">
        <v>68</v>
      </c>
      <c r="L70" s="3309" t="s">
        <v>3356</v>
      </c>
      <c r="M70" s="3310">
        <v>202</v>
      </c>
      <c r="N70" s="3309" t="s">
        <v>3358</v>
      </c>
      <c r="O70" s="3310">
        <v>121.44</v>
      </c>
    </row>
    <row r="71" spans="1:15" ht="30.6" thickBot="1">
      <c r="A71" s="3285">
        <v>69</v>
      </c>
      <c r="B71" s="3285" t="s">
        <v>3138</v>
      </c>
      <c r="C71" s="3286">
        <v>203</v>
      </c>
      <c r="D71" s="3285" t="s">
        <v>3141</v>
      </c>
      <c r="E71" s="3285">
        <v>177.57</v>
      </c>
      <c r="F71" s="3285">
        <v>7.73</v>
      </c>
      <c r="G71" s="3289">
        <v>2</v>
      </c>
      <c r="K71" s="3308">
        <v>69</v>
      </c>
      <c r="L71" s="3309" t="s">
        <v>3356</v>
      </c>
      <c r="M71" s="3310">
        <v>203</v>
      </c>
      <c r="N71" s="3309" t="s">
        <v>3359</v>
      </c>
      <c r="O71" s="3310">
        <v>177.57</v>
      </c>
    </row>
    <row r="72" spans="1:15" ht="30.6" thickBot="1">
      <c r="A72" s="3285">
        <v>70</v>
      </c>
      <c r="B72" s="3285" t="s">
        <v>3138</v>
      </c>
      <c r="C72" s="3286">
        <v>205</v>
      </c>
      <c r="D72" s="3285" t="s">
        <v>3142</v>
      </c>
      <c r="E72" s="3285">
        <v>177.57</v>
      </c>
      <c r="F72" s="3285">
        <v>7.73</v>
      </c>
      <c r="G72" s="3289">
        <v>2</v>
      </c>
      <c r="K72" s="3308">
        <v>70</v>
      </c>
      <c r="L72" s="3309" t="s">
        <v>3356</v>
      </c>
      <c r="M72" s="3310">
        <v>205</v>
      </c>
      <c r="N72" s="3309" t="s">
        <v>3360</v>
      </c>
      <c r="O72" s="3310">
        <v>177.57</v>
      </c>
    </row>
    <row r="73" spans="1:15" ht="30.6" thickBot="1">
      <c r="A73" s="3285">
        <v>71</v>
      </c>
      <c r="B73" s="3285" t="s">
        <v>3138</v>
      </c>
      <c r="C73" s="3286">
        <v>207</v>
      </c>
      <c r="D73" s="3285" t="s">
        <v>3143</v>
      </c>
      <c r="E73" s="3285">
        <v>145.71</v>
      </c>
      <c r="F73" s="3285">
        <v>7.55</v>
      </c>
      <c r="G73" s="3285">
        <v>2</v>
      </c>
      <c r="K73" s="3308">
        <v>71</v>
      </c>
      <c r="L73" s="3309" t="s">
        <v>3356</v>
      </c>
      <c r="M73" s="3310">
        <v>207</v>
      </c>
      <c r="N73" s="3309" t="s">
        <v>3361</v>
      </c>
      <c r="O73" s="3310">
        <v>145.71</v>
      </c>
    </row>
    <row r="74" spans="1:15" ht="30.6" thickBot="1">
      <c r="A74" s="3285">
        <v>72</v>
      </c>
      <c r="B74" s="3285" t="s">
        <v>3138</v>
      </c>
      <c r="C74" s="3286">
        <v>301</v>
      </c>
      <c r="D74" s="3285" t="s">
        <v>3144</v>
      </c>
      <c r="E74" s="3285">
        <v>145.71</v>
      </c>
      <c r="F74" s="3285">
        <v>7.55</v>
      </c>
      <c r="G74" s="3285">
        <v>3</v>
      </c>
      <c r="K74" s="3308">
        <v>72</v>
      </c>
      <c r="L74" s="3309" t="s">
        <v>3356</v>
      </c>
      <c r="M74" s="3310">
        <v>301</v>
      </c>
      <c r="N74" s="3309" t="s">
        <v>3362</v>
      </c>
      <c r="O74" s="3310">
        <v>145.71</v>
      </c>
    </row>
    <row r="75" spans="1:15" ht="30.6" thickBot="1">
      <c r="A75" s="3285">
        <v>73</v>
      </c>
      <c r="B75" s="3285" t="s">
        <v>3138</v>
      </c>
      <c r="C75" s="3286">
        <v>702</v>
      </c>
      <c r="D75" s="3285" t="s">
        <v>3145</v>
      </c>
      <c r="E75" s="3285">
        <v>122.93</v>
      </c>
      <c r="F75" s="3285">
        <v>6.37</v>
      </c>
      <c r="G75" s="3289">
        <v>6</v>
      </c>
      <c r="K75" s="3308">
        <v>73</v>
      </c>
      <c r="L75" s="3309" t="s">
        <v>3356</v>
      </c>
      <c r="M75" s="3310">
        <v>702</v>
      </c>
      <c r="N75" s="3309" t="s">
        <v>3363</v>
      </c>
      <c r="O75" s="3310">
        <v>122.93</v>
      </c>
    </row>
    <row r="76" spans="1:15" ht="40.799999999999997" thickBot="1">
      <c r="A76" s="3285">
        <v>74</v>
      </c>
      <c r="B76" s="3285" t="s">
        <v>3138</v>
      </c>
      <c r="C76" s="3286">
        <v>1101</v>
      </c>
      <c r="D76" s="3285" t="s">
        <v>3146</v>
      </c>
      <c r="E76" s="3285">
        <v>145.71</v>
      </c>
      <c r="F76" s="3285">
        <v>7.55</v>
      </c>
      <c r="G76" s="3285">
        <v>10</v>
      </c>
      <c r="K76" s="3308">
        <v>74</v>
      </c>
      <c r="L76" s="3309" t="s">
        <v>3356</v>
      </c>
      <c r="M76" s="3310">
        <v>1101</v>
      </c>
      <c r="N76" s="3309" t="s">
        <v>3364</v>
      </c>
      <c r="O76" s="3310">
        <v>145.71</v>
      </c>
    </row>
    <row r="77" spans="1:15" ht="40.799999999999997" thickBot="1">
      <c r="A77" s="3285">
        <v>75</v>
      </c>
      <c r="B77" s="3285" t="s">
        <v>3138</v>
      </c>
      <c r="C77" s="3286">
        <v>1102</v>
      </c>
      <c r="D77" s="3285" t="s">
        <v>3147</v>
      </c>
      <c r="E77" s="3285">
        <v>122.08</v>
      </c>
      <c r="F77" s="3285">
        <v>6.33</v>
      </c>
      <c r="G77" s="3285">
        <v>10</v>
      </c>
      <c r="K77" s="3308">
        <v>75</v>
      </c>
      <c r="L77" s="3309" t="s">
        <v>3356</v>
      </c>
      <c r="M77" s="3310">
        <v>1102</v>
      </c>
      <c r="N77" s="3309" t="s">
        <v>3365</v>
      </c>
      <c r="O77" s="3310">
        <v>122.08</v>
      </c>
    </row>
    <row r="78" spans="1:15" ht="40.799999999999997" thickBot="1">
      <c r="A78" s="3285">
        <v>76</v>
      </c>
      <c r="B78" s="3285" t="s">
        <v>3138</v>
      </c>
      <c r="C78" s="3286">
        <v>1103</v>
      </c>
      <c r="D78" s="3285" t="s">
        <v>3148</v>
      </c>
      <c r="E78" s="3285">
        <v>176.85</v>
      </c>
      <c r="F78" s="3285">
        <v>9.16</v>
      </c>
      <c r="G78" s="3289">
        <v>10</v>
      </c>
      <c r="K78" s="3308">
        <v>76</v>
      </c>
      <c r="L78" s="3309" t="s">
        <v>3356</v>
      </c>
      <c r="M78" s="3310">
        <v>1103</v>
      </c>
      <c r="N78" s="3309" t="s">
        <v>3366</v>
      </c>
      <c r="O78" s="3310">
        <v>176.85</v>
      </c>
    </row>
    <row r="79" spans="1:15" ht="40.799999999999997" thickBot="1">
      <c r="A79" s="3285">
        <v>77</v>
      </c>
      <c r="B79" s="3285" t="s">
        <v>3138</v>
      </c>
      <c r="C79" s="3286">
        <v>2006</v>
      </c>
      <c r="D79" s="3285" t="s">
        <v>3149</v>
      </c>
      <c r="E79" s="3285">
        <v>122.13</v>
      </c>
      <c r="F79" s="3285">
        <v>6.33</v>
      </c>
      <c r="G79" s="3289">
        <v>17</v>
      </c>
      <c r="K79" s="3308">
        <v>77</v>
      </c>
      <c r="L79" s="3309" t="s">
        <v>3356</v>
      </c>
      <c r="M79" s="3310">
        <v>2006</v>
      </c>
      <c r="N79" s="3309" t="s">
        <v>3367</v>
      </c>
      <c r="O79" s="3310">
        <v>122.13</v>
      </c>
    </row>
    <row r="80" spans="1:15" ht="30.6" thickBot="1">
      <c r="A80" s="3285">
        <v>78</v>
      </c>
      <c r="B80" s="3285" t="s">
        <v>3150</v>
      </c>
      <c r="C80" s="3286">
        <v>201</v>
      </c>
      <c r="D80" s="3285" t="s">
        <v>3151</v>
      </c>
      <c r="E80" s="3285">
        <v>145.71</v>
      </c>
      <c r="F80" s="3285">
        <v>7.55</v>
      </c>
      <c r="G80" s="3285">
        <v>2</v>
      </c>
      <c r="K80" s="3308">
        <v>78</v>
      </c>
      <c r="L80" s="3309" t="s">
        <v>3368</v>
      </c>
      <c r="M80" s="3310">
        <v>201</v>
      </c>
      <c r="N80" s="3309" t="s">
        <v>3369</v>
      </c>
      <c r="O80" s="3310">
        <v>145.71</v>
      </c>
    </row>
    <row r="81" spans="1:15" ht="30.6" thickBot="1">
      <c r="A81" s="3285">
        <v>79</v>
      </c>
      <c r="B81" s="3285" t="s">
        <v>3150</v>
      </c>
      <c r="C81" s="3286">
        <v>203</v>
      </c>
      <c r="D81" s="3285" t="s">
        <v>3152</v>
      </c>
      <c r="E81" s="3285">
        <v>177.57</v>
      </c>
      <c r="F81" s="3285">
        <v>7.73</v>
      </c>
      <c r="G81" s="3289">
        <v>2</v>
      </c>
      <c r="K81" s="3308">
        <v>79</v>
      </c>
      <c r="L81" s="3309" t="s">
        <v>3368</v>
      </c>
      <c r="M81" s="3310">
        <v>203</v>
      </c>
      <c r="N81" s="3309" t="s">
        <v>3370</v>
      </c>
      <c r="O81" s="3310">
        <v>177.57</v>
      </c>
    </row>
    <row r="82" spans="1:15" ht="30.6" thickBot="1">
      <c r="A82" s="3285">
        <v>80</v>
      </c>
      <c r="B82" s="3285" t="s">
        <v>3150</v>
      </c>
      <c r="C82" s="3286">
        <v>205</v>
      </c>
      <c r="D82" s="3285" t="s">
        <v>3153</v>
      </c>
      <c r="E82" s="3285">
        <v>177.57</v>
      </c>
      <c r="F82" s="3285">
        <v>7.73</v>
      </c>
      <c r="G82" s="3289">
        <v>2</v>
      </c>
      <c r="K82" s="3308">
        <v>80</v>
      </c>
      <c r="L82" s="3309" t="s">
        <v>3368</v>
      </c>
      <c r="M82" s="3310">
        <v>205</v>
      </c>
      <c r="N82" s="3309" t="s">
        <v>3371</v>
      </c>
      <c r="O82" s="3310">
        <v>177.57</v>
      </c>
    </row>
    <row r="83" spans="1:15" ht="30.6" thickBot="1">
      <c r="A83" s="3285">
        <v>81</v>
      </c>
      <c r="B83" s="3285" t="s">
        <v>3150</v>
      </c>
      <c r="C83" s="3286">
        <v>207</v>
      </c>
      <c r="D83" s="3285" t="s">
        <v>3154</v>
      </c>
      <c r="E83" s="3285">
        <v>145.71</v>
      </c>
      <c r="F83" s="3285">
        <v>7.55</v>
      </c>
      <c r="G83" s="3285">
        <v>2</v>
      </c>
      <c r="K83" s="3308">
        <v>81</v>
      </c>
      <c r="L83" s="3309" t="s">
        <v>3368</v>
      </c>
      <c r="M83" s="3310">
        <v>207</v>
      </c>
      <c r="N83" s="3309" t="s">
        <v>3372</v>
      </c>
      <c r="O83" s="3310">
        <v>145.71</v>
      </c>
    </row>
    <row r="84" spans="1:15" ht="30.6" thickBot="1">
      <c r="A84" s="3285">
        <v>82</v>
      </c>
      <c r="B84" s="3285" t="s">
        <v>3150</v>
      </c>
      <c r="C84" s="3286">
        <v>303</v>
      </c>
      <c r="D84" s="3285" t="s">
        <v>3155</v>
      </c>
      <c r="E84" s="3285">
        <v>177.4</v>
      </c>
      <c r="F84" s="3285">
        <v>8.1</v>
      </c>
      <c r="G84" s="3289">
        <v>3</v>
      </c>
      <c r="K84" s="3308">
        <v>82</v>
      </c>
      <c r="L84" s="3309" t="s">
        <v>3368</v>
      </c>
      <c r="M84" s="3310">
        <v>303</v>
      </c>
      <c r="N84" s="3309" t="s">
        <v>3373</v>
      </c>
      <c r="O84" s="3310">
        <v>177.4</v>
      </c>
    </row>
    <row r="85" spans="1:15" ht="30.6" thickBot="1">
      <c r="A85" s="3285">
        <v>83</v>
      </c>
      <c r="B85" s="3285" t="s">
        <v>3150</v>
      </c>
      <c r="C85" s="3286">
        <v>305</v>
      </c>
      <c r="D85" s="3285" t="s">
        <v>3156</v>
      </c>
      <c r="E85" s="3285">
        <v>177.4</v>
      </c>
      <c r="F85" s="3285">
        <v>8.1</v>
      </c>
      <c r="G85" s="3289">
        <v>3</v>
      </c>
      <c r="K85" s="3308">
        <v>83</v>
      </c>
      <c r="L85" s="3309" t="s">
        <v>3368</v>
      </c>
      <c r="M85" s="3310">
        <v>305</v>
      </c>
      <c r="N85" s="3309" t="s">
        <v>3374</v>
      </c>
      <c r="O85" s="3310">
        <v>177.4</v>
      </c>
    </row>
    <row r="86" spans="1:15" ht="30.6" thickBot="1">
      <c r="A86" s="3285">
        <v>84</v>
      </c>
      <c r="B86" s="3285" t="s">
        <v>3150</v>
      </c>
      <c r="C86" s="3286">
        <v>707</v>
      </c>
      <c r="D86" s="3285" t="s">
        <v>3157</v>
      </c>
      <c r="E86" s="3285">
        <v>145.71</v>
      </c>
      <c r="F86" s="3285">
        <v>7.55</v>
      </c>
      <c r="G86" s="3285">
        <v>6</v>
      </c>
      <c r="K86" s="3308">
        <v>84</v>
      </c>
      <c r="L86" s="3309" t="s">
        <v>3368</v>
      </c>
      <c r="M86" s="3310">
        <v>707</v>
      </c>
      <c r="N86" s="3309" t="s">
        <v>3375</v>
      </c>
      <c r="O86" s="3310">
        <v>145.71</v>
      </c>
    </row>
    <row r="87" spans="1:15" ht="40.799999999999997" thickBot="1">
      <c r="A87" s="3285">
        <v>85</v>
      </c>
      <c r="B87" s="3285" t="s">
        <v>3150</v>
      </c>
      <c r="C87" s="3286">
        <v>2501</v>
      </c>
      <c r="D87" s="3285" t="s">
        <v>3158</v>
      </c>
      <c r="E87" s="3285">
        <v>145.71</v>
      </c>
      <c r="F87" s="3285">
        <v>7.55</v>
      </c>
      <c r="G87" s="3285">
        <v>21</v>
      </c>
      <c r="K87" s="3308">
        <v>85</v>
      </c>
      <c r="L87" s="3309" t="s">
        <v>3368</v>
      </c>
      <c r="M87" s="3310">
        <v>2501</v>
      </c>
      <c r="N87" s="3309" t="s">
        <v>3376</v>
      </c>
      <c r="O87" s="3310">
        <v>145.71</v>
      </c>
    </row>
    <row r="88" spans="1:15" ht="40.799999999999997" thickBot="1">
      <c r="A88" s="3285">
        <v>86</v>
      </c>
      <c r="B88" s="3285" t="s">
        <v>3150</v>
      </c>
      <c r="C88" s="3286">
        <v>2502</v>
      </c>
      <c r="D88" s="3285" t="s">
        <v>3159</v>
      </c>
      <c r="E88" s="3285">
        <v>121.44</v>
      </c>
      <c r="F88" s="3285">
        <v>6.29</v>
      </c>
      <c r="G88" s="3285">
        <v>21</v>
      </c>
      <c r="K88" s="3308">
        <v>86</v>
      </c>
      <c r="L88" s="3309" t="s">
        <v>3368</v>
      </c>
      <c r="M88" s="3310">
        <v>2502</v>
      </c>
      <c r="N88" s="3309" t="s">
        <v>3377</v>
      </c>
      <c r="O88" s="3310">
        <v>121.44</v>
      </c>
    </row>
    <row r="89" spans="1:15" ht="40.799999999999997" thickBot="1">
      <c r="A89" s="3285">
        <v>87</v>
      </c>
      <c r="B89" s="3285" t="s">
        <v>3150</v>
      </c>
      <c r="C89" s="3286">
        <v>2503</v>
      </c>
      <c r="D89" s="3285" t="s">
        <v>3160</v>
      </c>
      <c r="E89" s="3285">
        <v>178.8</v>
      </c>
      <c r="F89" s="3285">
        <v>9.27</v>
      </c>
      <c r="G89" s="3289">
        <v>21</v>
      </c>
      <c r="K89" s="3308">
        <v>87</v>
      </c>
      <c r="L89" s="3309" t="s">
        <v>3368</v>
      </c>
      <c r="M89" s="3310">
        <v>2503</v>
      </c>
      <c r="N89" s="3309" t="s">
        <v>3378</v>
      </c>
      <c r="O89" s="3310">
        <v>178.8</v>
      </c>
    </row>
    <row r="90" spans="1:15" ht="40.799999999999997" thickBot="1">
      <c r="A90" s="3285">
        <v>88</v>
      </c>
      <c r="B90" s="3285" t="s">
        <v>3150</v>
      </c>
      <c r="C90" s="3286">
        <v>2602</v>
      </c>
      <c r="D90" s="3285" t="s">
        <v>3161</v>
      </c>
      <c r="E90" s="3285">
        <v>398.12</v>
      </c>
      <c r="F90" s="3285">
        <v>20.63</v>
      </c>
      <c r="G90" s="3289">
        <v>22</v>
      </c>
      <c r="K90" s="3308">
        <v>88</v>
      </c>
      <c r="L90" s="3309" t="s">
        <v>3368</v>
      </c>
      <c r="M90" s="3310">
        <v>2602</v>
      </c>
      <c r="N90" s="3309" t="s">
        <v>3379</v>
      </c>
      <c r="O90" s="3310">
        <v>398.12</v>
      </c>
    </row>
    <row r="91" spans="1:15" ht="30.6" thickBot="1">
      <c r="A91" s="3285">
        <v>89</v>
      </c>
      <c r="B91" s="3285" t="s">
        <v>3162</v>
      </c>
      <c r="C91" s="3286">
        <v>201</v>
      </c>
      <c r="D91" s="3285" t="s">
        <v>3163</v>
      </c>
      <c r="E91" s="3285">
        <v>145.44999999999999</v>
      </c>
      <c r="F91" s="3285">
        <v>6.93</v>
      </c>
      <c r="G91" s="3289">
        <v>2</v>
      </c>
      <c r="K91" s="3308">
        <v>89</v>
      </c>
      <c r="L91" s="3309" t="s">
        <v>3380</v>
      </c>
      <c r="M91" s="3310">
        <v>201</v>
      </c>
      <c r="N91" s="3309" t="s">
        <v>3381</v>
      </c>
      <c r="O91" s="3310">
        <v>145.44999999999999</v>
      </c>
    </row>
    <row r="92" spans="1:15" ht="30.6" thickBot="1">
      <c r="A92" s="3285">
        <v>90</v>
      </c>
      <c r="B92" s="3285" t="s">
        <v>3162</v>
      </c>
      <c r="C92" s="3286">
        <v>202</v>
      </c>
      <c r="D92" s="3285" t="s">
        <v>3164</v>
      </c>
      <c r="E92" s="3285">
        <v>176.46</v>
      </c>
      <c r="F92" s="3285">
        <v>8.4</v>
      </c>
      <c r="G92" s="3289">
        <v>2</v>
      </c>
      <c r="K92" s="3308">
        <v>90</v>
      </c>
      <c r="L92" s="3309" t="s">
        <v>3380</v>
      </c>
      <c r="M92" s="3310">
        <v>202</v>
      </c>
      <c r="N92" s="3309" t="s">
        <v>3382</v>
      </c>
      <c r="O92" s="3310">
        <v>176.46</v>
      </c>
    </row>
    <row r="93" spans="1:15" ht="30.6" thickBot="1">
      <c r="A93" s="3285">
        <v>91</v>
      </c>
      <c r="B93" s="3285" t="s">
        <v>3162</v>
      </c>
      <c r="C93" s="3286">
        <v>203</v>
      </c>
      <c r="D93" s="3285" t="s">
        <v>3165</v>
      </c>
      <c r="E93" s="3285">
        <v>176.46</v>
      </c>
      <c r="F93" s="3285">
        <v>8.4</v>
      </c>
      <c r="G93" s="3289">
        <v>2</v>
      </c>
      <c r="K93" s="3308">
        <v>91</v>
      </c>
      <c r="L93" s="3309" t="s">
        <v>3380</v>
      </c>
      <c r="M93" s="3310">
        <v>203</v>
      </c>
      <c r="N93" s="3309" t="s">
        <v>3383</v>
      </c>
      <c r="O93" s="3310">
        <v>176.46</v>
      </c>
    </row>
    <row r="94" spans="1:15" ht="30.6" thickBot="1">
      <c r="A94" s="3285">
        <v>92</v>
      </c>
      <c r="B94" s="3285" t="s">
        <v>3162</v>
      </c>
      <c r="C94" s="3286">
        <v>205</v>
      </c>
      <c r="D94" s="3285" t="s">
        <v>3166</v>
      </c>
      <c r="E94" s="3285">
        <v>145.79</v>
      </c>
      <c r="F94" s="3285">
        <v>6.97</v>
      </c>
      <c r="G94" s="3285">
        <v>2</v>
      </c>
      <c r="K94" s="3308">
        <v>92</v>
      </c>
      <c r="L94" s="3309" t="s">
        <v>3380</v>
      </c>
      <c r="M94" s="3310">
        <v>205</v>
      </c>
      <c r="N94" s="3309" t="s">
        <v>3384</v>
      </c>
      <c r="O94" s="3310">
        <v>145.79</v>
      </c>
    </row>
    <row r="95" spans="1:15" ht="30.6" thickBot="1">
      <c r="A95" s="3285">
        <v>93</v>
      </c>
      <c r="B95" s="3285" t="s">
        <v>3162</v>
      </c>
      <c r="C95" s="3286">
        <v>301</v>
      </c>
      <c r="D95" s="3285" t="s">
        <v>3167</v>
      </c>
      <c r="E95" s="3285">
        <v>146.32</v>
      </c>
      <c r="F95" s="3285">
        <v>6.97</v>
      </c>
      <c r="G95" s="3289">
        <v>3</v>
      </c>
      <c r="K95" s="3308">
        <v>93</v>
      </c>
      <c r="L95" s="3309" t="s">
        <v>3380</v>
      </c>
      <c r="M95" s="3310">
        <v>301</v>
      </c>
      <c r="N95" s="3309" t="s">
        <v>3385</v>
      </c>
      <c r="O95" s="3310">
        <v>146.32</v>
      </c>
    </row>
    <row r="96" spans="1:15" ht="30.6" thickBot="1">
      <c r="A96" s="3285">
        <v>94</v>
      </c>
      <c r="B96" s="3285" t="s">
        <v>3162</v>
      </c>
      <c r="C96" s="3286">
        <v>302</v>
      </c>
      <c r="D96" s="3285" t="s">
        <v>3168</v>
      </c>
      <c r="E96" s="3285">
        <v>176.29</v>
      </c>
      <c r="F96" s="3285">
        <v>8.39</v>
      </c>
      <c r="G96" s="3289">
        <v>3</v>
      </c>
      <c r="K96" s="3308">
        <v>94</v>
      </c>
      <c r="L96" s="3309" t="s">
        <v>3380</v>
      </c>
      <c r="M96" s="3310">
        <v>302</v>
      </c>
      <c r="N96" s="3309" t="s">
        <v>3386</v>
      </c>
      <c r="O96" s="3310">
        <v>176.29</v>
      </c>
    </row>
    <row r="97" spans="1:15" ht="30.6" thickBot="1">
      <c r="A97" s="3285">
        <v>95</v>
      </c>
      <c r="B97" s="3285" t="s">
        <v>3162</v>
      </c>
      <c r="C97" s="3286">
        <v>303</v>
      </c>
      <c r="D97" s="3285" t="s">
        <v>3169</v>
      </c>
      <c r="E97" s="3285">
        <v>176.29</v>
      </c>
      <c r="F97" s="3285">
        <v>8.39</v>
      </c>
      <c r="G97" s="3289">
        <v>3</v>
      </c>
      <c r="K97" s="3308">
        <v>95</v>
      </c>
      <c r="L97" s="3309" t="s">
        <v>3380</v>
      </c>
      <c r="M97" s="3310">
        <v>303</v>
      </c>
      <c r="N97" s="3309" t="s">
        <v>3387</v>
      </c>
      <c r="O97" s="3310">
        <v>176.29</v>
      </c>
    </row>
    <row r="98" spans="1:15" ht="30.6" thickBot="1">
      <c r="A98" s="3285">
        <v>96</v>
      </c>
      <c r="B98" s="3285" t="s">
        <v>3162</v>
      </c>
      <c r="C98" s="3286">
        <v>503</v>
      </c>
      <c r="D98" s="3285" t="s">
        <v>3170</v>
      </c>
      <c r="E98" s="3285">
        <v>176.15</v>
      </c>
      <c r="F98" s="3285">
        <v>8.39</v>
      </c>
      <c r="G98" s="3289">
        <v>4</v>
      </c>
      <c r="K98" s="3308">
        <v>96</v>
      </c>
      <c r="L98" s="3309" t="s">
        <v>3380</v>
      </c>
      <c r="M98" s="3310">
        <v>503</v>
      </c>
      <c r="N98" s="3309" t="s">
        <v>3388</v>
      </c>
      <c r="O98" s="3310">
        <v>176.15</v>
      </c>
    </row>
    <row r="99" spans="1:15" ht="30.6" thickBot="1">
      <c r="A99" s="3285">
        <v>97</v>
      </c>
      <c r="B99" s="3285" t="s">
        <v>3162</v>
      </c>
      <c r="C99" s="3286">
        <v>701</v>
      </c>
      <c r="D99" s="3285" t="s">
        <v>3171</v>
      </c>
      <c r="E99" s="3285">
        <v>147.49</v>
      </c>
      <c r="F99" s="3285">
        <v>7.02</v>
      </c>
      <c r="G99" s="3289">
        <v>6</v>
      </c>
      <c r="K99" s="3308">
        <v>97</v>
      </c>
      <c r="L99" s="3309" t="s">
        <v>3380</v>
      </c>
      <c r="M99" s="3310">
        <v>701</v>
      </c>
      <c r="N99" s="3309" t="s">
        <v>3389</v>
      </c>
      <c r="O99" s="3310">
        <v>147.49</v>
      </c>
    </row>
    <row r="100" spans="1:15" ht="30.6" thickBot="1">
      <c r="A100" s="3285">
        <v>98</v>
      </c>
      <c r="B100" s="3285" t="s">
        <v>3162</v>
      </c>
      <c r="C100" s="3286">
        <v>703</v>
      </c>
      <c r="D100" s="3285" t="s">
        <v>3172</v>
      </c>
      <c r="E100" s="3285">
        <v>175.93</v>
      </c>
      <c r="F100" s="3285">
        <v>8.3800000000000008</v>
      </c>
      <c r="G100" s="3289">
        <v>6</v>
      </c>
      <c r="K100" s="3308">
        <v>98</v>
      </c>
      <c r="L100" s="3309" t="s">
        <v>3380</v>
      </c>
      <c r="M100" s="3310">
        <v>703</v>
      </c>
      <c r="N100" s="3309" t="s">
        <v>3390</v>
      </c>
      <c r="O100" s="3310">
        <v>175.93</v>
      </c>
    </row>
    <row r="101" spans="1:15" ht="30.6" thickBot="1">
      <c r="A101" s="3285">
        <v>99</v>
      </c>
      <c r="B101" s="3285" t="s">
        <v>3162</v>
      </c>
      <c r="C101" s="3286">
        <v>802</v>
      </c>
      <c r="D101" s="3285" t="s">
        <v>3173</v>
      </c>
      <c r="E101" s="3285">
        <v>175.84</v>
      </c>
      <c r="F101" s="3285">
        <v>8.3699999999999992</v>
      </c>
      <c r="G101" s="3289">
        <v>7</v>
      </c>
      <c r="K101" s="3308">
        <v>99</v>
      </c>
      <c r="L101" s="3309" t="s">
        <v>3380</v>
      </c>
      <c r="M101" s="3310">
        <v>802</v>
      </c>
      <c r="N101" s="3309" t="s">
        <v>3391</v>
      </c>
      <c r="O101" s="3310">
        <v>175.84</v>
      </c>
    </row>
    <row r="102" spans="1:15" ht="30.6" thickBot="1">
      <c r="A102" s="3285">
        <v>100</v>
      </c>
      <c r="B102" s="3285" t="s">
        <v>3162</v>
      </c>
      <c r="C102" s="3286">
        <v>803</v>
      </c>
      <c r="D102" s="3285" t="s">
        <v>3174</v>
      </c>
      <c r="E102" s="3285">
        <v>175.84</v>
      </c>
      <c r="F102" s="3285">
        <v>8.3699999999999992</v>
      </c>
      <c r="G102" s="3289">
        <v>7</v>
      </c>
      <c r="K102" s="3308">
        <v>100</v>
      </c>
      <c r="L102" s="3309" t="s">
        <v>3380</v>
      </c>
      <c r="M102" s="3310">
        <v>803</v>
      </c>
      <c r="N102" s="3309" t="s">
        <v>3392</v>
      </c>
      <c r="O102" s="3310">
        <v>175.84</v>
      </c>
    </row>
    <row r="103" spans="1:15" ht="40.799999999999997" thickBot="1">
      <c r="A103" s="3285">
        <v>101</v>
      </c>
      <c r="B103" s="3285" t="s">
        <v>3162</v>
      </c>
      <c r="C103" s="3286">
        <v>1001</v>
      </c>
      <c r="D103" s="3285" t="s">
        <v>3175</v>
      </c>
      <c r="E103" s="3285">
        <v>146.94999999999999</v>
      </c>
      <c r="F103" s="3285">
        <v>7</v>
      </c>
      <c r="G103" s="3289">
        <v>9</v>
      </c>
      <c r="K103" s="3308">
        <v>101</v>
      </c>
      <c r="L103" s="3309" t="s">
        <v>3380</v>
      </c>
      <c r="M103" s="3310">
        <v>1001</v>
      </c>
      <c r="N103" s="3309" t="s">
        <v>3393</v>
      </c>
      <c r="O103" s="3310">
        <v>146.94999999999999</v>
      </c>
    </row>
    <row r="104" spans="1:15" ht="40.799999999999997" thickBot="1">
      <c r="A104" s="3285">
        <v>102</v>
      </c>
      <c r="B104" s="3285" t="s">
        <v>3162</v>
      </c>
      <c r="C104" s="3286">
        <v>1102</v>
      </c>
      <c r="D104" s="3285" t="s">
        <v>3176</v>
      </c>
      <c r="E104" s="3285">
        <v>175.75</v>
      </c>
      <c r="F104" s="3285">
        <v>8.3699999999999992</v>
      </c>
      <c r="G104" s="3289">
        <v>9</v>
      </c>
      <c r="K104" s="3308">
        <v>102</v>
      </c>
      <c r="L104" s="3309" t="s">
        <v>3380</v>
      </c>
      <c r="M104" s="3310">
        <v>1102</v>
      </c>
      <c r="N104" s="3309" t="s">
        <v>3394</v>
      </c>
      <c r="O104" s="3310">
        <v>175.75</v>
      </c>
    </row>
    <row r="105" spans="1:15" ht="40.799999999999997" thickBot="1">
      <c r="A105" s="3285">
        <v>103</v>
      </c>
      <c r="B105" s="3285" t="s">
        <v>3162</v>
      </c>
      <c r="C105" s="3286">
        <v>1202</v>
      </c>
      <c r="D105" s="3285" t="s">
        <v>3177</v>
      </c>
      <c r="E105" s="3285">
        <v>175.75</v>
      </c>
      <c r="F105" s="3285">
        <v>8.3699999999999992</v>
      </c>
      <c r="G105" s="3289">
        <v>10</v>
      </c>
      <c r="K105" s="3308">
        <v>103</v>
      </c>
      <c r="L105" s="3309" t="s">
        <v>3380</v>
      </c>
      <c r="M105" s="3310">
        <v>1202</v>
      </c>
      <c r="N105" s="3309" t="s">
        <v>3395</v>
      </c>
      <c r="O105" s="3310">
        <v>175.75</v>
      </c>
    </row>
    <row r="106" spans="1:15" ht="40.799999999999997" thickBot="1">
      <c r="A106" s="3285">
        <v>104</v>
      </c>
      <c r="B106" s="3285" t="s">
        <v>3162</v>
      </c>
      <c r="C106" s="3286">
        <v>1501</v>
      </c>
      <c r="D106" s="3285" t="s">
        <v>3178</v>
      </c>
      <c r="E106" s="3285">
        <v>146.71</v>
      </c>
      <c r="F106" s="3285">
        <v>6.99</v>
      </c>
      <c r="G106" s="3289">
        <v>12</v>
      </c>
      <c r="K106" s="3308">
        <v>104</v>
      </c>
      <c r="L106" s="3309" t="s">
        <v>3380</v>
      </c>
      <c r="M106" s="3310">
        <v>1501</v>
      </c>
      <c r="N106" s="3309" t="s">
        <v>3396</v>
      </c>
      <c r="O106" s="3310">
        <v>146.71</v>
      </c>
    </row>
    <row r="107" spans="1:15" ht="40.799999999999997" thickBot="1">
      <c r="A107" s="3285">
        <v>105</v>
      </c>
      <c r="B107" s="3285" t="s">
        <v>3162</v>
      </c>
      <c r="C107" s="3286">
        <v>1503</v>
      </c>
      <c r="D107" s="3285" t="s">
        <v>3179</v>
      </c>
      <c r="E107" s="3285">
        <v>175.77</v>
      </c>
      <c r="F107" s="3285">
        <v>8.3699999999999992</v>
      </c>
      <c r="G107" s="3289">
        <v>12</v>
      </c>
      <c r="K107" s="3308">
        <v>105</v>
      </c>
      <c r="L107" s="3309" t="s">
        <v>3380</v>
      </c>
      <c r="M107" s="3310">
        <v>1503</v>
      </c>
      <c r="N107" s="3309" t="s">
        <v>3397</v>
      </c>
      <c r="O107" s="3310">
        <v>175.77</v>
      </c>
    </row>
    <row r="108" spans="1:15" ht="40.799999999999997" thickBot="1">
      <c r="A108" s="3285">
        <v>106</v>
      </c>
      <c r="B108" s="3285" t="s">
        <v>3162</v>
      </c>
      <c r="C108" s="3286">
        <v>1603</v>
      </c>
      <c r="D108" s="3285" t="s">
        <v>3180</v>
      </c>
      <c r="E108" s="3285">
        <v>175.81</v>
      </c>
      <c r="F108" s="3285">
        <v>8.3699999999999992</v>
      </c>
      <c r="G108" s="3289">
        <v>13</v>
      </c>
      <c r="K108" s="3308">
        <v>106</v>
      </c>
      <c r="L108" s="3309" t="s">
        <v>3380</v>
      </c>
      <c r="M108" s="3310">
        <v>1603</v>
      </c>
      <c r="N108" s="3309" t="s">
        <v>3398</v>
      </c>
      <c r="O108" s="3310">
        <v>175.81</v>
      </c>
    </row>
    <row r="109" spans="1:15" ht="40.799999999999997" thickBot="1">
      <c r="A109" s="3285">
        <v>107</v>
      </c>
      <c r="B109" s="3285" t="s">
        <v>3162</v>
      </c>
      <c r="C109" s="3286">
        <v>1703</v>
      </c>
      <c r="D109" s="3285" t="s">
        <v>3181</v>
      </c>
      <c r="E109" s="3285">
        <v>175.87</v>
      </c>
      <c r="F109" s="3285">
        <v>8.3699999999999992</v>
      </c>
      <c r="G109" s="3289">
        <v>14</v>
      </c>
      <c r="K109" s="3308">
        <v>107</v>
      </c>
      <c r="L109" s="3309" t="s">
        <v>3380</v>
      </c>
      <c r="M109" s="3310">
        <v>1703</v>
      </c>
      <c r="N109" s="3309" t="s">
        <v>3399</v>
      </c>
      <c r="O109" s="3310">
        <v>175.87</v>
      </c>
    </row>
    <row r="110" spans="1:15" ht="40.799999999999997" thickBot="1">
      <c r="A110" s="3285">
        <v>108</v>
      </c>
      <c r="B110" s="3285" t="s">
        <v>3162</v>
      </c>
      <c r="C110" s="3286">
        <v>1803</v>
      </c>
      <c r="D110" s="3285" t="s">
        <v>3182</v>
      </c>
      <c r="E110" s="3285">
        <v>175.95</v>
      </c>
      <c r="F110" s="3285">
        <v>8.3800000000000008</v>
      </c>
      <c r="G110" s="3285">
        <v>15</v>
      </c>
      <c r="K110" s="3308">
        <v>108</v>
      </c>
      <c r="L110" s="3309" t="s">
        <v>3380</v>
      </c>
      <c r="M110" s="3310">
        <v>1803</v>
      </c>
      <c r="N110" s="3309" t="s">
        <v>3400</v>
      </c>
      <c r="O110" s="3310">
        <v>175.95</v>
      </c>
    </row>
    <row r="111" spans="1:15" ht="40.799999999999997" thickBot="1">
      <c r="A111" s="3285">
        <v>109</v>
      </c>
      <c r="B111" s="3285" t="s">
        <v>3162</v>
      </c>
      <c r="C111" s="3286">
        <v>2103</v>
      </c>
      <c r="D111" s="3285" t="s">
        <v>3183</v>
      </c>
      <c r="E111" s="3285">
        <v>176.56</v>
      </c>
      <c r="F111" s="3285">
        <v>8.41</v>
      </c>
      <c r="G111" s="3289">
        <v>18</v>
      </c>
      <c r="K111" s="3308">
        <v>109</v>
      </c>
      <c r="L111" s="3309" t="s">
        <v>3380</v>
      </c>
      <c r="M111" s="3310">
        <v>2103</v>
      </c>
      <c r="N111" s="3309" t="s">
        <v>3401</v>
      </c>
      <c r="O111" s="3310">
        <v>176.56</v>
      </c>
    </row>
    <row r="112" spans="1:15" ht="40.799999999999997" thickBot="1">
      <c r="A112" s="3285">
        <v>110</v>
      </c>
      <c r="B112" s="3285" t="s">
        <v>3162</v>
      </c>
      <c r="C112" s="3286">
        <v>2303</v>
      </c>
      <c r="D112" s="3285" t="s">
        <v>3184</v>
      </c>
      <c r="E112" s="3285">
        <v>177.19</v>
      </c>
      <c r="F112" s="3285">
        <v>8.44</v>
      </c>
      <c r="G112" s="3289">
        <v>20</v>
      </c>
      <c r="K112" s="3308">
        <v>110</v>
      </c>
      <c r="L112" s="3309" t="s">
        <v>3380</v>
      </c>
      <c r="M112" s="3310">
        <v>2303</v>
      </c>
      <c r="N112" s="3309" t="s">
        <v>3402</v>
      </c>
      <c r="O112" s="3310">
        <v>177.19</v>
      </c>
    </row>
    <row r="113" spans="1:15" ht="40.799999999999997" thickBot="1">
      <c r="A113" s="3285">
        <v>111</v>
      </c>
      <c r="B113" s="3285" t="s">
        <v>3162</v>
      </c>
      <c r="C113" s="3286">
        <v>2502</v>
      </c>
      <c r="D113" s="3285" t="s">
        <v>3185</v>
      </c>
      <c r="E113" s="3285">
        <v>177.69</v>
      </c>
      <c r="F113" s="3285">
        <v>8.4600000000000009</v>
      </c>
      <c r="G113" s="3289">
        <v>21</v>
      </c>
      <c r="K113" s="3308">
        <v>111</v>
      </c>
      <c r="L113" s="3309" t="s">
        <v>3380</v>
      </c>
      <c r="M113" s="3310">
        <v>2502</v>
      </c>
      <c r="N113" s="3309" t="s">
        <v>3403</v>
      </c>
      <c r="O113" s="3310">
        <v>177.69</v>
      </c>
    </row>
    <row r="114" spans="1:15" ht="40.799999999999997" thickBot="1">
      <c r="A114" s="3285">
        <v>112</v>
      </c>
      <c r="B114" s="3285" t="s">
        <v>3162</v>
      </c>
      <c r="C114" s="3286">
        <v>2601</v>
      </c>
      <c r="D114" s="3285" t="s">
        <v>3186</v>
      </c>
      <c r="E114" s="3285">
        <v>406.38</v>
      </c>
      <c r="F114" s="3285">
        <v>19.350000000000001</v>
      </c>
      <c r="G114" s="3289">
        <v>22</v>
      </c>
      <c r="K114" s="3308">
        <v>112</v>
      </c>
      <c r="L114" s="3309" t="s">
        <v>3380</v>
      </c>
      <c r="M114" s="3310">
        <v>2601</v>
      </c>
      <c r="N114" s="3309" t="s">
        <v>3404</v>
      </c>
      <c r="O114" s="3310">
        <v>406.38</v>
      </c>
    </row>
    <row r="115" spans="1:15" ht="40.799999999999997" thickBot="1">
      <c r="A115" s="3285">
        <v>113</v>
      </c>
      <c r="B115" s="3285" t="s">
        <v>3162</v>
      </c>
      <c r="C115" s="3286">
        <v>2602</v>
      </c>
      <c r="D115" s="3285" t="s">
        <v>3187</v>
      </c>
      <c r="E115" s="3285">
        <v>395.56</v>
      </c>
      <c r="F115" s="3285">
        <v>18.829999999999998</v>
      </c>
      <c r="G115" s="3289">
        <v>22</v>
      </c>
      <c r="K115" s="3308">
        <v>113</v>
      </c>
      <c r="L115" s="3309" t="s">
        <v>3380</v>
      </c>
      <c r="M115" s="3310">
        <v>2602</v>
      </c>
      <c r="N115" s="3309" t="s">
        <v>3405</v>
      </c>
      <c r="O115" s="3310">
        <v>395.56</v>
      </c>
    </row>
    <row r="116" spans="1:15" ht="30.6" thickBot="1">
      <c r="A116" s="3285">
        <v>114</v>
      </c>
      <c r="B116" s="3285" t="s">
        <v>3188</v>
      </c>
      <c r="C116" s="3286">
        <v>201</v>
      </c>
      <c r="D116" s="3285" t="s">
        <v>3189</v>
      </c>
      <c r="E116" s="3285">
        <v>145.79</v>
      </c>
      <c r="F116" s="3285">
        <v>6.97</v>
      </c>
      <c r="G116" s="3285">
        <v>2</v>
      </c>
      <c r="K116" s="3308">
        <v>114</v>
      </c>
      <c r="L116" s="3309" t="s">
        <v>3406</v>
      </c>
      <c r="M116" s="3310">
        <v>201</v>
      </c>
      <c r="N116" s="3309" t="s">
        <v>3407</v>
      </c>
      <c r="O116" s="3310">
        <v>145.79</v>
      </c>
    </row>
    <row r="117" spans="1:15" ht="30.6" thickBot="1">
      <c r="A117" s="3285">
        <v>115</v>
      </c>
      <c r="B117" s="3285" t="s">
        <v>3188</v>
      </c>
      <c r="C117" s="3286">
        <v>202</v>
      </c>
      <c r="D117" s="3285" t="s">
        <v>3190</v>
      </c>
      <c r="E117" s="3285">
        <v>176.46</v>
      </c>
      <c r="F117" s="3285">
        <v>8.4</v>
      </c>
      <c r="G117" s="3289">
        <v>2</v>
      </c>
      <c r="K117" s="3308">
        <v>115</v>
      </c>
      <c r="L117" s="3309" t="s">
        <v>3406</v>
      </c>
      <c r="M117" s="3310">
        <v>202</v>
      </c>
      <c r="N117" s="3309" t="s">
        <v>3408</v>
      </c>
      <c r="O117" s="3310">
        <v>176.46</v>
      </c>
    </row>
    <row r="118" spans="1:15" ht="30.6" thickBot="1">
      <c r="A118" s="3285">
        <v>116</v>
      </c>
      <c r="B118" s="3285" t="s">
        <v>3188</v>
      </c>
      <c r="C118" s="3286">
        <v>203</v>
      </c>
      <c r="D118" s="3285" t="s">
        <v>3191</v>
      </c>
      <c r="E118" s="3285">
        <v>176.46</v>
      </c>
      <c r="F118" s="3285">
        <v>8.4</v>
      </c>
      <c r="G118" s="3289">
        <v>2</v>
      </c>
      <c r="K118" s="3308">
        <v>116</v>
      </c>
      <c r="L118" s="3309" t="s">
        <v>3406</v>
      </c>
      <c r="M118" s="3310">
        <v>203</v>
      </c>
      <c r="N118" s="3309" t="s">
        <v>3409</v>
      </c>
      <c r="O118" s="3310">
        <v>176.46</v>
      </c>
    </row>
    <row r="119" spans="1:15" ht="30.6" thickBot="1">
      <c r="A119" s="3285">
        <v>117</v>
      </c>
      <c r="B119" s="3285" t="s">
        <v>3188</v>
      </c>
      <c r="C119" s="3286">
        <v>205</v>
      </c>
      <c r="D119" s="3285" t="s">
        <v>3192</v>
      </c>
      <c r="E119" s="3285">
        <v>145.44999999999999</v>
      </c>
      <c r="F119" s="3285">
        <v>6.93</v>
      </c>
      <c r="G119" s="3289">
        <v>2</v>
      </c>
      <c r="K119" s="3308">
        <v>117</v>
      </c>
      <c r="L119" s="3309" t="s">
        <v>3406</v>
      </c>
      <c r="M119" s="3310">
        <v>205</v>
      </c>
      <c r="N119" s="3309" t="s">
        <v>3410</v>
      </c>
      <c r="O119" s="3310">
        <v>145.44999999999999</v>
      </c>
    </row>
    <row r="120" spans="1:15" ht="30.6" thickBot="1">
      <c r="A120" s="3285">
        <v>118</v>
      </c>
      <c r="B120" s="3285" t="s">
        <v>3188</v>
      </c>
      <c r="C120" s="3286">
        <v>302</v>
      </c>
      <c r="D120" s="3285" t="s">
        <v>3193</v>
      </c>
      <c r="E120" s="3285">
        <v>176.29</v>
      </c>
      <c r="F120" s="3285">
        <v>8.39</v>
      </c>
      <c r="G120" s="3289">
        <v>3</v>
      </c>
      <c r="K120" s="3308">
        <v>118</v>
      </c>
      <c r="L120" s="3309" t="s">
        <v>3406</v>
      </c>
      <c r="M120" s="3310">
        <v>302</v>
      </c>
      <c r="N120" s="3309" t="s">
        <v>3411</v>
      </c>
      <c r="O120" s="3310">
        <v>176.29</v>
      </c>
    </row>
    <row r="121" spans="1:15" ht="30.6" thickBot="1">
      <c r="A121" s="3285">
        <v>119</v>
      </c>
      <c r="B121" s="3285" t="s">
        <v>3188</v>
      </c>
      <c r="C121" s="3286">
        <v>303</v>
      </c>
      <c r="D121" s="3285" t="s">
        <v>3194</v>
      </c>
      <c r="E121" s="3285">
        <v>176.29</v>
      </c>
      <c r="F121" s="3285">
        <v>8.39</v>
      </c>
      <c r="G121" s="3289">
        <v>3</v>
      </c>
      <c r="K121" s="3308">
        <v>119</v>
      </c>
      <c r="L121" s="3309" t="s">
        <v>3406</v>
      </c>
      <c r="M121" s="3310">
        <v>303</v>
      </c>
      <c r="N121" s="3309" t="s">
        <v>3412</v>
      </c>
      <c r="O121" s="3310">
        <v>176.29</v>
      </c>
    </row>
    <row r="122" spans="1:15" ht="30.6" thickBot="1">
      <c r="A122" s="3285">
        <v>120</v>
      </c>
      <c r="B122" s="3285" t="s">
        <v>3188</v>
      </c>
      <c r="C122" s="3286">
        <v>502</v>
      </c>
      <c r="D122" s="3285" t="s">
        <v>3195</v>
      </c>
      <c r="E122" s="3285">
        <v>176.15</v>
      </c>
      <c r="F122" s="3285">
        <v>8.39</v>
      </c>
      <c r="G122" s="3289">
        <v>4</v>
      </c>
      <c r="K122" s="3308">
        <v>120</v>
      </c>
      <c r="L122" s="3309" t="s">
        <v>3406</v>
      </c>
      <c r="M122" s="3310">
        <v>502</v>
      </c>
      <c r="N122" s="3309" t="s">
        <v>3413</v>
      </c>
      <c r="O122" s="3310">
        <v>176.15</v>
      </c>
    </row>
    <row r="123" spans="1:15" ht="30.6" thickBot="1">
      <c r="A123" s="3285">
        <v>121</v>
      </c>
      <c r="B123" s="3285" t="s">
        <v>3188</v>
      </c>
      <c r="C123" s="3286">
        <v>503</v>
      </c>
      <c r="D123" s="3285" t="s">
        <v>3196</v>
      </c>
      <c r="E123" s="3285">
        <v>176.15</v>
      </c>
      <c r="F123" s="3285">
        <v>8.39</v>
      </c>
      <c r="G123" s="3289">
        <v>4</v>
      </c>
      <c r="K123" s="3308">
        <v>121</v>
      </c>
      <c r="L123" s="3309" t="s">
        <v>3406</v>
      </c>
      <c r="M123" s="3310">
        <v>503</v>
      </c>
      <c r="N123" s="3309" t="s">
        <v>3414</v>
      </c>
      <c r="O123" s="3310">
        <v>176.15</v>
      </c>
    </row>
    <row r="124" spans="1:15" ht="30.6" thickBot="1">
      <c r="A124" s="3285">
        <v>122</v>
      </c>
      <c r="B124" s="3285" t="s">
        <v>3188</v>
      </c>
      <c r="C124" s="3286">
        <v>505</v>
      </c>
      <c r="D124" s="3285" t="s">
        <v>3197</v>
      </c>
      <c r="E124" s="3285">
        <v>146.32</v>
      </c>
      <c r="F124" s="3285">
        <v>6.97</v>
      </c>
      <c r="G124" s="3289">
        <v>4</v>
      </c>
      <c r="K124" s="3308">
        <v>122</v>
      </c>
      <c r="L124" s="3309" t="s">
        <v>3406</v>
      </c>
      <c r="M124" s="3310">
        <v>505</v>
      </c>
      <c r="N124" s="3309" t="s">
        <v>3415</v>
      </c>
      <c r="O124" s="3310">
        <v>146.32</v>
      </c>
    </row>
    <row r="125" spans="1:15" ht="30.6" thickBot="1">
      <c r="A125" s="3285">
        <v>123</v>
      </c>
      <c r="B125" s="3285" t="s">
        <v>3188</v>
      </c>
      <c r="C125" s="3286">
        <v>602</v>
      </c>
      <c r="D125" s="3285" t="s">
        <v>3198</v>
      </c>
      <c r="E125" s="3285">
        <v>176.02</v>
      </c>
      <c r="F125" s="3285">
        <v>8.3800000000000008</v>
      </c>
      <c r="G125" s="3289">
        <v>5</v>
      </c>
      <c r="K125" s="3308">
        <v>123</v>
      </c>
      <c r="L125" s="3309" t="s">
        <v>3406</v>
      </c>
      <c r="M125" s="3310">
        <v>602</v>
      </c>
      <c r="N125" s="3309" t="s">
        <v>3416</v>
      </c>
      <c r="O125" s="3310">
        <v>176.02</v>
      </c>
    </row>
    <row r="126" spans="1:15" ht="30.6" thickBot="1">
      <c r="A126" s="3285">
        <v>124</v>
      </c>
      <c r="B126" s="3285" t="s">
        <v>3188</v>
      </c>
      <c r="C126" s="3286">
        <v>603</v>
      </c>
      <c r="D126" s="3285" t="s">
        <v>3199</v>
      </c>
      <c r="E126" s="3285">
        <v>176.02</v>
      </c>
      <c r="F126" s="3285">
        <v>8.3800000000000008</v>
      </c>
      <c r="G126" s="3289">
        <v>5</v>
      </c>
      <c r="K126" s="3308">
        <v>124</v>
      </c>
      <c r="L126" s="3309" t="s">
        <v>3406</v>
      </c>
      <c r="M126" s="3310">
        <v>603</v>
      </c>
      <c r="N126" s="3309" t="s">
        <v>3417</v>
      </c>
      <c r="O126" s="3310">
        <v>176.02</v>
      </c>
    </row>
    <row r="127" spans="1:15" ht="30.6" thickBot="1">
      <c r="A127" s="3285">
        <v>125</v>
      </c>
      <c r="B127" s="3285" t="s">
        <v>3188</v>
      </c>
      <c r="C127" s="3286">
        <v>702</v>
      </c>
      <c r="D127" s="3285" t="s">
        <v>3200</v>
      </c>
      <c r="E127" s="3285">
        <v>175.93</v>
      </c>
      <c r="F127" s="3285">
        <v>8.3800000000000008</v>
      </c>
      <c r="G127" s="3289">
        <v>6</v>
      </c>
      <c r="K127" s="3308">
        <v>125</v>
      </c>
      <c r="L127" s="3309" t="s">
        <v>3406</v>
      </c>
      <c r="M127" s="3310">
        <v>702</v>
      </c>
      <c r="N127" s="3309" t="s">
        <v>3418</v>
      </c>
      <c r="O127" s="3310">
        <v>175.93</v>
      </c>
    </row>
    <row r="128" spans="1:15" ht="30.6" thickBot="1">
      <c r="A128" s="3285">
        <v>126</v>
      </c>
      <c r="B128" s="3285" t="s">
        <v>3188</v>
      </c>
      <c r="C128" s="3286">
        <v>703</v>
      </c>
      <c r="D128" s="3285" t="s">
        <v>3201</v>
      </c>
      <c r="E128" s="3285">
        <v>175.93</v>
      </c>
      <c r="F128" s="3285">
        <v>8.3800000000000008</v>
      </c>
      <c r="G128" s="3289">
        <v>6</v>
      </c>
      <c r="K128" s="3308">
        <v>126</v>
      </c>
      <c r="L128" s="3309" t="s">
        <v>3406</v>
      </c>
      <c r="M128" s="3310">
        <v>703</v>
      </c>
      <c r="N128" s="3309" t="s">
        <v>3419</v>
      </c>
      <c r="O128" s="3310">
        <v>175.93</v>
      </c>
    </row>
    <row r="129" spans="1:15" ht="30.6" thickBot="1">
      <c r="A129" s="3285">
        <v>127</v>
      </c>
      <c r="B129" s="3285" t="s">
        <v>3188</v>
      </c>
      <c r="C129" s="3286">
        <v>801</v>
      </c>
      <c r="D129" s="3285" t="s">
        <v>3202</v>
      </c>
      <c r="E129" s="3285">
        <v>146.66</v>
      </c>
      <c r="F129" s="3285">
        <v>6.98</v>
      </c>
      <c r="G129" s="3289">
        <v>7</v>
      </c>
      <c r="K129" s="3308">
        <v>127</v>
      </c>
      <c r="L129" s="3309" t="s">
        <v>3406</v>
      </c>
      <c r="M129" s="3310">
        <v>801</v>
      </c>
      <c r="N129" s="3309" t="s">
        <v>3420</v>
      </c>
      <c r="O129" s="3310">
        <v>146.66</v>
      </c>
    </row>
    <row r="130" spans="1:15" ht="30.6" thickBot="1">
      <c r="A130" s="3285">
        <v>128</v>
      </c>
      <c r="B130" s="3285" t="s">
        <v>3188</v>
      </c>
      <c r="C130" s="3286">
        <v>802</v>
      </c>
      <c r="D130" s="3285" t="s">
        <v>3203</v>
      </c>
      <c r="E130" s="3285">
        <v>175.84</v>
      </c>
      <c r="F130" s="3285">
        <v>8.3699999999999992</v>
      </c>
      <c r="G130" s="3289">
        <v>7</v>
      </c>
      <c r="K130" s="3308">
        <v>128</v>
      </c>
      <c r="L130" s="3309" t="s">
        <v>3406</v>
      </c>
      <c r="M130" s="3310">
        <v>802</v>
      </c>
      <c r="N130" s="3309" t="s">
        <v>3421</v>
      </c>
      <c r="O130" s="3310">
        <v>175.84</v>
      </c>
    </row>
    <row r="131" spans="1:15" ht="30.6" thickBot="1">
      <c r="A131" s="3285">
        <v>129</v>
      </c>
      <c r="B131" s="3285" t="s">
        <v>3188</v>
      </c>
      <c r="C131" s="3286">
        <v>803</v>
      </c>
      <c r="D131" s="3285" t="s">
        <v>3204</v>
      </c>
      <c r="E131" s="3285">
        <v>175.84</v>
      </c>
      <c r="F131" s="3285">
        <v>8.3699999999999992</v>
      </c>
      <c r="G131" s="3289">
        <v>7</v>
      </c>
      <c r="K131" s="3308">
        <v>129</v>
      </c>
      <c r="L131" s="3309" t="s">
        <v>3406</v>
      </c>
      <c r="M131" s="3310">
        <v>803</v>
      </c>
      <c r="N131" s="3309" t="s">
        <v>3422</v>
      </c>
      <c r="O131" s="3310">
        <v>175.84</v>
      </c>
    </row>
    <row r="132" spans="1:15" ht="30.6" thickBot="1">
      <c r="A132" s="3285">
        <v>130</v>
      </c>
      <c r="B132" s="3285" t="s">
        <v>3188</v>
      </c>
      <c r="C132" s="3286">
        <v>902</v>
      </c>
      <c r="D132" s="3285" t="s">
        <v>3205</v>
      </c>
      <c r="E132" s="3285">
        <v>175.79</v>
      </c>
      <c r="F132" s="3285">
        <v>8.3699999999999992</v>
      </c>
      <c r="G132" s="3289">
        <v>8</v>
      </c>
      <c r="K132" s="3308">
        <v>130</v>
      </c>
      <c r="L132" s="3309" t="s">
        <v>3406</v>
      </c>
      <c r="M132" s="3310">
        <v>902</v>
      </c>
      <c r="N132" s="3309" t="s">
        <v>3423</v>
      </c>
      <c r="O132" s="3310">
        <v>175.79</v>
      </c>
    </row>
    <row r="133" spans="1:15" ht="30.6" thickBot="1">
      <c r="A133" s="3285">
        <v>131</v>
      </c>
      <c r="B133" s="3285" t="s">
        <v>3188</v>
      </c>
      <c r="C133" s="3286">
        <v>903</v>
      </c>
      <c r="D133" s="3285" t="s">
        <v>3206</v>
      </c>
      <c r="E133" s="3285">
        <v>175.79</v>
      </c>
      <c r="F133" s="3285">
        <v>8.3699999999999992</v>
      </c>
      <c r="G133" s="3289">
        <v>8</v>
      </c>
      <c r="K133" s="3308">
        <v>131</v>
      </c>
      <c r="L133" s="3309" t="s">
        <v>3406</v>
      </c>
      <c r="M133" s="3310">
        <v>903</v>
      </c>
      <c r="N133" s="3309" t="s">
        <v>3424</v>
      </c>
      <c r="O133" s="3310">
        <v>175.79</v>
      </c>
    </row>
    <row r="134" spans="1:15" ht="30.6" thickBot="1">
      <c r="A134" s="3285">
        <v>132</v>
      </c>
      <c r="B134" s="3285" t="s">
        <v>3188</v>
      </c>
      <c r="C134" s="3286">
        <v>905</v>
      </c>
      <c r="D134" s="3285" t="s">
        <v>3207</v>
      </c>
      <c r="E134" s="3285">
        <v>147.1</v>
      </c>
      <c r="F134" s="3285">
        <v>7</v>
      </c>
      <c r="G134" s="3289">
        <v>8</v>
      </c>
      <c r="K134" s="3308">
        <v>132</v>
      </c>
      <c r="L134" s="3309" t="s">
        <v>3406</v>
      </c>
      <c r="M134" s="3310">
        <v>905</v>
      </c>
      <c r="N134" s="3309" t="s">
        <v>3425</v>
      </c>
      <c r="O134" s="3310">
        <v>147.1</v>
      </c>
    </row>
    <row r="135" spans="1:15" ht="40.799999999999997" thickBot="1">
      <c r="A135" s="3285">
        <v>133</v>
      </c>
      <c r="B135" s="3285" t="s">
        <v>3188</v>
      </c>
      <c r="C135" s="3286">
        <v>1002</v>
      </c>
      <c r="D135" s="3285" t="s">
        <v>3208</v>
      </c>
      <c r="E135" s="3285">
        <v>175.76</v>
      </c>
      <c r="F135" s="3285">
        <v>8.3699999999999992</v>
      </c>
      <c r="G135" s="3289">
        <v>9</v>
      </c>
      <c r="K135" s="3308">
        <v>133</v>
      </c>
      <c r="L135" s="3309" t="s">
        <v>3406</v>
      </c>
      <c r="M135" s="3310">
        <v>1002</v>
      </c>
      <c r="N135" s="3309" t="s">
        <v>3426</v>
      </c>
      <c r="O135" s="3310">
        <v>175.76</v>
      </c>
    </row>
    <row r="136" spans="1:15" ht="40.799999999999997" thickBot="1">
      <c r="A136" s="3285">
        <v>134</v>
      </c>
      <c r="B136" s="3285" t="s">
        <v>3188</v>
      </c>
      <c r="C136" s="3286">
        <v>1003</v>
      </c>
      <c r="D136" s="3285" t="s">
        <v>3209</v>
      </c>
      <c r="E136" s="3285">
        <v>175.76</v>
      </c>
      <c r="F136" s="3285">
        <v>8.3699999999999992</v>
      </c>
      <c r="G136" s="3289">
        <v>9</v>
      </c>
      <c r="K136" s="3308">
        <v>134</v>
      </c>
      <c r="L136" s="3309" t="s">
        <v>3406</v>
      </c>
      <c r="M136" s="3310">
        <v>1003</v>
      </c>
      <c r="N136" s="3309" t="s">
        <v>3427</v>
      </c>
      <c r="O136" s="3310">
        <v>175.76</v>
      </c>
    </row>
    <row r="137" spans="1:15" ht="40.799999999999997" thickBot="1">
      <c r="A137" s="3285">
        <v>135</v>
      </c>
      <c r="B137" s="3285" t="s">
        <v>3188</v>
      </c>
      <c r="C137" s="3286">
        <v>1005</v>
      </c>
      <c r="D137" s="3285" t="s">
        <v>3210</v>
      </c>
      <c r="E137" s="3285">
        <v>146.94999999999999</v>
      </c>
      <c r="F137" s="3285">
        <v>7</v>
      </c>
      <c r="G137" s="3289">
        <v>9</v>
      </c>
      <c r="K137" s="3308">
        <v>135</v>
      </c>
      <c r="L137" s="3309" t="s">
        <v>3406</v>
      </c>
      <c r="M137" s="3310">
        <v>1005</v>
      </c>
      <c r="N137" s="3309" t="s">
        <v>3428</v>
      </c>
      <c r="O137" s="3310">
        <v>146.94999999999999</v>
      </c>
    </row>
    <row r="138" spans="1:15" ht="40.799999999999997" thickBot="1">
      <c r="A138" s="3285">
        <v>136</v>
      </c>
      <c r="B138" s="3293" t="s">
        <v>3188</v>
      </c>
      <c r="C138" s="3294">
        <v>1105</v>
      </c>
      <c r="D138" s="3293" t="s">
        <v>3211</v>
      </c>
      <c r="E138" s="3293">
        <v>146.85</v>
      </c>
      <c r="F138" s="3285">
        <v>6.99</v>
      </c>
      <c r="G138" s="3285">
        <v>10</v>
      </c>
      <c r="K138" s="3308">
        <v>136</v>
      </c>
      <c r="L138" s="3309" t="s">
        <v>3406</v>
      </c>
      <c r="M138" s="3310">
        <v>1105</v>
      </c>
      <c r="N138" s="3309" t="s">
        <v>3429</v>
      </c>
      <c r="O138" s="3310">
        <v>146.85</v>
      </c>
    </row>
    <row r="139" spans="1:15" ht="40.799999999999997" thickBot="1">
      <c r="A139" s="3285">
        <v>137</v>
      </c>
      <c r="B139" s="3285" t="s">
        <v>3188</v>
      </c>
      <c r="C139" s="3286">
        <v>1205</v>
      </c>
      <c r="D139" s="3285" t="s">
        <v>3212</v>
      </c>
      <c r="E139" s="3285">
        <v>146.76</v>
      </c>
      <c r="F139" s="3285">
        <v>6.99</v>
      </c>
      <c r="G139" s="3289">
        <v>11</v>
      </c>
      <c r="K139" s="3308">
        <v>137</v>
      </c>
      <c r="L139" s="3309" t="s">
        <v>3406</v>
      </c>
      <c r="M139" s="3310">
        <v>1205</v>
      </c>
      <c r="N139" s="3309" t="s">
        <v>3430</v>
      </c>
      <c r="O139" s="3310">
        <v>146.76</v>
      </c>
    </row>
    <row r="140" spans="1:15" ht="40.799999999999997" thickBot="1">
      <c r="A140" s="3285">
        <v>138</v>
      </c>
      <c r="B140" s="3285" t="s">
        <v>3188</v>
      </c>
      <c r="C140" s="3286">
        <v>1502</v>
      </c>
      <c r="D140" s="3285" t="s">
        <v>3213</v>
      </c>
      <c r="E140" s="3285">
        <v>175.77</v>
      </c>
      <c r="F140" s="3285">
        <v>8.3699999999999992</v>
      </c>
      <c r="G140" s="3289">
        <v>12</v>
      </c>
      <c r="K140" s="3308">
        <v>138</v>
      </c>
      <c r="L140" s="3309" t="s">
        <v>3406</v>
      </c>
      <c r="M140" s="3310">
        <v>1502</v>
      </c>
      <c r="N140" s="3309" t="s">
        <v>3431</v>
      </c>
      <c r="O140" s="3310">
        <v>175.77</v>
      </c>
    </row>
    <row r="141" spans="1:15" ht="40.799999999999997" thickBot="1">
      <c r="A141" s="3285">
        <v>139</v>
      </c>
      <c r="B141" s="3285" t="s">
        <v>3188</v>
      </c>
      <c r="C141" s="3286">
        <v>1503</v>
      </c>
      <c r="D141" s="3285" t="s">
        <v>3214</v>
      </c>
      <c r="E141" s="3285">
        <v>175.77</v>
      </c>
      <c r="F141" s="3285">
        <v>8.3699999999999992</v>
      </c>
      <c r="G141" s="3289">
        <v>12</v>
      </c>
      <c r="K141" s="3308">
        <v>139</v>
      </c>
      <c r="L141" s="3309" t="s">
        <v>3406</v>
      </c>
      <c r="M141" s="3310">
        <v>1503</v>
      </c>
      <c r="N141" s="3309" t="s">
        <v>3432</v>
      </c>
      <c r="O141" s="3310">
        <v>175.77</v>
      </c>
    </row>
    <row r="142" spans="1:15" ht="40.799999999999997" thickBot="1">
      <c r="A142" s="3285">
        <v>140</v>
      </c>
      <c r="B142" s="3285" t="s">
        <v>3188</v>
      </c>
      <c r="C142" s="3286">
        <v>1602</v>
      </c>
      <c r="D142" s="3285" t="s">
        <v>3215</v>
      </c>
      <c r="E142" s="3285">
        <v>175.81</v>
      </c>
      <c r="F142" s="3285">
        <v>8.3699999999999992</v>
      </c>
      <c r="G142" s="3289">
        <v>13</v>
      </c>
      <c r="K142" s="3308">
        <v>140</v>
      </c>
      <c r="L142" s="3309" t="s">
        <v>3406</v>
      </c>
      <c r="M142" s="3310">
        <v>1602</v>
      </c>
      <c r="N142" s="3309" t="s">
        <v>3433</v>
      </c>
      <c r="O142" s="3310">
        <v>175.81</v>
      </c>
    </row>
    <row r="143" spans="1:15" ht="40.799999999999997" thickBot="1">
      <c r="A143" s="3285">
        <v>141</v>
      </c>
      <c r="B143" s="3285" t="s">
        <v>3188</v>
      </c>
      <c r="C143" s="3286">
        <v>1603</v>
      </c>
      <c r="D143" s="3285" t="s">
        <v>3216</v>
      </c>
      <c r="E143" s="3285">
        <v>175.81</v>
      </c>
      <c r="F143" s="3285">
        <v>8.3699999999999992</v>
      </c>
      <c r="G143" s="3289">
        <v>13</v>
      </c>
      <c r="K143" s="3308">
        <v>141</v>
      </c>
      <c r="L143" s="3309" t="s">
        <v>3406</v>
      </c>
      <c r="M143" s="3310">
        <v>1603</v>
      </c>
      <c r="N143" s="3309" t="s">
        <v>3434</v>
      </c>
      <c r="O143" s="3310">
        <v>175.81</v>
      </c>
    </row>
    <row r="144" spans="1:15" ht="40.799999999999997" thickBot="1">
      <c r="A144" s="3285">
        <v>142</v>
      </c>
      <c r="B144" s="3285" t="s">
        <v>3188</v>
      </c>
      <c r="C144" s="3286">
        <v>1702</v>
      </c>
      <c r="D144" s="3285" t="s">
        <v>3217</v>
      </c>
      <c r="E144" s="3285">
        <v>175.87</v>
      </c>
      <c r="F144" s="3285">
        <v>8.3699999999999992</v>
      </c>
      <c r="G144" s="3289">
        <v>14</v>
      </c>
      <c r="K144" s="3308">
        <v>142</v>
      </c>
      <c r="L144" s="3309" t="s">
        <v>3406</v>
      </c>
      <c r="M144" s="3310">
        <v>1702</v>
      </c>
      <c r="N144" s="3309" t="s">
        <v>3435</v>
      </c>
      <c r="O144" s="3310">
        <v>175.87</v>
      </c>
    </row>
    <row r="145" spans="1:15" ht="40.799999999999997" thickBot="1">
      <c r="A145" s="3285">
        <v>143</v>
      </c>
      <c r="B145" s="3285" t="s">
        <v>3188</v>
      </c>
      <c r="C145" s="3286">
        <v>1703</v>
      </c>
      <c r="D145" s="3285" t="s">
        <v>3218</v>
      </c>
      <c r="E145" s="3285">
        <v>175.87</v>
      </c>
      <c r="F145" s="3285">
        <v>8.3699999999999992</v>
      </c>
      <c r="G145" s="3289">
        <v>14</v>
      </c>
      <c r="K145" s="3308">
        <v>143</v>
      </c>
      <c r="L145" s="3309" t="s">
        <v>3406</v>
      </c>
      <c r="M145" s="3310">
        <v>1703</v>
      </c>
      <c r="N145" s="3309" t="s">
        <v>3436</v>
      </c>
      <c r="O145" s="3310">
        <v>175.87</v>
      </c>
    </row>
    <row r="146" spans="1:15" ht="40.799999999999997" thickBot="1">
      <c r="A146" s="3285">
        <v>144</v>
      </c>
      <c r="B146" s="3285" t="s">
        <v>3188</v>
      </c>
      <c r="C146" s="3286">
        <v>1802</v>
      </c>
      <c r="D146" s="3285" t="s">
        <v>3219</v>
      </c>
      <c r="E146" s="3285">
        <v>175.95</v>
      </c>
      <c r="F146" s="3285">
        <v>8.3800000000000008</v>
      </c>
      <c r="G146" s="3285">
        <v>15</v>
      </c>
      <c r="K146" s="3308">
        <v>144</v>
      </c>
      <c r="L146" s="3309" t="s">
        <v>3406</v>
      </c>
      <c r="M146" s="3310">
        <v>1802</v>
      </c>
      <c r="N146" s="3309" t="s">
        <v>3437</v>
      </c>
      <c r="O146" s="3310">
        <v>175.95</v>
      </c>
    </row>
    <row r="147" spans="1:15" ht="40.799999999999997" thickBot="1">
      <c r="A147" s="3285">
        <v>145</v>
      </c>
      <c r="B147" s="3285" t="s">
        <v>3188</v>
      </c>
      <c r="C147" s="3286">
        <v>1805</v>
      </c>
      <c r="D147" s="3285" t="s">
        <v>3220</v>
      </c>
      <c r="E147" s="3285">
        <v>146.69</v>
      </c>
      <c r="F147" s="3285">
        <v>6.98</v>
      </c>
      <c r="G147" s="3289">
        <v>15</v>
      </c>
      <c r="K147" s="3308">
        <v>145</v>
      </c>
      <c r="L147" s="3309" t="s">
        <v>3406</v>
      </c>
      <c r="M147" s="3310">
        <v>1805</v>
      </c>
      <c r="N147" s="3309" t="s">
        <v>3438</v>
      </c>
      <c r="O147" s="3310">
        <v>146.69</v>
      </c>
    </row>
    <row r="148" spans="1:15" ht="40.799999999999997" thickBot="1">
      <c r="A148" s="3285">
        <v>146</v>
      </c>
      <c r="B148" s="3285" t="s">
        <v>3188</v>
      </c>
      <c r="C148" s="3286">
        <v>1902</v>
      </c>
      <c r="D148" s="3285" t="s">
        <v>3221</v>
      </c>
      <c r="E148" s="3285">
        <v>176.06</v>
      </c>
      <c r="F148" s="3285">
        <v>8.3800000000000008</v>
      </c>
      <c r="G148" s="3289">
        <v>16</v>
      </c>
      <c r="K148" s="3308">
        <v>146</v>
      </c>
      <c r="L148" s="3309" t="s">
        <v>3406</v>
      </c>
      <c r="M148" s="3310">
        <v>1902</v>
      </c>
      <c r="N148" s="3309" t="s">
        <v>3439</v>
      </c>
      <c r="O148" s="3310">
        <v>176.06</v>
      </c>
    </row>
    <row r="149" spans="1:15" ht="40.799999999999997" thickBot="1">
      <c r="A149" s="3285">
        <v>147</v>
      </c>
      <c r="B149" s="3285" t="s">
        <v>3188</v>
      </c>
      <c r="C149" s="3286">
        <v>2102</v>
      </c>
      <c r="D149" s="3285" t="s">
        <v>3222</v>
      </c>
      <c r="E149" s="3285">
        <v>176.56</v>
      </c>
      <c r="F149" s="3285">
        <v>8.41</v>
      </c>
      <c r="G149" s="3289">
        <v>18</v>
      </c>
      <c r="K149" s="3308">
        <v>147</v>
      </c>
      <c r="L149" s="3309" t="s">
        <v>3406</v>
      </c>
      <c r="M149" s="3310">
        <v>2102</v>
      </c>
      <c r="N149" s="3309" t="s">
        <v>3440</v>
      </c>
      <c r="O149" s="3310">
        <v>176.56</v>
      </c>
    </row>
    <row r="150" spans="1:15" ht="40.799999999999997" thickBot="1">
      <c r="A150" s="3285">
        <v>148</v>
      </c>
      <c r="B150" s="3285" t="s">
        <v>3188</v>
      </c>
      <c r="C150" s="3286">
        <v>2105</v>
      </c>
      <c r="D150" s="3285" t="s">
        <v>3223</v>
      </c>
      <c r="E150" s="3285">
        <v>147.36000000000001</v>
      </c>
      <c r="F150" s="3285">
        <v>7.02</v>
      </c>
      <c r="G150" s="3289">
        <v>18</v>
      </c>
      <c r="K150" s="3308">
        <v>148</v>
      </c>
      <c r="L150" s="3309" t="s">
        <v>3406</v>
      </c>
      <c r="M150" s="3310">
        <v>2105</v>
      </c>
      <c r="N150" s="3309" t="s">
        <v>3441</v>
      </c>
      <c r="O150" s="3310">
        <v>147.36000000000001</v>
      </c>
    </row>
    <row r="151" spans="1:15" ht="40.799999999999997" thickBot="1">
      <c r="A151" s="3285">
        <v>149</v>
      </c>
      <c r="B151" s="3285" t="s">
        <v>3188</v>
      </c>
      <c r="C151" s="3286">
        <v>2203</v>
      </c>
      <c r="D151" s="3285" t="s">
        <v>3224</v>
      </c>
      <c r="E151" s="3285">
        <v>176.8</v>
      </c>
      <c r="F151" s="3285">
        <v>8.42</v>
      </c>
      <c r="G151" s="3289">
        <v>19</v>
      </c>
      <c r="K151" s="3308">
        <v>149</v>
      </c>
      <c r="L151" s="3309" t="s">
        <v>3406</v>
      </c>
      <c r="M151" s="3310">
        <v>2203</v>
      </c>
      <c r="N151" s="3309" t="s">
        <v>3442</v>
      </c>
      <c r="O151" s="3310">
        <v>176.8</v>
      </c>
    </row>
    <row r="152" spans="1:15" ht="40.799999999999997" thickBot="1">
      <c r="A152" s="3285">
        <v>150</v>
      </c>
      <c r="B152" s="3285" t="s">
        <v>3188</v>
      </c>
      <c r="C152" s="3286">
        <v>2205</v>
      </c>
      <c r="D152" s="3285" t="s">
        <v>3225</v>
      </c>
      <c r="E152" s="3285">
        <v>147.79</v>
      </c>
      <c r="F152" s="3285">
        <v>7.04</v>
      </c>
      <c r="G152" s="3289">
        <v>19</v>
      </c>
      <c r="K152" s="3308">
        <v>150</v>
      </c>
      <c r="L152" s="3309" t="s">
        <v>3406</v>
      </c>
      <c r="M152" s="3310">
        <v>2205</v>
      </c>
      <c r="N152" s="3309" t="s">
        <v>3443</v>
      </c>
      <c r="O152" s="3310">
        <v>147.79</v>
      </c>
    </row>
    <row r="153" spans="1:15" ht="40.799999999999997" thickBot="1">
      <c r="A153" s="3285">
        <v>151</v>
      </c>
      <c r="B153" s="3285" t="s">
        <v>3188</v>
      </c>
      <c r="C153" s="3286">
        <v>2305</v>
      </c>
      <c r="D153" s="3285" t="s">
        <v>3226</v>
      </c>
      <c r="E153" s="3285">
        <v>148.36000000000001</v>
      </c>
      <c r="F153" s="3285">
        <v>7.06</v>
      </c>
      <c r="G153" s="3289">
        <v>20</v>
      </c>
      <c r="K153" s="3308">
        <v>151</v>
      </c>
      <c r="L153" s="3309" t="s">
        <v>3406</v>
      </c>
      <c r="M153" s="3310">
        <v>2305</v>
      </c>
      <c r="N153" s="3309" t="s">
        <v>3444</v>
      </c>
      <c r="O153" s="3310">
        <v>148.36000000000001</v>
      </c>
    </row>
    <row r="154" spans="1:15" ht="40.799999999999997" thickBot="1">
      <c r="A154" s="3285">
        <v>152</v>
      </c>
      <c r="B154" s="3285" t="s">
        <v>3188</v>
      </c>
      <c r="C154" s="3286">
        <v>2502</v>
      </c>
      <c r="D154" s="3285" t="s">
        <v>3227</v>
      </c>
      <c r="E154" s="3285">
        <v>177.69</v>
      </c>
      <c r="F154" s="3285">
        <v>8.4600000000000009</v>
      </c>
      <c r="G154" s="3289">
        <v>21</v>
      </c>
      <c r="K154" s="3308">
        <v>152</v>
      </c>
      <c r="L154" s="3309" t="s">
        <v>3406</v>
      </c>
      <c r="M154" s="3310">
        <v>2502</v>
      </c>
      <c r="N154" s="3309" t="s">
        <v>3445</v>
      </c>
      <c r="O154" s="3310">
        <v>177.69</v>
      </c>
    </row>
    <row r="155" spans="1:15" ht="40.799999999999997" thickBot="1">
      <c r="A155" s="3285">
        <v>153</v>
      </c>
      <c r="B155" s="3285" t="s">
        <v>3188</v>
      </c>
      <c r="C155" s="3286">
        <v>2503</v>
      </c>
      <c r="D155" s="3285" t="s">
        <v>3228</v>
      </c>
      <c r="E155" s="3285">
        <v>177.69</v>
      </c>
      <c r="F155" s="3285">
        <v>8.4600000000000009</v>
      </c>
      <c r="G155" s="3289">
        <v>21</v>
      </c>
      <c r="K155" s="3308">
        <v>153</v>
      </c>
      <c r="L155" s="3309" t="s">
        <v>3406</v>
      </c>
      <c r="M155" s="3310">
        <v>2503</v>
      </c>
      <c r="N155" s="3309" t="s">
        <v>3446</v>
      </c>
      <c r="O155" s="3310">
        <v>177.69</v>
      </c>
    </row>
    <row r="156" spans="1:15" ht="40.799999999999997" thickBot="1">
      <c r="A156" s="3285">
        <v>154</v>
      </c>
      <c r="B156" s="3285" t="s">
        <v>3188</v>
      </c>
      <c r="C156" s="3286">
        <v>2505</v>
      </c>
      <c r="D156" s="3285" t="s">
        <v>3229</v>
      </c>
      <c r="E156" s="3285">
        <v>148.96</v>
      </c>
      <c r="F156" s="3285">
        <v>7.09</v>
      </c>
      <c r="G156" s="3289">
        <v>21</v>
      </c>
      <c r="K156" s="3308">
        <v>154</v>
      </c>
      <c r="L156" s="3309" t="s">
        <v>3406</v>
      </c>
      <c r="M156" s="3310">
        <v>2505</v>
      </c>
      <c r="N156" s="3309" t="s">
        <v>3447</v>
      </c>
      <c r="O156" s="3310">
        <v>148.96</v>
      </c>
    </row>
    <row r="157" spans="1:15" ht="40.799999999999997" thickBot="1">
      <c r="A157" s="3285">
        <v>155</v>
      </c>
      <c r="B157" s="3285" t="s">
        <v>3188</v>
      </c>
      <c r="C157" s="3286">
        <v>2602</v>
      </c>
      <c r="D157" s="3285" t="s">
        <v>3230</v>
      </c>
      <c r="E157" s="3285">
        <v>395.56</v>
      </c>
      <c r="F157" s="3285">
        <v>18.829999999999998</v>
      </c>
      <c r="G157" s="3289">
        <v>22</v>
      </c>
      <c r="K157" s="3308">
        <v>155</v>
      </c>
      <c r="L157" s="3309" t="s">
        <v>3406</v>
      </c>
      <c r="M157" s="3310">
        <v>2602</v>
      </c>
      <c r="N157" s="3309" t="s">
        <v>3448</v>
      </c>
      <c r="O157" s="3310">
        <v>395.56</v>
      </c>
    </row>
    <row r="158" spans="1:15" ht="15" thickBot="1">
      <c r="B158" s="3290" t="s">
        <v>3233</v>
      </c>
      <c r="C158" s="3290"/>
      <c r="D158" s="3290"/>
      <c r="E158" s="3291">
        <f>SUM(E3:E157)</f>
        <v>26597.459999999995</v>
      </c>
      <c r="F158" s="3291">
        <f>SUM(F3:F157)</f>
        <v>1241.6299999999987</v>
      </c>
      <c r="G158" s="3291"/>
      <c r="K158" s="3311" t="s">
        <v>37</v>
      </c>
      <c r="L158" s="3312"/>
      <c r="M158" s="3312"/>
      <c r="N158" s="3313"/>
      <c r="O158" s="3310">
        <f>SUM(O3:O157)</f>
        <v>26597.459999999995</v>
      </c>
    </row>
    <row r="159" spans="1:15" ht="25.2">
      <c r="K159" s="3314" t="s">
        <v>3449</v>
      </c>
    </row>
  </sheetData>
  <autoFilter ref="A2:F157"/>
  <mergeCells count="2">
    <mergeCell ref="B158:D158"/>
    <mergeCell ref="K158:N158"/>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46.8">
      <c r="A3" s="3027"/>
      <c r="B3" s="3027"/>
      <c r="C3" s="3027"/>
      <c r="D3" s="3028"/>
      <c r="E3" s="302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1934</v>
      </c>
      <c r="B1" s="1391"/>
      <c r="C1" s="1391"/>
      <c r="D1" s="1391"/>
      <c r="E1" s="1391"/>
      <c r="F1" s="1391"/>
      <c r="G1" s="1391"/>
      <c r="H1" s="1391"/>
      <c r="I1" s="1391"/>
      <c r="J1" s="1391"/>
      <c r="K1" s="1391"/>
      <c r="L1" s="1391"/>
      <c r="M1" s="1391"/>
      <c r="N1" s="1391"/>
      <c r="O1" s="1391"/>
      <c r="P1" s="1391"/>
    </row>
    <row r="2" spans="1:16" ht="14.4">
      <c r="A2" s="3038" t="s">
        <v>1935</v>
      </c>
      <c r="B2" s="3038"/>
      <c r="C2" s="3038"/>
      <c r="D2" s="967" t="s">
        <v>1911</v>
      </c>
      <c r="E2" s="2226" t="s">
        <v>1912</v>
      </c>
      <c r="F2" s="1391"/>
      <c r="G2" s="2227"/>
      <c r="H2" s="2228"/>
      <c r="I2" s="2229" t="s">
        <v>1936</v>
      </c>
      <c r="J2" s="1391"/>
      <c r="K2" s="1391"/>
      <c r="L2" s="1391"/>
      <c r="M2" s="1391"/>
      <c r="N2" s="1426"/>
      <c r="O2" s="1391"/>
      <c r="P2" s="1391"/>
    </row>
    <row r="3" spans="1:16" ht="15" thickBot="1">
      <c r="A3" s="3039" t="s">
        <v>1909</v>
      </c>
      <c r="B3" s="3039"/>
      <c r="C3" s="3039"/>
      <c r="D3" s="46">
        <f>'数据-基础表'!AY6</f>
        <v>7.71</v>
      </c>
      <c r="E3" s="46">
        <f>'数据-基础表'!AZ5</f>
        <v>177.12</v>
      </c>
      <c r="F3" s="1391"/>
      <c r="G3" s="1398"/>
      <c r="H3" s="1246" t="s">
        <v>1910</v>
      </c>
      <c r="I3" s="55">
        <f>ROUND('数据-基础表'!B3/'数据-基础表'!A3,2)</f>
        <v>21.42</v>
      </c>
      <c r="J3" s="1391"/>
      <c r="K3" s="1391"/>
      <c r="L3" s="1391"/>
      <c r="M3" s="1391"/>
      <c r="N3" s="1426"/>
      <c r="O3" s="1391"/>
      <c r="P3" s="1391"/>
    </row>
    <row r="4" spans="1:16" ht="14.4">
      <c r="A4" s="3040"/>
      <c r="B4" s="3041"/>
      <c r="C4" s="3042"/>
      <c r="D4" s="2230" t="s">
        <v>1911</v>
      </c>
      <c r="E4" s="2231" t="s">
        <v>1912</v>
      </c>
      <c r="F4" s="1391"/>
      <c r="G4" s="2232" t="s">
        <v>1937</v>
      </c>
      <c r="H4" s="1246" t="s">
        <v>1917</v>
      </c>
      <c r="I4" s="55">
        <f>ROUND(SUMIF('数据-基础表'!I9:AS9,"地上",'数据-基础表'!I5:AS5)/'数据-基础表'!A3,2)</f>
        <v>21.42</v>
      </c>
      <c r="J4" s="1391"/>
      <c r="K4" s="1391"/>
      <c r="L4" s="1391"/>
      <c r="M4" s="1391"/>
      <c r="N4" s="1426"/>
      <c r="O4" s="1391"/>
      <c r="P4" s="1391"/>
    </row>
    <row r="5" spans="1:16" ht="14.4">
      <c r="A5" s="47" t="s">
        <v>1913</v>
      </c>
      <c r="B5" s="3043" t="s">
        <v>1914</v>
      </c>
      <c r="C5" s="3043"/>
      <c r="D5" s="48">
        <f>ROUND($D$3*E5/$E$3,2)</f>
        <v>7.71</v>
      </c>
      <c r="E5" s="49">
        <f>SUMIF('数据-基础表'!$11:$11,"住宅",'数据-基础表'!$5:$5)</f>
        <v>177.12</v>
      </c>
      <c r="F5" s="1391"/>
      <c r="G5" s="1398"/>
      <c r="H5" s="1246" t="s">
        <v>1910</v>
      </c>
      <c r="I5" s="55">
        <f>ROUND(E31/D31,2)</f>
        <v>22.97</v>
      </c>
      <c r="J5" s="1391"/>
      <c r="K5" s="1391"/>
      <c r="L5" s="1391"/>
      <c r="M5" s="1391"/>
      <c r="N5" s="1391"/>
      <c r="O5" s="1391"/>
      <c r="P5" s="1391"/>
    </row>
    <row r="6" spans="1:16" ht="15" thickBot="1">
      <c r="A6" s="2233"/>
      <c r="B6" s="3043" t="s">
        <v>1915</v>
      </c>
      <c r="C6" s="3043"/>
      <c r="D6" s="48">
        <f>ROUND($D$3*E6/$E$3,2)</f>
        <v>0</v>
      </c>
      <c r="E6" s="49">
        <f>E3-E5</f>
        <v>0</v>
      </c>
      <c r="F6" s="1391"/>
      <c r="G6" s="2234" t="s">
        <v>1916</v>
      </c>
      <c r="H6" s="1398" t="s">
        <v>1917</v>
      </c>
      <c r="I6" s="939">
        <f>ROUND(F31/D31,2)</f>
        <v>22.97</v>
      </c>
      <c r="J6" s="1391"/>
      <c r="K6" s="1391"/>
      <c r="L6" s="1391"/>
      <c r="M6" s="1391"/>
      <c r="N6" s="1391"/>
      <c r="O6" s="1391"/>
      <c r="P6" s="1391"/>
    </row>
    <row r="7" spans="1:16" ht="14.4">
      <c r="A7" s="3035"/>
      <c r="B7" s="3036"/>
      <c r="C7" s="3037"/>
      <c r="D7" s="2230" t="s">
        <v>1911</v>
      </c>
      <c r="E7" s="2235" t="s">
        <v>1918</v>
      </c>
      <c r="F7" s="1391"/>
      <c r="G7" s="2227" t="s">
        <v>1919</v>
      </c>
      <c r="H7" s="64"/>
      <c r="I7" s="420"/>
      <c r="J7" s="1391"/>
      <c r="K7" s="1391"/>
      <c r="L7" s="1391"/>
      <c r="M7" s="1391"/>
      <c r="N7" s="1391"/>
      <c r="O7" s="1391"/>
      <c r="P7" s="1391"/>
    </row>
    <row r="8" spans="1:16" ht="14.4">
      <c r="A8" s="47" t="s">
        <v>1920</v>
      </c>
      <c r="B8" s="50" t="s">
        <v>1921</v>
      </c>
      <c r="C8" s="48" t="s">
        <v>1922</v>
      </c>
      <c r="D8" s="48">
        <f t="shared" ref="D8:D15" si="0">ROUND($D$3*E8/$E$3,2)</f>
        <v>7.71</v>
      </c>
      <c r="E8" s="51">
        <f>SUMIF('数据-基础表'!BB10:BK10,"地上",'数据-基础表'!BB5:BK5)</f>
        <v>177.12</v>
      </c>
      <c r="F8" s="1391"/>
      <c r="G8" s="2236"/>
      <c r="H8" s="2236"/>
      <c r="I8" s="1391"/>
      <c r="J8" s="1391"/>
      <c r="K8" s="1391"/>
      <c r="L8" s="1391"/>
      <c r="M8" s="1391"/>
      <c r="N8" s="1391"/>
      <c r="O8" s="1391"/>
      <c r="P8" s="1391"/>
    </row>
    <row r="9" spans="1:16" ht="14.4">
      <c r="A9" s="2237"/>
      <c r="B9" s="2238"/>
      <c r="C9" s="48" t="s">
        <v>1923</v>
      </c>
      <c r="D9" s="48">
        <f t="shared" si="0"/>
        <v>0</v>
      </c>
      <c r="E9" s="52">
        <v>0</v>
      </c>
      <c r="F9" s="1391"/>
      <c r="G9" s="2236"/>
      <c r="H9" s="2236"/>
      <c r="I9" s="1391"/>
      <c r="J9" s="1391"/>
      <c r="K9" s="1391"/>
      <c r="L9" s="1391"/>
      <c r="M9" s="1391"/>
      <c r="N9" s="1391"/>
      <c r="O9" s="1391"/>
      <c r="P9" s="1391"/>
    </row>
    <row r="10" spans="1:16" ht="14.4">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1927</v>
      </c>
      <c r="D16" s="50">
        <f>SUM(D8:D15)</f>
        <v>7.71</v>
      </c>
      <c r="E16" s="53">
        <f>SUM(E8:E15)</f>
        <v>177.12</v>
      </c>
      <c r="F16" s="1391"/>
      <c r="G16" s="2236"/>
      <c r="H16" s="2239" t="s">
        <v>1939</v>
      </c>
      <c r="I16" s="2240"/>
      <c r="J16" s="1391"/>
      <c r="K16" s="3032" t="s">
        <v>1939</v>
      </c>
      <c r="L16" s="3033"/>
      <c r="M16" s="3033"/>
      <c r="N16" s="3033"/>
      <c r="O16" s="3033"/>
      <c r="P16" s="3034"/>
    </row>
    <row r="17" spans="1:19" ht="14.4">
      <c r="A17" s="2241" t="s">
        <v>1940</v>
      </c>
      <c r="B17" s="2242" t="s">
        <v>1941</v>
      </c>
      <c r="C17" s="2243" t="s">
        <v>1942</v>
      </c>
      <c r="D17" s="2244" t="s">
        <v>1930</v>
      </c>
      <c r="E17" s="2245" t="s">
        <v>1931</v>
      </c>
      <c r="F17" s="2246"/>
      <c r="G17" s="2247"/>
      <c r="H17" s="2248" t="s">
        <v>1943</v>
      </c>
      <c r="I17" s="2249" t="s">
        <v>1928</v>
      </c>
      <c r="J17" s="1391"/>
      <c r="K17" s="3029" t="s">
        <v>1944</v>
      </c>
      <c r="L17" s="3030"/>
      <c r="M17" s="3031"/>
      <c r="N17" s="3029" t="s">
        <v>1945</v>
      </c>
      <c r="O17" s="3030"/>
      <c r="P17" s="3031"/>
      <c r="R17" s="2227" t="s">
        <v>1946</v>
      </c>
      <c r="S17" s="64"/>
    </row>
    <row r="18" spans="1:19" ht="14.4">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ht="14.4">
      <c r="A19" s="2258"/>
      <c r="B19" s="50" t="s">
        <v>1929</v>
      </c>
      <c r="C19" s="3292" t="s">
        <v>3275</v>
      </c>
      <c r="D19" s="48">
        <f>ROUND($D$3*E19/$E$3,2)</f>
        <v>7.71</v>
      </c>
      <c r="E19" s="56">
        <f t="shared" ref="E19:E26" si="1">SUM(F19:G19)</f>
        <v>177.12</v>
      </c>
      <c r="F19" s="57">
        <f>'数据-基础表'!I13</f>
        <v>177.12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7.71</v>
      </c>
      <c r="S19" s="1247">
        <f t="shared" si="5"/>
        <v>177.12</v>
      </c>
    </row>
    <row r="20" spans="1:19" ht="14.4">
      <c r="A20" s="2262"/>
      <c r="B20" s="50" t="s">
        <v>1957</v>
      </c>
      <c r="C20" s="3292" t="s">
        <v>3234</v>
      </c>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ht="14.4">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1958</v>
      </c>
      <c r="D27" s="1392">
        <f>SUM(D19:D26)</f>
        <v>7.71</v>
      </c>
      <c r="E27" s="1393">
        <f>IF(SUM(E19:E26)='数据-基础表'!BA5,SUM(E19:E26),IF(F27="地上面积有误","面积有误","地下面积有误"))</f>
        <v>177.12</v>
      </c>
      <c r="F27" s="1392">
        <f>IF(SUM(F19:F26)=E8,SUM(F19:F26),"地上面积有误")</f>
        <v>177.12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7.71</v>
      </c>
      <c r="S27" s="1246">
        <f>IF(SUM(S19:S26)=$E$3,SUM(S19:S26),SUM(S19:S26)&amp;"误差"&amp;ROUND(SUM(S19:S26)-E3,2))</f>
        <v>177.12</v>
      </c>
    </row>
    <row r="28" spans="1:19" ht="14.4">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1962</v>
      </c>
      <c r="D31" s="729">
        <f>D27+D30</f>
        <v>7.71</v>
      </c>
      <c r="E31" s="729">
        <f>E27+E30</f>
        <v>177.12</v>
      </c>
      <c r="F31" s="730">
        <f>F27+F30</f>
        <v>177.12</v>
      </c>
      <c r="G31" s="731">
        <f>G27+G30</f>
        <v>0</v>
      </c>
      <c r="H31" s="1391"/>
      <c r="I31" s="1391"/>
      <c r="J31" s="1391"/>
      <c r="K31" s="1391"/>
      <c r="L31" s="1391"/>
      <c r="M31" s="1391"/>
      <c r="N31" s="1391"/>
      <c r="O31" s="1391"/>
      <c r="P31" s="1391"/>
    </row>
    <row r="32" spans="1:19" ht="14.4">
      <c r="A32" s="2232"/>
      <c r="B32" s="2232" t="s">
        <v>1963</v>
      </c>
      <c r="C32" s="2232"/>
      <c r="D32" s="2232"/>
      <c r="E32" s="1273">
        <f>SUMIF(C19:C26,"*住宅*",E19:E26)</f>
        <v>177.12</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H9" sqref="AH9"/>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1965</v>
      </c>
      <c r="B2" s="1265">
        <f>项目基本情况!D3</f>
        <v>43689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3236</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住宅</v>
      </c>
      <c r="B6" s="2306" t="str">
        <f>IF(A6=0,"","经营性")</f>
        <v>经营性</v>
      </c>
      <c r="C6" s="2307" t="s">
        <v>3062</v>
      </c>
      <c r="D6" s="1051">
        <f>SUMIF(项目基本情况!D$12:I$12,C6,项目基本情况!D$14:I$14)</f>
        <v>70</v>
      </c>
      <c r="E6" s="1048">
        <f>IF(B6="","",SUMIF(项目基本情况!D$12:I$12,C6,项目基本情况!D$13:I$13))</f>
        <v>66557</v>
      </c>
      <c r="F6" s="72">
        <f>SUMIF(项目基本情况!D$12:I$12,C6,项目基本情况!D$15:I$15)</f>
        <v>62.65</v>
      </c>
      <c r="G6" s="73">
        <f>IF(ISERROR(ROUND(POWER(1+H6,D6-F6)*(POWER(1+H6,F6)-1)/(POWER(1+H6,D6)-1),3)),0,ROUND(POWER(1+H6,D6-F6)*(POWER(1+H6,F6)-1)/(POWER(1+H6,D6)-1),3))</f>
        <v>0.97699999999999998</v>
      </c>
      <c r="H6" s="802">
        <v>0.04</v>
      </c>
      <c r="I6" s="802">
        <v>4.4999999999999998E-2</v>
      </c>
      <c r="J6" s="74">
        <v>0.08</v>
      </c>
      <c r="K6" s="1250">
        <f>SUMIF('数据-汇总表'!C$19:C$33,A6,'数据-汇总表'!E$19:E$33)</f>
        <v>177.12</v>
      </c>
      <c r="L6" s="803">
        <v>4500</v>
      </c>
      <c r="M6" s="75">
        <f t="shared" ref="M6:M14" si="0">ROUND(K6*L6/10000,0)</f>
        <v>80</v>
      </c>
      <c r="N6" s="801">
        <f>ROUND(1-(2019-2013)/60,2)</f>
        <v>0.9</v>
      </c>
      <c r="O6" s="75" t="str">
        <f>IF($N$5="成新度","——",ROUND(M6*N6,0))</f>
        <v>——</v>
      </c>
      <c r="P6" s="76" t="str">
        <f>IF($N$5="成新度","——",M6-O6)</f>
        <v>——</v>
      </c>
      <c r="Q6" s="804">
        <v>0.35</v>
      </c>
      <c r="R6" s="77">
        <f ca="1">SUMIF('数据-汇总表'!C$19:C$33,A6,'数据-汇总表'!R$19:R$27)</f>
        <v>7.71</v>
      </c>
      <c r="S6" s="54">
        <f>IF('数据-汇总表'!$I$17="按面积比例",SUMIF('数据-汇总表'!C$19:C$33,A6,'数据-汇总表'!K$19:K$33),SUMIF('数据-汇总表'!C$19:C$33,A6,'数据-汇总表'!N$19:N$33))</f>
        <v>0</v>
      </c>
      <c r="T6" s="1442">
        <f>ROUND($L$14*S6/10000,0)</f>
        <v>0</v>
      </c>
      <c r="U6" s="78">
        <v>8000</v>
      </c>
      <c r="V6" s="79">
        <v>0.03</v>
      </c>
      <c r="W6" s="79">
        <v>0.15</v>
      </c>
      <c r="X6" s="1260"/>
      <c r="Y6" s="80">
        <f>N6</f>
        <v>0.9</v>
      </c>
      <c r="Z6" s="81"/>
      <c r="AA6" s="74"/>
      <c r="AB6" s="74"/>
      <c r="AC6" s="1260"/>
      <c r="AD6" s="82"/>
      <c r="AE6" s="1261">
        <f ca="1">IF(AN6="",0,SUMIF(INDIRECT("'"&amp;AN6&amp;"'"&amp;"!E:E"),$AE$5,INDIRECT("'"&amp;AN6&amp;"'"&amp;"!F:F")))</f>
        <v>62.65</v>
      </c>
      <c r="AF6" s="1803"/>
      <c r="AG6" s="147">
        <f>IF(AF6="",0,AE6-AF6)</f>
        <v>0</v>
      </c>
      <c r="AH6" s="83">
        <v>1</v>
      </c>
      <c r="AI6" s="85">
        <v>12</v>
      </c>
      <c r="AJ6" s="86"/>
      <c r="AK6" s="87">
        <v>1.4999999999999999E-2</v>
      </c>
      <c r="AL6" s="88">
        <v>1.5E-3</v>
      </c>
      <c r="AM6" s="89">
        <v>0.01</v>
      </c>
      <c r="AN6" s="2308" t="s">
        <v>3237</v>
      </c>
      <c r="AO6" s="55">
        <f ca="1">SUMIF(INDIRECT("'"&amp;AN6&amp;"'"&amp;"!A:A"),"总价",INDIRECT("'"&amp;AN6&amp;"'"&amp;"!B:B"))</f>
        <v>165</v>
      </c>
      <c r="AP6" s="2309">
        <f>IF(C6="住宅",K6*L6,0)</f>
        <v>797040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t="str">
        <f>'数据-汇总表'!C20</f>
        <v>其余住宅</v>
      </c>
      <c r="B7" s="2306" t="str">
        <f t="shared" ref="B7:B13" si="1">IF(A7=0,"","经营性")</f>
        <v>经营性</v>
      </c>
      <c r="C7" s="2307" t="s">
        <v>3062</v>
      </c>
      <c r="D7" s="1051">
        <f>SUMIF(项目基本情况!D$12:I$12,C7,项目基本情况!D$14:I$14)</f>
        <v>70</v>
      </c>
      <c r="E7" s="1048">
        <f>IF(B7="","",SUMIF(项目基本情况!D$12:I$12,C7,项目基本情况!D$13:I$13))</f>
        <v>66557</v>
      </c>
      <c r="F7" s="72">
        <f>SUMIF(项目基本情况!D$12:I$12,C7,项目基本情况!D$15:I$15)</f>
        <v>62.65</v>
      </c>
      <c r="G7" s="73">
        <f t="shared" ref="G7:G11" si="2">IF(ISERROR(ROUND(POWER(1+H7,D7-F7)*(POWER(1+H7,F7)-1)/(POWER(1+H7,D7)-1),3)),0,ROUND(POWER(1+H7,D7-F7)*(POWER(1+H7,F7)-1)/(POWER(1+H7,D7)-1),3))</f>
        <v>0.97699999999999998</v>
      </c>
      <c r="H7" s="802">
        <v>0.04</v>
      </c>
      <c r="I7" s="802">
        <v>4.4999999999999998E-2</v>
      </c>
      <c r="J7" s="74">
        <v>0.08</v>
      </c>
      <c r="K7" s="1250">
        <f>SUMIF('数据-汇总表'!C$19:C$33,A7,'数据-汇总表'!E$19:E$33)</f>
        <v>0</v>
      </c>
      <c r="L7" s="803">
        <f>L6</f>
        <v>4500</v>
      </c>
      <c r="M7" s="75">
        <f t="shared" si="0"/>
        <v>0</v>
      </c>
      <c r="N7" s="801">
        <f>N6</f>
        <v>0.9</v>
      </c>
      <c r="O7" s="75" t="str">
        <f t="shared" ref="O7:O14" si="3">IF($N$5="成新度","——",ROUND(M7*N7,0))</f>
        <v>——</v>
      </c>
      <c r="P7" s="76" t="str">
        <f t="shared" ref="P7:P14" si="4">IF($N$5="成新度","——",M7-O7)</f>
        <v>——</v>
      </c>
      <c r="Q7" s="804">
        <f>Q6</f>
        <v>0.35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0.97699999999999998</v>
      </c>
      <c r="H16" s="99">
        <f>ROUND(SUMPRODUCT(H6:H13,K6:K13)/SUMPRODUCT((H6:H13&gt;0)*(K6:K13)),3)</f>
        <v>0.04</v>
      </c>
      <c r="I16" s="100"/>
      <c r="J16" s="100"/>
      <c r="K16" s="101">
        <f>SUM(K6:K15)</f>
        <v>177.12</v>
      </c>
      <c r="L16" s="102">
        <f>ROUND(M16*10000/SUM(K6:K14),0)</f>
        <v>4517</v>
      </c>
      <c r="M16" s="102">
        <f>SUM(M6:M14)</f>
        <v>80</v>
      </c>
      <c r="N16" s="103">
        <f>ROUND(SUMPRODUCT(M6:M14,N6:N14)/M16,3)</f>
        <v>0.9</v>
      </c>
      <c r="O16" s="102">
        <f>SUM(O6:O14)</f>
        <v>0</v>
      </c>
      <c r="P16" s="102">
        <f>SUM(P6:P14)</f>
        <v>0</v>
      </c>
      <c r="Q16" s="104">
        <f>ROUND(SUMPRODUCT(Q6:Q13,K6:K13)/SUMPRODUCT((Q6:Q13&gt;0)*(K6:K13)),2)</f>
        <v>0.35</v>
      </c>
      <c r="R16" s="1254">
        <f ca="1">SUM(R6:R13)</f>
        <v>7.71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3</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v>220</v>
      </c>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220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f>ROUND(B27*K16/10000,0)</f>
        <v>4</v>
      </c>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0.05</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0.1</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f>B30</f>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0.03</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0.03</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5</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442</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v>5</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44" t="s">
        <v>2080</v>
      </c>
      <c r="B1" s="3045"/>
      <c r="C1" s="3045"/>
      <c r="D1" s="3045"/>
      <c r="E1" s="3045"/>
      <c r="F1" s="3045"/>
      <c r="G1" s="304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2081</v>
      </c>
      <c r="D2" s="2365"/>
      <c r="E2" s="2366"/>
      <c r="F2" s="2285"/>
      <c r="G2" s="2364" t="s">
        <v>2082</v>
      </c>
      <c r="H2" s="2367"/>
      <c r="I2" s="2367"/>
      <c r="J2" s="2367"/>
      <c r="K2" s="2367"/>
      <c r="L2" s="2367"/>
      <c r="M2" s="2367"/>
      <c r="N2" s="2367"/>
      <c r="O2" s="2367"/>
      <c r="P2" s="2367"/>
      <c r="Q2" s="2367"/>
      <c r="R2" s="2367"/>
    </row>
    <row r="3" spans="1:29" ht="57.6">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3.2">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3.2">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7.6">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3.8"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8.8">
      <c r="A8" s="431"/>
      <c r="B8" s="1794" t="s">
        <v>2097</v>
      </c>
      <c r="C8" s="2375" t="s">
        <v>2098</v>
      </c>
      <c r="D8" s="2376"/>
      <c r="E8" s="2376"/>
      <c r="F8" s="1133"/>
      <c r="G8" s="1133"/>
      <c r="H8" s="2367"/>
      <c r="I8" s="2367"/>
      <c r="J8" s="2367"/>
      <c r="K8" s="2367"/>
      <c r="L8" s="2367"/>
      <c r="M8" s="2367"/>
      <c r="N8" s="2367"/>
      <c r="O8" s="2367"/>
      <c r="P8" s="2367"/>
      <c r="Q8" s="2367"/>
      <c r="R8" s="2367"/>
    </row>
    <row r="9" spans="1:29" ht="43.2">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2104</v>
      </c>
      <c r="B13" s="2387"/>
      <c r="C13" s="2387"/>
      <c r="D13" s="2394"/>
      <c r="E13" s="2387"/>
      <c r="F13" s="2387"/>
      <c r="G13" s="2387"/>
    </row>
    <row r="14" spans="1:29" ht="15" thickBot="1">
      <c r="A14" s="2398"/>
      <c r="B14" s="2399"/>
      <c r="C14" s="2400" t="s">
        <v>2105</v>
      </c>
      <c r="D14" s="2370"/>
      <c r="E14" s="2401"/>
      <c r="F14" s="2401"/>
      <c r="G14" s="2364" t="s">
        <v>2106</v>
      </c>
    </row>
    <row r="15" spans="1:29" ht="55.2">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1.4">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1.4">
      <c r="A17" s="645"/>
      <c r="B17" s="2404" t="s">
        <v>2092</v>
      </c>
      <c r="C17" s="2405" t="str">
        <f>C5</f>
        <v>估价对象位于XX商圈，周边办公楼项目较多，入驻率高，办公集聚程度较好</v>
      </c>
      <c r="D17" s="2376"/>
      <c r="E17" s="2406"/>
      <c r="F17" s="2407" t="s">
        <v>2110</v>
      </c>
      <c r="G17" s="1568"/>
    </row>
    <row r="18" spans="1:18" ht="55.2">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7.6">
      <c r="A19" s="645"/>
      <c r="B19" s="2407" t="s">
        <v>2111</v>
      </c>
      <c r="C19" s="1568"/>
      <c r="D19" s="2370"/>
      <c r="E19" s="2406"/>
      <c r="F19" s="1794" t="s">
        <v>2094</v>
      </c>
      <c r="G19" s="136" t="str">
        <f>G5</f>
        <v>估价对象所在区域公共配套设施齐备情况</v>
      </c>
    </row>
    <row r="20" spans="1:18" ht="41.4">
      <c r="A20" s="645"/>
      <c r="B20" s="2407" t="s">
        <v>2112</v>
      </c>
      <c r="C20" s="2405" t="str">
        <f>C9</f>
        <v>区域自然环境：；人文环境；综合评价环境状况一般</v>
      </c>
      <c r="D20" s="2376"/>
      <c r="E20" s="2406"/>
      <c r="F20" s="1794" t="s">
        <v>2113</v>
      </c>
      <c r="G20" s="136" t="str">
        <f>G6</f>
        <v>估价对象所在区域基础设施水平</v>
      </c>
    </row>
    <row r="21" spans="1:18" ht="27.6">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26597.459999999995</v>
      </c>
      <c r="C1" s="1741"/>
      <c r="D1" s="1741"/>
      <c r="E1" s="1741"/>
      <c r="F1" s="1741"/>
      <c r="G1" s="1739"/>
    </row>
    <row r="2" spans="1:10" ht="16.2">
      <c r="A2" s="1742" t="s">
        <v>1349</v>
      </c>
      <c r="B2" s="1742">
        <f>SUM(C14:C23)</f>
        <v>1241.6299999999987</v>
      </c>
      <c r="C2" s="1741"/>
      <c r="D2" s="1741"/>
      <c r="E2" s="1741"/>
      <c r="F2" s="1741"/>
      <c r="G2" s="1739"/>
    </row>
    <row r="3" spans="1:10" ht="15.6">
      <c r="A3" s="1742" t="s">
        <v>1358</v>
      </c>
      <c r="B3" s="1743">
        <f>项目基本情况!D3</f>
        <v>43689</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57184</v>
      </c>
      <c r="C5" s="1742">
        <f ca="1">ROUND(B5*10000/$B$1,0)</f>
        <v>21500</v>
      </c>
      <c r="D5" s="1742">
        <f ca="1">ROUND(B5*10000/$B$2,0)</f>
        <v>460556</v>
      </c>
      <c r="E5" s="1741"/>
      <c r="F5" s="1739"/>
      <c r="G5" s="1739"/>
    </row>
    <row r="6" spans="1:10" ht="15.6">
      <c r="A6" s="1742" t="s">
        <v>1352</v>
      </c>
      <c r="B6" s="1742">
        <f ca="1">SUM(G14:G23)</f>
        <v>57184</v>
      </c>
      <c r="C6" s="1742">
        <f ca="1">ROUND(B6*10000/$B$1,0)</f>
        <v>21500</v>
      </c>
      <c r="D6" s="1742">
        <f ca="1">ROUND(B6*10000/$B$2,0)</f>
        <v>460556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177.12</v>
      </c>
      <c r="C14" s="1740">
        <f>结果表!C118</f>
        <v>7.71</v>
      </c>
      <c r="D14" s="1740">
        <f ca="1">结果表!H118</f>
        <v>375</v>
      </c>
      <c r="E14" s="1740">
        <f ca="1">ROUND(D14*10000/B14,0)</f>
        <v>21172</v>
      </c>
      <c r="F14" s="1740">
        <f ca="1">ROUND(D14*10000/C14,0)</f>
        <v>486381</v>
      </c>
      <c r="G14" s="1740">
        <f ca="1">结果表!D122</f>
        <v>375</v>
      </c>
      <c r="H14" s="1740" t="str">
        <f>结果表!D124</f>
        <v>——</v>
      </c>
      <c r="I14" s="1740" t="str">
        <f>结果表!D126</f>
        <v>——</v>
      </c>
      <c r="J14" s="1739"/>
    </row>
    <row r="15" spans="1:10" ht="15.6">
      <c r="A15" s="1738" t="s">
        <v>1345</v>
      </c>
      <c r="B15" s="1745">
        <f>典型户型修正!B22-典型户型修正!B24</f>
        <v>26420.339999999997</v>
      </c>
      <c r="C15" s="1745">
        <f>面积表!F158-面积表!F3</f>
        <v>1233.9199999999987</v>
      </c>
      <c r="D15" s="1745">
        <f ca="1">典型户型修正!S22-典型户型修正!S24</f>
        <v>56809</v>
      </c>
      <c r="E15" s="1740">
        <f t="shared" ref="E15:E23" ca="1" si="0">ROUND(D15*10000/B15,0)</f>
        <v>21502</v>
      </c>
      <c r="F15" s="1740">
        <f t="shared" ref="F15:F23" ca="1" si="1">ROUND(D15*10000/C15,0)</f>
        <v>460395</v>
      </c>
      <c r="G15" s="1746">
        <f ca="1">D15</f>
        <v>56809</v>
      </c>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6" sqref="I36"/>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4" t="s">
        <v>2117</v>
      </c>
      <c r="B1" s="2418"/>
      <c r="C1" s="2419"/>
      <c r="D1" s="2418"/>
      <c r="E1" s="2418"/>
      <c r="F1" s="2420" t="s">
        <v>2118</v>
      </c>
      <c r="G1" s="2069" t="s">
        <v>3264</v>
      </c>
      <c r="H1" s="2421" t="str">
        <f>IF(G1="现房","——","估价对象范围")</f>
        <v>——</v>
      </c>
      <c r="I1" s="2422"/>
    </row>
    <row r="2" spans="1:12" ht="21.75" customHeight="1" thickBot="1">
      <c r="A2" s="3079" t="str">
        <f>项目基本情况!S2</f>
        <v>房地产</v>
      </c>
      <c r="B2" s="3080"/>
      <c r="C2" s="3080"/>
      <c r="D2" s="3080"/>
      <c r="E2" s="3080"/>
      <c r="F2" s="3080"/>
      <c r="G2" s="3080"/>
      <c r="H2" s="3080"/>
      <c r="I2" s="3081"/>
    </row>
    <row r="3" spans="1:12" ht="13.2">
      <c r="A3" s="3083" t="s">
        <v>2119</v>
      </c>
      <c r="B3" s="3084"/>
      <c r="C3" s="3084"/>
      <c r="D3" s="3084"/>
      <c r="E3" s="3084"/>
      <c r="F3" s="3084"/>
      <c r="G3" s="3084"/>
      <c r="H3" s="3084"/>
      <c r="I3" s="3084"/>
    </row>
    <row r="4" spans="1:12" ht="14.4">
      <c r="A4" s="2425" t="s">
        <v>2120</v>
      </c>
      <c r="B4" s="2426" t="s">
        <v>2121</v>
      </c>
      <c r="C4" s="2427" t="s">
        <v>3265</v>
      </c>
      <c r="D4" s="2427" t="s">
        <v>3237</v>
      </c>
      <c r="E4" s="3076" t="s">
        <v>2122</v>
      </c>
      <c r="F4" s="3077"/>
      <c r="G4" s="3077"/>
      <c r="H4" s="3077"/>
      <c r="I4" s="3085"/>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59" t="s">
        <v>2123</v>
      </c>
      <c r="B5" s="2997">
        <v>25</v>
      </c>
      <c r="C5" s="3062"/>
      <c r="D5" s="3082"/>
      <c r="E5" s="140" t="s">
        <v>2124</v>
      </c>
      <c r="F5" s="2429"/>
      <c r="G5" s="2429"/>
      <c r="H5" s="2429"/>
      <c r="I5" s="1830"/>
    </row>
    <row r="6" spans="1:12" ht="13.2">
      <c r="A6" s="3059"/>
      <c r="B6" s="2997"/>
      <c r="C6" s="3063"/>
      <c r="D6" s="3082"/>
      <c r="E6" s="140" t="s">
        <v>2125</v>
      </c>
      <c r="F6" s="2429"/>
      <c r="G6" s="2429"/>
      <c r="H6" s="2429"/>
      <c r="I6" s="1830"/>
    </row>
    <row r="7" spans="1:12" ht="13.2">
      <c r="A7" s="3059"/>
      <c r="B7" s="2997"/>
      <c r="C7" s="3064"/>
      <c r="D7" s="3082"/>
      <c r="E7" s="140" t="s">
        <v>2126</v>
      </c>
      <c r="F7" s="2429"/>
      <c r="G7" s="2429"/>
      <c r="H7" s="2429"/>
      <c r="I7" s="1830"/>
    </row>
    <row r="8" spans="1:12" ht="13.2">
      <c r="A8" s="3059" t="s">
        <v>2127</v>
      </c>
      <c r="B8" s="2997">
        <v>15</v>
      </c>
      <c r="C8" s="3062"/>
      <c r="D8" s="3082"/>
      <c r="E8" s="140" t="s">
        <v>2128</v>
      </c>
      <c r="F8" s="2429"/>
      <c r="G8" s="2429"/>
      <c r="H8" s="2429"/>
      <c r="I8" s="1830"/>
    </row>
    <row r="9" spans="1:12" ht="13.2">
      <c r="A9" s="3059"/>
      <c r="B9" s="2997"/>
      <c r="C9" s="3064"/>
      <c r="D9" s="3082"/>
      <c r="E9" s="140" t="s">
        <v>2129</v>
      </c>
      <c r="F9" s="2429"/>
      <c r="G9" s="2429"/>
      <c r="H9" s="2429"/>
      <c r="I9" s="1830"/>
    </row>
    <row r="10" spans="1:12" ht="13.2">
      <c r="A10" s="3059" t="s">
        <v>2130</v>
      </c>
      <c r="B10" s="2997">
        <v>15</v>
      </c>
      <c r="C10" s="3062"/>
      <c r="D10" s="3082"/>
      <c r="E10" s="140" t="s">
        <v>2131</v>
      </c>
      <c r="F10" s="2429"/>
      <c r="G10" s="2429"/>
      <c r="H10" s="2429"/>
      <c r="I10" s="1830"/>
    </row>
    <row r="11" spans="1:12" ht="13.2">
      <c r="A11" s="3059"/>
      <c r="B11" s="2997"/>
      <c r="C11" s="3064"/>
      <c r="D11" s="3082"/>
      <c r="E11" s="140" t="s">
        <v>2132</v>
      </c>
      <c r="F11" s="2429"/>
      <c r="G11" s="2429"/>
      <c r="H11" s="2429"/>
      <c r="I11" s="1830"/>
    </row>
    <row r="12" spans="1:12" ht="13.2">
      <c r="A12" s="3059" t="s">
        <v>2133</v>
      </c>
      <c r="B12" s="2997">
        <v>15</v>
      </c>
      <c r="C12" s="3062"/>
      <c r="D12" s="3082"/>
      <c r="E12" s="140" t="s">
        <v>2134</v>
      </c>
      <c r="F12" s="2429"/>
      <c r="G12" s="2429"/>
      <c r="H12" s="2429"/>
      <c r="I12" s="1830"/>
    </row>
    <row r="13" spans="1:12" ht="13.2">
      <c r="A13" s="3059"/>
      <c r="B13" s="2997"/>
      <c r="C13" s="3064"/>
      <c r="D13" s="3082"/>
      <c r="E13" s="140" t="s">
        <v>2135</v>
      </c>
      <c r="F13" s="2429"/>
      <c r="G13" s="2429"/>
      <c r="H13" s="2429"/>
      <c r="I13" s="1830"/>
    </row>
    <row r="14" spans="1:12" ht="13.2">
      <c r="A14" s="3059" t="s">
        <v>2136</v>
      </c>
      <c r="B14" s="2997">
        <v>30</v>
      </c>
      <c r="C14" s="3062">
        <v>9</v>
      </c>
      <c r="D14" s="3082">
        <v>1</v>
      </c>
      <c r="E14" s="140" t="s">
        <v>2137</v>
      </c>
      <c r="F14" s="2429"/>
      <c r="G14" s="2429"/>
      <c r="H14" s="2429"/>
      <c r="I14" s="1830"/>
    </row>
    <row r="15" spans="1:12" ht="13.2">
      <c r="A15" s="3059"/>
      <c r="B15" s="2997"/>
      <c r="C15" s="3063"/>
      <c r="D15" s="3082"/>
      <c r="E15" s="140" t="s">
        <v>2138</v>
      </c>
      <c r="F15" s="2429"/>
      <c r="G15" s="2429"/>
      <c r="H15" s="2429"/>
      <c r="I15" s="1830"/>
    </row>
    <row r="16" spans="1:12" ht="13.2">
      <c r="A16" s="3059"/>
      <c r="B16" s="2997"/>
      <c r="C16" s="3064"/>
      <c r="D16" s="3082"/>
      <c r="E16" s="140" t="s">
        <v>2139</v>
      </c>
      <c r="F16" s="2429"/>
      <c r="G16" s="2429"/>
      <c r="H16" s="2429"/>
      <c r="I16" s="1830"/>
    </row>
    <row r="17" spans="1:35" ht="14.4">
      <c r="A17" s="2430" t="s">
        <v>2140</v>
      </c>
      <c r="B17" s="64"/>
      <c r="C17" s="141">
        <f>SUM(C5:C16)</f>
        <v>9</v>
      </c>
      <c r="D17" s="141">
        <f>SUM(D5:D16)</f>
        <v>1</v>
      </c>
      <c r="E17" s="138"/>
      <c r="F17" s="138"/>
      <c r="G17" s="138"/>
      <c r="H17" s="138"/>
      <c r="I17" s="138"/>
      <c r="K17" s="2428"/>
      <c r="L17" s="2431" t="s">
        <v>2141</v>
      </c>
      <c r="M17" s="2431" t="s">
        <v>2142</v>
      </c>
    </row>
    <row r="18" spans="1:35" ht="15" thickBot="1">
      <c r="A18" s="2432" t="s">
        <v>2143</v>
      </c>
      <c r="B18" s="2433"/>
      <c r="C18" s="142">
        <f>ROUND(C17/SUM(C17:D17),2)</f>
        <v>0.9</v>
      </c>
      <c r="D18" s="142">
        <f>1-C18</f>
        <v>9.9999999999999978E-2</v>
      </c>
      <c r="E18" s="138"/>
      <c r="F18" s="138"/>
      <c r="G18" s="138"/>
      <c r="H18" s="138"/>
      <c r="I18" s="138"/>
      <c r="K18" s="2428" t="s">
        <v>2144</v>
      </c>
      <c r="L18" s="2428">
        <f>IF(C1="",'数据-汇总表'!E3,SUMIF(项目类型,C1,'数据-汇总表'!E17:E26)+SUMIF(项目类型,C1,'数据-汇总表'!I17:I26))</f>
        <v>177.12</v>
      </c>
      <c r="M18" s="2428">
        <f>IF(C1="",'数据-汇总表'!E3,SUMIF(项目类型,C1,'数据-汇总表'!E17:E26))</f>
        <v>177.12</v>
      </c>
    </row>
    <row r="19" spans="1:35" ht="14.4">
      <c r="A19" s="2434" t="s">
        <v>2145</v>
      </c>
      <c r="B19" s="2435" t="s">
        <v>2146</v>
      </c>
      <c r="C19" s="143">
        <f ca="1">SUMIF(INDIRECT("'"&amp;C4&amp;"'"&amp;"!A:A"),结果表!B19,INDIRECT("'"&amp;C4&amp;"'"&amp;"!B:B"))</f>
        <v>398</v>
      </c>
      <c r="D19" s="144">
        <f ca="1">SUMIF(INDIRECT("'"&amp;D4&amp;"'"&amp;"!A:A"),结果表!B19,INDIRECT("'"&amp;D4&amp;"'"&amp;"!B:B"))</f>
        <v>165</v>
      </c>
      <c r="E19" s="2434" t="s">
        <v>2147</v>
      </c>
      <c r="F19" s="2435" t="s">
        <v>2146</v>
      </c>
      <c r="G19" s="145">
        <f ca="1">ROUND(C19*$C$18+D19*$D$18,0)</f>
        <v>375</v>
      </c>
      <c r="H19" s="2436" t="s">
        <v>2148</v>
      </c>
      <c r="I19" s="138"/>
      <c r="K19" s="2428" t="s">
        <v>2149</v>
      </c>
      <c r="L19" s="2428">
        <f>IF(C1="",'数据-汇总表'!D3,SUMIF(项目类型,C1,'数据-汇总表'!D17:D26)+SUMIF(项目类型,C1,'数据-汇总表'!H17:H27))</f>
        <v>7.71</v>
      </c>
      <c r="M19" s="2428">
        <f>IF(C1="",'数据-汇总表'!D3,SUMIF(项目类型,C1,'数据-汇总表'!D17:D26))</f>
        <v>7.71</v>
      </c>
    </row>
    <row r="20" spans="1:35" ht="14.4">
      <c r="A20" s="2437"/>
      <c r="B20" s="1246" t="s">
        <v>2150</v>
      </c>
      <c r="C20" s="146">
        <f ca="1">SUMIF(INDIRECT("'"&amp;C4&amp;"'"&amp;"!A:A"),结果表!B20,INDIRECT("'"&amp;C4&amp;"'"&amp;"!B:B"))</f>
        <v>22469</v>
      </c>
      <c r="D20" s="147">
        <f ca="1">SUMIF(INDIRECT("'"&amp;D4&amp;"'"&amp;"!A:A"),结果表!B20,INDIRECT("'"&amp;D4&amp;"'"&amp;"!B:B"))</f>
        <v>9335</v>
      </c>
      <c r="E20" s="2437"/>
      <c r="F20" s="1246" t="s">
        <v>2150</v>
      </c>
      <c r="G20" s="148">
        <f ca="1">ROUND(C20*$C$18+D20*$D$18,0)</f>
        <v>21156</v>
      </c>
      <c r="H20" s="980" t="s">
        <v>2151</v>
      </c>
      <c r="I20" s="138"/>
    </row>
    <row r="21" spans="1:35" ht="15" customHeight="1" thickBot="1">
      <c r="A21" s="1000"/>
      <c r="B21" s="2438" t="s">
        <v>2152</v>
      </c>
      <c r="C21" s="789">
        <f ca="1">ROUND(C19*10000/L19,0)</f>
        <v>516213</v>
      </c>
      <c r="D21" s="790">
        <f ca="1">ROUND(D19*10000/L19,0)</f>
        <v>214008</v>
      </c>
      <c r="E21" s="1000"/>
      <c r="F21" s="2438" t="s">
        <v>2152</v>
      </c>
      <c r="G21" s="149">
        <f ca="1">ROUND(G19*10000/L19,0)</f>
        <v>486381</v>
      </c>
      <c r="H21" s="2439" t="s">
        <v>2151</v>
      </c>
      <c r="I21" s="138"/>
    </row>
    <row r="22" spans="1:35" ht="15" thickBot="1">
      <c r="A22" s="2280" t="s">
        <v>2153</v>
      </c>
      <c r="B22" s="2440"/>
      <c r="C22" s="2441"/>
      <c r="D22" s="791">
        <f ca="1">IF(C19&lt;D19,D19/C19-1,C19/D19-1)</f>
        <v>1.4121212121212121</v>
      </c>
      <c r="E22" s="138"/>
      <c r="F22" s="138"/>
      <c r="G22" s="138"/>
      <c r="H22" s="138"/>
      <c r="I22" s="138"/>
    </row>
    <row r="23" spans="1:35" ht="13.8" thickBot="1">
      <c r="A23" s="2418"/>
      <c r="B23" s="2418"/>
      <c r="C23" s="2418"/>
      <c r="D23" s="2418"/>
      <c r="E23" s="138"/>
      <c r="F23" s="138"/>
      <c r="G23" s="138"/>
      <c r="H23" s="138"/>
      <c r="I23" s="138"/>
    </row>
    <row r="24" spans="1:35" ht="14.4">
      <c r="A24" s="3053" t="s">
        <v>2154</v>
      </c>
      <c r="B24" s="2435" t="s">
        <v>2146</v>
      </c>
      <c r="C24" s="145">
        <f>IF(B30=0,0,D30)</f>
        <v>0</v>
      </c>
      <c r="D24" s="2442"/>
      <c r="E24" s="138"/>
      <c r="F24" s="138"/>
      <c r="G24" s="138"/>
      <c r="H24" s="138"/>
      <c r="I24" s="138"/>
    </row>
    <row r="25" spans="1:35" ht="14.4">
      <c r="A25" s="3054"/>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2159</v>
      </c>
      <c r="B30" s="151"/>
      <c r="C30" s="151"/>
      <c r="D30" s="151"/>
      <c r="E30" s="2915" t="s">
        <v>3034</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2160</v>
      </c>
      <c r="B32" s="2448"/>
      <c r="C32" s="153">
        <f ca="1">IF(D32="总价",G19-C24,G20-C25)</f>
        <v>375</v>
      </c>
      <c r="D32" s="2449" t="s">
        <v>2161</v>
      </c>
      <c r="E32" s="138"/>
      <c r="F32" s="138"/>
      <c r="G32" s="138"/>
      <c r="H32" s="138"/>
      <c r="I32" s="138"/>
    </row>
    <row r="33" spans="1:15" ht="14.4">
      <c r="A33" s="957" t="s">
        <v>2162</v>
      </c>
      <c r="B33" s="2450"/>
      <c r="C33" s="2451" t="s">
        <v>3287</v>
      </c>
      <c r="D33" s="2452" t="s">
        <v>3237</v>
      </c>
      <c r="E33" s="2453" t="s">
        <v>2163</v>
      </c>
      <c r="F33" s="2454" t="str">
        <f>IF(D32="楼面单价","取值（单价）","取值（总价）")</f>
        <v>取值（总价）</v>
      </c>
      <c r="G33" s="138"/>
      <c r="H33" s="138"/>
      <c r="I33" s="138"/>
    </row>
    <row r="34" spans="1:15" ht="14.4">
      <c r="A34" s="2455"/>
      <c r="B34" s="2456" t="s">
        <v>2164</v>
      </c>
      <c r="C34" s="157">
        <f ca="1">IF(C33="自定义",F34,C32-C35)</f>
        <v>56</v>
      </c>
      <c r="D34" s="1055">
        <f ca="1">IF(C33="自定义",ROUND(C34/C32,3),IF(C33="收益比率",SUMIF(INDIRECT("'"&amp;D33&amp;"'"&amp;"!b:b"),"土地收益比率",INDIRECT("'"&amp;D33&amp;"'"&amp;"!c:c")),SUMIF(INDIRECT("'"&amp;D33&amp;"'"&amp;"!b:b"),"土地成本比率",INDIRECT("'"&amp;D33&amp;"'"&amp;"!c:c"))))</f>
        <v>0.15000000000000002</v>
      </c>
      <c r="E34" s="2457" t="s">
        <v>2165</v>
      </c>
      <c r="F34" s="1735"/>
      <c r="G34" s="138"/>
      <c r="H34" s="138"/>
      <c r="I34" s="138"/>
    </row>
    <row r="35" spans="1:15" ht="15" thickBot="1">
      <c r="A35" s="2458"/>
      <c r="B35" s="2459" t="s">
        <v>2166</v>
      </c>
      <c r="C35" s="1440">
        <f ca="1">IF(C33="自定义",F35,ROUND(C32*D35,0))</f>
        <v>319</v>
      </c>
      <c r="D35" s="1441">
        <f ca="1">IF(C33="自定义",ROUND(C35/C32,3),IF(C33="收益比率",SUMIF(INDIRECT("'"&amp;D33&amp;"'"&amp;"!b:b"),"建筑物收益比率",INDIRECT("'"&amp;D33&amp;"'"&amp;"!c:c")),SUMIF(INDIRECT("'"&amp;D33&amp;"'"&amp;"!b:b"),"建筑物成本比率",INDIRECT("'"&amp;D33&amp;"'"&amp;"!c:c"))))</f>
        <v>0.85</v>
      </c>
      <c r="E35" s="2460" t="s">
        <v>2167</v>
      </c>
      <c r="F35" s="163"/>
      <c r="G35" s="138"/>
      <c r="H35" s="138"/>
      <c r="I35" s="138"/>
    </row>
    <row r="36" spans="1:15" ht="15" thickBot="1">
      <c r="A36" s="3071" t="s">
        <v>2168</v>
      </c>
      <c r="B36" s="2461" t="s">
        <v>2169</v>
      </c>
      <c r="C36" s="154"/>
      <c r="D36" s="2462"/>
      <c r="E36" s="2463"/>
      <c r="F36" s="2464"/>
      <c r="G36" s="138"/>
      <c r="H36" s="138"/>
      <c r="I36" s="138"/>
    </row>
    <row r="37" spans="1:15" ht="15" thickBot="1">
      <c r="A37" s="3072"/>
      <c r="B37" s="2266" t="s">
        <v>2170</v>
      </c>
      <c r="C37" s="156"/>
      <c r="D37" s="1391"/>
      <c r="E37" s="1391"/>
      <c r="F37" s="2464"/>
      <c r="G37" s="138"/>
      <c r="H37" s="138"/>
      <c r="I37" s="138"/>
    </row>
    <row r="38" spans="1:15" ht="15" thickBot="1">
      <c r="A38" s="3073"/>
      <c r="B38" s="2465" t="s">
        <v>2171</v>
      </c>
      <c r="C38" s="727"/>
      <c r="D38" s="2466" t="s">
        <v>2172</v>
      </c>
      <c r="E38" s="1391"/>
      <c r="F38" s="2464"/>
      <c r="G38" s="138"/>
      <c r="H38" s="138"/>
      <c r="I38" s="138"/>
    </row>
    <row r="39" spans="1:15" ht="14.4">
      <c r="A39" s="2437" t="s">
        <v>2173</v>
      </c>
      <c r="B39" s="2467" t="s">
        <v>2174</v>
      </c>
      <c r="C39" s="2468" t="s">
        <v>2175</v>
      </c>
      <c r="D39" s="2468" t="s">
        <v>2176</v>
      </c>
      <c r="E39" s="2469" t="s">
        <v>2177</v>
      </c>
      <c r="F39" s="2464"/>
      <c r="G39" s="138"/>
      <c r="H39" s="138"/>
      <c r="I39" s="138"/>
    </row>
    <row r="40" spans="1:15" ht="13.8">
      <c r="A40" s="2470" t="s">
        <v>2178</v>
      </c>
      <c r="B40" s="158"/>
      <c r="C40" s="159"/>
      <c r="D40" s="159"/>
      <c r="E40" s="160"/>
      <c r="F40" s="2464"/>
      <c r="G40" s="138"/>
      <c r="H40" s="138"/>
      <c r="I40" s="138"/>
    </row>
    <row r="41" spans="1:15" ht="13.8">
      <c r="A41" s="2470" t="s">
        <v>2179</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4"/>
      <c r="B43" s="2164"/>
      <c r="C43" s="2164"/>
      <c r="D43" s="2164"/>
      <c r="E43" s="2164"/>
      <c r="F43" s="2472"/>
      <c r="G43" s="2472"/>
      <c r="H43" s="2472"/>
      <c r="I43" s="2473"/>
    </row>
    <row r="44" spans="1:15" ht="17.399999999999999">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50" t="s">
        <v>2182</v>
      </c>
      <c r="B45" s="3051"/>
      <c r="C45" s="3052"/>
      <c r="D45" s="164">
        <f ca="1">ROUND(H101*F45,0)</f>
        <v>375</v>
      </c>
      <c r="E45" s="165" t="s">
        <v>2183</v>
      </c>
      <c r="F45" s="166">
        <v>1</v>
      </c>
      <c r="G45" s="167" t="s">
        <v>2184</v>
      </c>
      <c r="H45" s="138"/>
      <c r="I45" s="138"/>
      <c r="J45" s="3110" t="s">
        <v>2185</v>
      </c>
      <c r="K45" s="3110"/>
      <c r="L45" s="3110"/>
      <c r="M45" s="3110"/>
      <c r="N45" s="3110"/>
      <c r="O45" s="3110"/>
    </row>
    <row r="46" spans="1:15" ht="14.25" customHeight="1">
      <c r="A46" s="3047" t="s">
        <v>2186</v>
      </c>
      <c r="B46" s="3048"/>
      <c r="C46" s="3048"/>
      <c r="D46" s="3048"/>
      <c r="E46" s="3048"/>
      <c r="F46" s="3048"/>
      <c r="G46" s="3049"/>
      <c r="H46" s="2480"/>
      <c r="I46" s="168"/>
      <c r="J46" s="1808">
        <v>1</v>
      </c>
      <c r="K46" s="3110" t="s">
        <v>2187</v>
      </c>
      <c r="L46" s="3110"/>
      <c r="M46" s="3130"/>
      <c r="N46" s="3130"/>
      <c r="O46" s="3130"/>
    </row>
    <row r="47" spans="1:15" ht="12" customHeight="1">
      <c r="A47" s="169" t="s">
        <v>2188</v>
      </c>
      <c r="B47" s="170"/>
      <c r="C47" s="171"/>
      <c r="D47" s="172" t="s">
        <v>2189</v>
      </c>
      <c r="E47" s="24" t="s">
        <v>2190</v>
      </c>
      <c r="F47" s="173" t="s">
        <v>2191</v>
      </c>
      <c r="G47" s="174" t="s">
        <v>2192</v>
      </c>
      <c r="H47" s="2480"/>
      <c r="I47" s="168"/>
      <c r="J47" s="1808">
        <v>2</v>
      </c>
      <c r="K47" s="3110" t="s">
        <v>2193</v>
      </c>
      <c r="L47" s="3110"/>
      <c r="M47" s="3131">
        <f>'数据-取费表'!B2</f>
        <v>43689</v>
      </c>
      <c r="N47" s="3131"/>
      <c r="O47" s="3131"/>
    </row>
    <row r="48" spans="1:15" ht="26.4">
      <c r="A48" s="3078" t="s">
        <v>2194</v>
      </c>
      <c r="B48" s="3061"/>
      <c r="C48" s="3061"/>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10" t="s">
        <v>2197</v>
      </c>
      <c r="L48" s="3110"/>
      <c r="M48" s="3132">
        <f ca="1">H101</f>
        <v>375</v>
      </c>
      <c r="N48" s="3132"/>
      <c r="O48" s="3132"/>
    </row>
    <row r="49" spans="1:35" ht="25.5" customHeight="1">
      <c r="A49" s="176" t="s">
        <v>2198</v>
      </c>
      <c r="B49" s="3046" t="s">
        <v>2199</v>
      </c>
      <c r="C49" s="3046"/>
      <c r="D49" s="177">
        <v>0</v>
      </c>
      <c r="E49" s="23" t="s">
        <v>2200</v>
      </c>
      <c r="F49" s="28" t="s">
        <v>34</v>
      </c>
      <c r="G49" s="3116"/>
      <c r="H49" s="138"/>
      <c r="I49" s="2483"/>
      <c r="J49" s="1808">
        <v>4</v>
      </c>
      <c r="K49" s="3110" t="str">
        <f>IF(项目基本情况!E8="房地产抵押价值","房地产抵押价值","抵押担保权已注销时的房地产抵押价值")</f>
        <v>房地产抵押价值</v>
      </c>
      <c r="L49" s="3110"/>
      <c r="M49" s="3132">
        <f ca="1">IF(项目基本情况!E8="房地产抵押价值",H107,H109)</f>
        <v>375</v>
      </c>
      <c r="N49" s="3132"/>
      <c r="O49" s="3132"/>
    </row>
    <row r="50" spans="1:35" ht="25.5" customHeight="1">
      <c r="A50" s="178"/>
      <c r="B50" s="3046" t="s">
        <v>2201</v>
      </c>
      <c r="C50" s="3046"/>
      <c r="D50" s="179"/>
      <c r="E50" s="31"/>
      <c r="F50" s="180"/>
      <c r="G50" s="3117"/>
      <c r="H50" s="138"/>
      <c r="I50" s="2483"/>
      <c r="J50" s="3110" t="s">
        <v>2202</v>
      </c>
      <c r="K50" s="3110"/>
      <c r="L50" s="3110"/>
      <c r="M50" s="3110"/>
      <c r="N50" s="3110"/>
      <c r="O50" s="3110"/>
    </row>
    <row r="51" spans="1:35" ht="12" customHeight="1">
      <c r="A51" s="181"/>
      <c r="B51" s="3046" t="s">
        <v>2203</v>
      </c>
      <c r="C51" s="3046"/>
      <c r="D51" s="182"/>
      <c r="E51" s="30"/>
      <c r="F51" s="180"/>
      <c r="G51" s="3118"/>
      <c r="H51" s="138"/>
      <c r="I51" s="2483"/>
      <c r="J51" s="2484" t="s">
        <v>2204</v>
      </c>
      <c r="K51" s="3110" t="s">
        <v>2205</v>
      </c>
      <c r="L51" s="3110"/>
      <c r="M51" s="2484" t="s">
        <v>2206</v>
      </c>
      <c r="N51" s="2484" t="s">
        <v>2207</v>
      </c>
      <c r="O51" s="2484" t="s">
        <v>2208</v>
      </c>
    </row>
    <row r="52" spans="1:35" ht="24" customHeight="1">
      <c r="A52" s="183" t="s">
        <v>2209</v>
      </c>
      <c r="B52" s="3046" t="s">
        <v>2210</v>
      </c>
      <c r="C52" s="3046"/>
      <c r="D52" s="182">
        <f ca="1">ROUND(D45*'数据-取费表'!B41/(1+'数据-取费表'!C42),0)</f>
        <v>20</v>
      </c>
      <c r="E52" s="11" t="s">
        <v>2211</v>
      </c>
      <c r="F52" s="184">
        <f>'数据-取费表'!B41</f>
        <v>5.6000000000000001E-2</v>
      </c>
      <c r="G52" s="2485"/>
      <c r="H52" s="138"/>
      <c r="I52" s="2483"/>
      <c r="J52" s="1808">
        <v>1</v>
      </c>
      <c r="K52" s="3111" t="s">
        <v>2212</v>
      </c>
      <c r="L52" s="3111"/>
      <c r="M52" s="1750">
        <f>D48</f>
        <v>0</v>
      </c>
      <c r="N52" s="1808" t="str">
        <f>E48</f>
        <v>销售额×税（费）率</v>
      </c>
      <c r="O52" s="1751" t="str">
        <f>F48</f>
        <v>免征</v>
      </c>
    </row>
    <row r="53" spans="1:35" ht="12" customHeight="1">
      <c r="A53" s="183" t="s">
        <v>2213</v>
      </c>
      <c r="B53" s="3069" t="s">
        <v>2214</v>
      </c>
      <c r="C53" s="3070"/>
      <c r="D53" s="182">
        <f ca="1">ROUND(D45*'数据-取费表'!B41/(1+'数据-取费表'!C42),0)</f>
        <v>20</v>
      </c>
      <c r="E53" s="11" t="s">
        <v>2211</v>
      </c>
      <c r="F53" s="184">
        <f>'数据-取费表'!B41</f>
        <v>5.6000000000000001E-2</v>
      </c>
      <c r="G53" s="2485"/>
      <c r="H53" s="138"/>
      <c r="I53" s="2483"/>
      <c r="J53" s="1808">
        <v>2</v>
      </c>
      <c r="K53" s="3111" t="s">
        <v>2215</v>
      </c>
      <c r="L53" s="3111"/>
      <c r="M53" s="1750">
        <f t="shared" ref="M53:O54" ca="1" si="0">D55</f>
        <v>0</v>
      </c>
      <c r="N53" s="1808" t="str">
        <f t="shared" si="0"/>
        <v>销售额×税（费）率</v>
      </c>
      <c r="O53" s="1751">
        <f t="shared" si="0"/>
        <v>5.0000000000000001E-4</v>
      </c>
    </row>
    <row r="54" spans="1:35" ht="12" customHeight="1">
      <c r="A54" s="183" t="s">
        <v>2216</v>
      </c>
      <c r="B54" s="3069" t="s">
        <v>2217</v>
      </c>
      <c r="C54" s="3070"/>
      <c r="D54" s="182">
        <f ca="1">C68</f>
        <v>20</v>
      </c>
      <c r="E54" s="30" t="s">
        <v>2218</v>
      </c>
      <c r="F54" s="184">
        <f>'数据-取费表'!B41</f>
        <v>5.6000000000000001E-2</v>
      </c>
      <c r="G54" s="2485"/>
      <c r="H54" s="2486"/>
      <c r="I54" s="2483"/>
      <c r="J54" s="1808">
        <v>3</v>
      </c>
      <c r="K54" s="3111" t="s">
        <v>2219</v>
      </c>
      <c r="L54" s="3111"/>
      <c r="M54" s="1750">
        <f t="shared" ca="1" si="0"/>
        <v>212</v>
      </c>
      <c r="N54" s="1808" t="str">
        <f t="shared" si="0"/>
        <v>增值额×税（费）率</v>
      </c>
      <c r="O54" s="1752" t="str">
        <f t="shared" si="0"/>
        <v>——</v>
      </c>
    </row>
    <row r="55" spans="1:35" ht="24" customHeight="1">
      <c r="A55" s="3060" t="s">
        <v>2220</v>
      </c>
      <c r="B55" s="3061"/>
      <c r="C55" s="3061"/>
      <c r="D55" s="185">
        <f ca="1">IF(H55="个人住宅",0,ROUND(D45*I55,0))</f>
        <v>0</v>
      </c>
      <c r="E55" s="11" t="s">
        <v>2221</v>
      </c>
      <c r="F55" s="184">
        <f>IF(H55="正常",I55,"免征")</f>
        <v>5.0000000000000001E-4</v>
      </c>
      <c r="G55" s="2485"/>
      <c r="H55" s="2482" t="s">
        <v>2222</v>
      </c>
      <c r="I55" s="186">
        <f>'数据-取费表'!B49</f>
        <v>5.0000000000000001E-4</v>
      </c>
      <c r="J55" s="1808" t="str">
        <f>IF(H59="非个人房产","",4)</f>
        <v/>
      </c>
      <c r="K55" s="3111" t="str">
        <f>IF(H59="非个人房产","——","个人所得税")</f>
        <v>——</v>
      </c>
      <c r="L55" s="3111"/>
      <c r="M55" s="1753" t="str">
        <f>D59</f>
        <v>——</v>
      </c>
      <c r="N55" s="1806" t="str">
        <f>E59</f>
        <v>——</v>
      </c>
      <c r="O55" s="1754" t="str">
        <f>F59</f>
        <v>——</v>
      </c>
    </row>
    <row r="56" spans="1:35" ht="25.2">
      <c r="A56" s="3060" t="s">
        <v>2223</v>
      </c>
      <c r="B56" s="3061"/>
      <c r="C56" s="3061"/>
      <c r="D56" s="185">
        <f ca="1">IF(H56="个人住宅",D57,D58)</f>
        <v>212</v>
      </c>
      <c r="E56" s="11" t="s">
        <v>2224</v>
      </c>
      <c r="F56" s="184" t="str">
        <f>IF(H56="正常",F58,"免征")</f>
        <v>——</v>
      </c>
      <c r="G56" s="2487" t="s">
        <v>2225</v>
      </c>
      <c r="H56" s="2488" t="s">
        <v>2222</v>
      </c>
      <c r="I56" s="2489"/>
      <c r="J56" s="1808" t="str">
        <f>IF(项目基本情况!K6="上海银行",IF(J55="",4,J55+1),"")</f>
        <v/>
      </c>
      <c r="K56" s="3134" t="str">
        <f>IF(项目基本情况!K6="上海银行","其他处置费用","")</f>
        <v/>
      </c>
      <c r="L56" s="3135"/>
      <c r="M56" s="1750" t="str">
        <f>IF(项目基本情况!K6="上海银行",M69,"")</f>
        <v/>
      </c>
      <c r="N56" s="3137" t="str">
        <f>IF(项目基本情况!K6="上海银行","包含处置中涉及的律师、诉讼、拍卖、评估等费用","")</f>
        <v/>
      </c>
      <c r="O56" s="3138"/>
    </row>
    <row r="57" spans="1:35" ht="13.2">
      <c r="A57" s="183" t="s">
        <v>2198</v>
      </c>
      <c r="B57" s="3076" t="s">
        <v>2226</v>
      </c>
      <c r="C57" s="3085"/>
      <c r="D57" s="187">
        <v>0</v>
      </c>
      <c r="E57" s="23" t="s">
        <v>2200</v>
      </c>
      <c r="F57" s="155"/>
      <c r="G57" s="2485"/>
      <c r="H57" s="2489"/>
      <c r="I57" s="2489"/>
      <c r="J57" s="3111">
        <f>IF(AND(J55="",J56=""),4,IF(项目基本情况!K6="上海银行",结果表!J56+1,结果表!J55+1))</f>
        <v>4</v>
      </c>
      <c r="K57" s="3111" t="s">
        <v>2227</v>
      </c>
      <c r="L57" s="2490" t="s">
        <v>2228</v>
      </c>
      <c r="M57" s="1755"/>
      <c r="N57" s="1756">
        <f ca="1">SUMIF(M52:M56,"&lt;9e307")</f>
        <v>212</v>
      </c>
      <c r="O57" s="2491"/>
      <c r="P57" s="1749">
        <f ca="1">N57/M49</f>
        <v>0.56533333333333335</v>
      </c>
    </row>
    <row r="58" spans="1:35" ht="25.2">
      <c r="A58" s="183" t="s">
        <v>2209</v>
      </c>
      <c r="B58" s="3076" t="s">
        <v>2229</v>
      </c>
      <c r="C58" s="3077"/>
      <c r="D58" s="185">
        <f ca="1">IF(H58="转让取得",C81,C97)</f>
        <v>212</v>
      </c>
      <c r="E58" s="11" t="s">
        <v>2224</v>
      </c>
      <c r="F58" s="24" t="s">
        <v>34</v>
      </c>
      <c r="G58" s="2485"/>
      <c r="H58" s="2488" t="s">
        <v>2230</v>
      </c>
      <c r="I58" s="2489"/>
      <c r="J58" s="3111"/>
      <c r="K58" s="3111"/>
      <c r="L58" s="2490" t="s">
        <v>2231</v>
      </c>
      <c r="M58" s="1757"/>
      <c r="N58" s="2492" t="str">
        <f ca="1">NUMBERSTRING(INT(N57*10000),2)&amp;"元整"</f>
        <v>贰佰壹拾贰万元整</v>
      </c>
      <c r="O58" s="2493"/>
    </row>
    <row r="59" spans="1:35" ht="24.6" thickBot="1">
      <c r="A59" s="3114" t="s">
        <v>2232</v>
      </c>
      <c r="B59" s="3115"/>
      <c r="C59" s="3115"/>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12">
        <f>J57+1</f>
        <v>5</v>
      </c>
      <c r="K59" s="3111" t="s">
        <v>2234</v>
      </c>
      <c r="L59" s="1808" t="s">
        <v>2228</v>
      </c>
      <c r="M59" s="1758"/>
      <c r="N59" s="1759">
        <f ca="1">M49-N57</f>
        <v>163</v>
      </c>
      <c r="O59" s="2495"/>
    </row>
    <row r="60" spans="1:35" ht="12" customHeight="1">
      <c r="A60" s="2496"/>
      <c r="B60" s="2418"/>
      <c r="C60" s="2418"/>
      <c r="D60" s="2418"/>
      <c r="E60" s="2165"/>
      <c r="F60" s="2489"/>
      <c r="G60" s="2489"/>
      <c r="H60" s="2497"/>
      <c r="I60" s="138"/>
      <c r="J60" s="3113"/>
      <c r="K60" s="3111"/>
      <c r="L60" s="2490" t="s">
        <v>2231</v>
      </c>
      <c r="M60" s="1757"/>
      <c r="N60" s="2492" t="str">
        <f ca="1">NUMBERSTRING(INT(N59*10000),2)&amp;"元整"</f>
        <v>壹佰陆拾叁万元整</v>
      </c>
      <c r="O60" s="2493"/>
    </row>
    <row r="61" spans="1:35" ht="13.8" thickBot="1">
      <c r="A61" s="3058" t="s">
        <v>2235</v>
      </c>
      <c r="B61" s="3058"/>
      <c r="C61" s="3058"/>
      <c r="D61" s="3058"/>
      <c r="E61" s="3058"/>
      <c r="F61" s="2489"/>
      <c r="G61" s="2489"/>
      <c r="H61" s="2497"/>
      <c r="I61" s="138"/>
      <c r="J61" s="1808">
        <f>J59+1</f>
        <v>6</v>
      </c>
      <c r="K61" s="3111" t="s">
        <v>2236</v>
      </c>
      <c r="L61" s="3111"/>
      <c r="M61" s="1760"/>
      <c r="N61" s="1761">
        <f ca="1">ROUND(N59*10000/'数据-汇总表'!E3,0)</f>
        <v>9203</v>
      </c>
      <c r="O61" s="2498"/>
    </row>
    <row r="62" spans="1:35" ht="13.2">
      <c r="A62" s="3074" t="s">
        <v>2237</v>
      </c>
      <c r="B62" s="3075"/>
      <c r="C62" s="1800"/>
      <c r="D62" s="1800" t="s">
        <v>2238</v>
      </c>
      <c r="E62" s="192" t="s">
        <v>2239</v>
      </c>
      <c r="F62" s="2489"/>
      <c r="G62" s="2489"/>
      <c r="H62" s="2497"/>
      <c r="I62" s="138"/>
    </row>
    <row r="63" spans="1:35" ht="13.2">
      <c r="A63" s="203" t="s">
        <v>775</v>
      </c>
      <c r="B63" s="193" t="s">
        <v>2240</v>
      </c>
      <c r="C63" s="194">
        <f ca="1">ROUND((C64+C65)/(1+'数据-取费表'!C42),0)</f>
        <v>357</v>
      </c>
      <c r="D63" s="195"/>
      <c r="E63" s="196"/>
      <c r="F63" s="2489"/>
      <c r="G63" s="2489"/>
      <c r="H63" s="2497"/>
      <c r="I63" s="138"/>
      <c r="J63" s="3136" t="s">
        <v>2241</v>
      </c>
      <c r="K63" s="2499" t="s">
        <v>2242</v>
      </c>
      <c r="L63" s="1748">
        <f ca="1">IF(M49&gt;10000,M49*0.5%,IF(AND(M49&gt;1000,M49&lt;=10000),M49*1%,IF(AND(M49&gt;100,M49&lt;=1000),M49*3%,IF(AND(M49&gt;10,M49&lt;=100),M49*5%,M49*8%))))</f>
        <v>11.25</v>
      </c>
      <c r="M63" s="24">
        <f ca="1">ROUND(L63,1)</f>
        <v>11.3</v>
      </c>
      <c r="Z63" s="2423"/>
      <c r="AI63" s="2424"/>
    </row>
    <row r="64" spans="1:35" ht="14.25" customHeight="1">
      <c r="A64" s="197" t="s">
        <v>770</v>
      </c>
      <c r="B64" s="198" t="s">
        <v>2243</v>
      </c>
      <c r="C64" s="199">
        <f ca="1">D45</f>
        <v>375</v>
      </c>
      <c r="D64" s="200" t="s">
        <v>32</v>
      </c>
      <c r="E64" s="201"/>
      <c r="F64" s="2489"/>
      <c r="G64" s="2489"/>
      <c r="H64" s="2497"/>
      <c r="I64" s="138"/>
      <c r="J64" s="3136"/>
      <c r="K64" s="2499" t="s">
        <v>2244</v>
      </c>
      <c r="L64" s="1748">
        <f ca="1">IF(M49&gt;2000,M49*0.5%,IF(AND(M49&gt;1000,M49&lt;=2000),M49*0.6%,IF(AND(M49&gt;500,M49&lt;=1000),M49*0.7%,IF(AND(M49&gt;200,M49&lt;=500),M49*0.8%,IF(AND(M49&gt;100,M49&lt;=200),M49*0.9%,IF(AND(M49&gt;50,M49&lt;=100),M49*1%,IF(AND(M49&gt;20,M49&lt;=50),M49*1.5%,IF(AND(M49&gt;10,M49&lt;=20),M49*2%,IF(AND(M49&gt;1,M49&lt;=10),M49*2.5%)))))))))</f>
        <v>3</v>
      </c>
      <c r="M64" s="24">
        <f t="shared" ref="M64:M65" ca="1" si="1">ROUND(L64,1)</f>
        <v>3</v>
      </c>
      <c r="N64" s="138" t="s">
        <v>2245</v>
      </c>
      <c r="Z64" s="2423"/>
      <c r="AI64" s="2424"/>
    </row>
    <row r="65" spans="1:35" ht="14.25" customHeight="1">
      <c r="A65" s="197" t="s">
        <v>771</v>
      </c>
      <c r="B65" s="198" t="s">
        <v>2246</v>
      </c>
      <c r="C65" s="202"/>
      <c r="D65" s="200"/>
      <c r="E65" s="201"/>
      <c r="F65" s="2489"/>
      <c r="G65" s="2489"/>
      <c r="H65" s="2497"/>
      <c r="I65" s="138"/>
      <c r="J65" s="3136"/>
      <c r="K65" s="2499" t="s">
        <v>2247</v>
      </c>
      <c r="L65" s="1748">
        <f ca="1">IF(M49&gt;1000,M49*0.1%,IF(AND(M49&gt;500,M49&lt;=1000),M49*0.5%,IF(AND(M49&gt;50,M49&lt;=500),M49*1%,IF(AND(M49&gt;1,M49&lt;=50),M49*1.5%))))</f>
        <v>3.75</v>
      </c>
      <c r="M65" s="24">
        <f t="shared" ca="1" si="1"/>
        <v>3.8</v>
      </c>
      <c r="N65" s="138" t="s">
        <v>2245</v>
      </c>
      <c r="Z65" s="2423"/>
      <c r="AI65" s="2424"/>
    </row>
    <row r="66" spans="1:35" ht="14.25" customHeight="1">
      <c r="A66" s="203" t="s">
        <v>772</v>
      </c>
      <c r="B66" s="204" t="s">
        <v>2248</v>
      </c>
      <c r="C66" s="205"/>
      <c r="D66" s="206" t="s">
        <v>32</v>
      </c>
      <c r="E66" s="1772" t="s">
        <v>1367</v>
      </c>
      <c r="F66" s="2489"/>
      <c r="G66" s="2489"/>
      <c r="H66" s="2497"/>
      <c r="I66" s="138"/>
      <c r="J66" s="3136"/>
      <c r="K66" s="2499" t="s">
        <v>2249</v>
      </c>
      <c r="L66" s="1748">
        <f ca="1">M49*0.5%</f>
        <v>1.875</v>
      </c>
      <c r="M66" s="24">
        <f ca="1">IF(L66&gt;0.5,0.5,ROUND(L66,0))</f>
        <v>0.5</v>
      </c>
      <c r="N66" s="138" t="s">
        <v>2250</v>
      </c>
      <c r="Z66" s="2423"/>
      <c r="AI66" s="2424"/>
    </row>
    <row r="67" spans="1:35" ht="14.25" customHeight="1">
      <c r="A67" s="203" t="s">
        <v>773</v>
      </c>
      <c r="B67" s="204" t="s">
        <v>2251</v>
      </c>
      <c r="C67" s="207">
        <f ca="1">C63-C66</f>
        <v>357</v>
      </c>
      <c r="D67" s="200" t="s">
        <v>32</v>
      </c>
      <c r="E67" s="201"/>
      <c r="F67" s="2489"/>
      <c r="G67" s="2489"/>
      <c r="H67" s="2497"/>
      <c r="I67" s="138"/>
      <c r="J67" s="3136"/>
      <c r="K67" s="2499" t="s">
        <v>2252</v>
      </c>
      <c r="L67" s="1748">
        <f ca="1">IF(M49&gt;=10000,(8.25+(M49-10000)*0.01%),IF(AND(M49&gt;=8000,M49&lt;10000),(7.85+(M49-8000)*0.02%),IF(AND(M49&gt;=5000,M49&lt;8000),(6.65+(M49-5000)*0.04%),IF(AND(M49&gt;=2000,M49&lt;5000),(4.25+(PM49-2000)*0.08%),IF(AND(M49&gt;=1000,M49&lt;2000),(2.75+(M49-1000)*0.15%),IF(AND(M49&gt;=100,M49&lt;1000),(0.5+(M49-100)*0.25%),IF(AND(M49&gt;0,M49&lt;100),M49*0.5%)))))))</f>
        <v>1.1875</v>
      </c>
      <c r="M67" s="24">
        <f ca="1">ROUND(L67*0.9,1)</f>
        <v>1.1000000000000001</v>
      </c>
      <c r="Z67" s="2423"/>
      <c r="AI67" s="2424"/>
    </row>
    <row r="68" spans="1:35" ht="14.25" customHeight="1" thickBot="1">
      <c r="A68" s="208" t="s">
        <v>774</v>
      </c>
      <c r="B68" s="209" t="s">
        <v>2253</v>
      </c>
      <c r="C68" s="210">
        <f ca="1">IF(C67&lt;=0,0,ROUND(C67*D68,0))</f>
        <v>20</v>
      </c>
      <c r="D68" s="211">
        <f>'数据-取费表'!B41</f>
        <v>5.6000000000000001E-2</v>
      </c>
      <c r="E68" s="212"/>
      <c r="F68" s="2489"/>
      <c r="G68" s="2489"/>
      <c r="H68" s="2497"/>
      <c r="I68" s="138"/>
      <c r="J68" s="3136"/>
      <c r="K68" s="2499" t="s">
        <v>2254</v>
      </c>
      <c r="L68" s="1748">
        <f ca="1">IF(M49&gt;10000,M49*0.5%,IF(AND(M49&gt;5000,M49&lt;=10000),M49*1%,IF(AND(M49&gt;1000,M49&lt;=5000),M49*2%,IF(AND(M49&gt;200,M49&lt;=1000),M49*3%,M49*5%))))</f>
        <v>11.25</v>
      </c>
      <c r="M68" s="24">
        <f ca="1">ROUND(L68,1)</f>
        <v>11.3</v>
      </c>
      <c r="Z68" s="2423"/>
      <c r="AI68" s="2424"/>
    </row>
    <row r="69" spans="1:35" s="2446" customFormat="1" ht="16.5" customHeight="1">
      <c r="A69" s="2500"/>
      <c r="B69" s="2501"/>
      <c r="C69" s="2502"/>
      <c r="D69" s="2503"/>
      <c r="E69" s="2504"/>
      <c r="F69" s="2165"/>
      <c r="G69" s="2165"/>
      <c r="H69" s="2164"/>
      <c r="I69" s="2418"/>
      <c r="J69" s="3136"/>
      <c r="K69" s="2499" t="s">
        <v>2255</v>
      </c>
      <c r="L69" s="2505"/>
      <c r="M69" s="24">
        <f ca="1">ROUND(SUM(M63:M68),0)</f>
        <v>31</v>
      </c>
      <c r="N69" s="1749">
        <f ca="1">M69/M49</f>
        <v>8.2666666666666666E-2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095" t="s">
        <v>2256</v>
      </c>
      <c r="B70" s="3096"/>
      <c r="C70" s="3096"/>
      <c r="D70" s="3096"/>
      <c r="E70" s="3096"/>
      <c r="F70" s="3096"/>
      <c r="G70" s="3096"/>
      <c r="H70" s="309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74" t="s">
        <v>2237</v>
      </c>
      <c r="B71" s="3075"/>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2257</v>
      </c>
      <c r="C72" s="207">
        <f ca="1">ROUND(D45/(1+'数据-取费表'!C42),0)</f>
        <v>357</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2258</v>
      </c>
      <c r="C73" s="207">
        <f ca="1">C74+C78</f>
        <v>2</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069" t="s">
        <v>2265</v>
      </c>
      <c r="F76" s="3046"/>
      <c r="G76" s="3046"/>
      <c r="H76" s="309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v>
      </c>
      <c r="D78" s="226">
        <f>'数据-取费表'!B43</f>
        <v>6.000000000000001E-3</v>
      </c>
      <c r="E78" s="3055" t="s">
        <v>2270</v>
      </c>
      <c r="F78" s="3056"/>
      <c r="G78" s="3056"/>
      <c r="H78" s="306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2271</v>
      </c>
      <c r="C79" s="207">
        <f ca="1">C72-C73</f>
        <v>355</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177.5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2273</v>
      </c>
      <c r="C81" s="228">
        <f ca="1">ROUND(IF(C79&lt;=0,0,IF(C80&gt;=200%,C79*60%-C73*35%,IF(C80&gt;=100%,C79*50%-C73*15%,IF(C80&gt;=50%,C79*40%-C73*5%,IF(C80&lt;50%,C79*30%,0))))),0)</f>
        <v>212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095" t="s">
        <v>2274</v>
      </c>
      <c r="B83" s="3096"/>
      <c r="C83" s="3096"/>
      <c r="D83" s="3096"/>
      <c r="E83" s="3096"/>
      <c r="F83" s="3096"/>
      <c r="G83" s="3096"/>
      <c r="H83" s="309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74" t="s">
        <v>2237</v>
      </c>
      <c r="B84" s="3075"/>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2257</v>
      </c>
      <c r="C85" s="207">
        <f ca="1">ROUND(D45/(1+'数据-取费表'!C42),0)</f>
        <v>357</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2258</v>
      </c>
      <c r="C86" s="207">
        <f ca="1">IF(H88="仅含出让金",C87+C90+C91+C92+C93+C94,C87+C91+C92+C93+C94)</f>
        <v>2</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055" t="s">
        <v>2283</v>
      </c>
      <c r="F91" s="3056"/>
      <c r="G91" s="3056"/>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055" t="s">
        <v>2287</v>
      </c>
      <c r="F92" s="3056"/>
      <c r="G92" s="3056"/>
      <c r="H92" s="306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v>
      </c>
      <c r="D93" s="226">
        <f>'数据-取费表'!B43</f>
        <v>6.000000000000001E-3</v>
      </c>
      <c r="E93" s="3055" t="s">
        <v>2270</v>
      </c>
      <c r="F93" s="3056"/>
      <c r="G93" s="3056"/>
      <c r="H93" s="306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066" t="s">
        <v>2291</v>
      </c>
      <c r="F94" s="3067"/>
      <c r="G94" s="3067"/>
      <c r="H94" s="30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2271</v>
      </c>
      <c r="C95" s="207">
        <f ca="1">ROUND(C85-C86,0)</f>
        <v>355</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177.5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2273</v>
      </c>
      <c r="C97" s="228">
        <f ca="1">ROUND(IF(C95&lt;=0,0,IF(C96&gt;=200%,C95*60%-C86*35%,IF(C96&gt;=100%,C95*50%-C86*15%,IF(C96&gt;=50%,C95*40%-C86*5%,IF(C96&lt;50%,C95*30%,0))))),0)</f>
        <v>212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40" t="s">
        <v>2293</v>
      </c>
      <c r="B100" s="3041"/>
      <c r="C100" s="3041"/>
      <c r="D100" s="3057"/>
      <c r="E100" s="3041" t="s">
        <v>2294</v>
      </c>
      <c r="F100" s="3041"/>
      <c r="G100" s="3041"/>
      <c r="H100" s="3057"/>
      <c r="I100" s="138"/>
    </row>
    <row r="101" spans="1:35" ht="18.75" customHeight="1">
      <c r="A101" s="3119" t="s">
        <v>2295</v>
      </c>
      <c r="B101" s="3120"/>
      <c r="C101" s="736" t="str">
        <f>C4</f>
        <v>比较法-住宅</v>
      </c>
      <c r="D101" s="737" t="str">
        <f>D4</f>
        <v>收益法 (元)</v>
      </c>
      <c r="E101" s="3133" t="s">
        <v>2296</v>
      </c>
      <c r="F101" s="3087"/>
      <c r="G101" s="2520" t="s">
        <v>2297</v>
      </c>
      <c r="H101" s="1045">
        <f ca="1">H118</f>
        <v>375</v>
      </c>
      <c r="I101" s="138"/>
    </row>
    <row r="102" spans="1:35" ht="18.75" customHeight="1">
      <c r="A102" s="3089" t="s">
        <v>2298</v>
      </c>
      <c r="B102" s="2520" t="s">
        <v>2297</v>
      </c>
      <c r="C102" s="736">
        <f ca="1">C19</f>
        <v>398</v>
      </c>
      <c r="D102" s="737">
        <f ca="1">D19</f>
        <v>165</v>
      </c>
      <c r="E102" s="3133"/>
      <c r="F102" s="3087"/>
      <c r="G102" s="2520" t="s">
        <v>2299</v>
      </c>
      <c r="H102" s="371">
        <f ca="1">I118</f>
        <v>21172</v>
      </c>
      <c r="I102" s="138"/>
    </row>
    <row r="103" spans="1:35" ht="42.75" customHeight="1">
      <c r="A103" s="3089"/>
      <c r="B103" s="2520" t="s">
        <v>2299</v>
      </c>
      <c r="C103" s="738">
        <f ca="1">C20</f>
        <v>22469</v>
      </c>
      <c r="D103" s="739">
        <f ca="1">D20</f>
        <v>9335</v>
      </c>
      <c r="E103" s="3128" t="s">
        <v>2300</v>
      </c>
      <c r="F103" s="3129"/>
      <c r="G103" s="2521" t="s">
        <v>2301</v>
      </c>
      <c r="H103" s="1045">
        <f>IF(D36="正常操作",H104+H105+H106,H105+H106)</f>
        <v>0</v>
      </c>
      <c r="I103" s="138"/>
    </row>
    <row r="104" spans="1:35" ht="18.75" customHeight="1">
      <c r="A104" s="3089" t="s">
        <v>2302</v>
      </c>
      <c r="B104" s="2522" t="s">
        <v>2297</v>
      </c>
      <c r="C104" s="740">
        <f ca="1">H118</f>
        <v>375</v>
      </c>
      <c r="D104" s="741"/>
      <c r="E104" s="2266" t="s">
        <v>2303</v>
      </c>
      <c r="F104" s="2257"/>
      <c r="G104" s="2521" t="s">
        <v>2301</v>
      </c>
      <c r="H104" s="1046">
        <f>IF(D36="同一抵押权人同一抵押物续贷",C36&amp;"（未扣减，详见特别提示）",C36)</f>
        <v>0</v>
      </c>
      <c r="I104" s="138"/>
    </row>
    <row r="105" spans="1:35" ht="18.75" customHeight="1" thickBot="1">
      <c r="A105" s="3090"/>
      <c r="B105" s="2523" t="s">
        <v>2299</v>
      </c>
      <c r="C105" s="742">
        <f ca="1">I118</f>
        <v>21172</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086" t="str">
        <f>IF(项目基本情况!E8="已注销","——","3.房地产抵押价值")</f>
        <v>3.房地产抵押价值</v>
      </c>
      <c r="F107" s="3087"/>
      <c r="G107" s="2520" t="s">
        <v>2297</v>
      </c>
      <c r="H107" s="1045">
        <f ca="1">IF(E107="——","——",H101-H103)</f>
        <v>375</v>
      </c>
      <c r="I107" s="138"/>
    </row>
    <row r="108" spans="1:35" ht="18.75" customHeight="1">
      <c r="A108" s="138"/>
      <c r="B108" s="138"/>
      <c r="C108" s="138"/>
      <c r="D108" s="138"/>
      <c r="E108" s="3086"/>
      <c r="F108" s="3087"/>
      <c r="G108" s="2520" t="s">
        <v>2299</v>
      </c>
      <c r="H108" s="371">
        <f ca="1">ROUND(H107*10000/'数据-汇总表'!E3,0)</f>
        <v>21172</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20" t="s">
        <v>2297</v>
      </c>
      <c r="H109" s="348" t="str">
        <f>IF(E109="——","——",H101-H105-H106)</f>
        <v>——</v>
      </c>
      <c r="I109" s="138"/>
    </row>
    <row r="110" spans="1:35" ht="18.75" customHeight="1">
      <c r="A110" s="138"/>
      <c r="B110" s="138"/>
      <c r="C110" s="138"/>
      <c r="D110" s="138"/>
      <c r="E110" s="3086"/>
      <c r="F110" s="3087"/>
      <c r="G110" s="2520" t="s">
        <v>2299</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0" t="s">
        <v>2297</v>
      </c>
      <c r="H111" s="1045" t="str">
        <f>IF(E111="——","——",N59)</f>
        <v>——</v>
      </c>
      <c r="I111" s="138"/>
    </row>
    <row r="112" spans="1:35" ht="18.75" customHeight="1" thickBot="1">
      <c r="A112" s="138"/>
      <c r="B112" s="138"/>
      <c r="C112" s="138"/>
      <c r="D112" s="138"/>
      <c r="E112" s="3123"/>
      <c r="F112" s="3124"/>
      <c r="G112" s="2525" t="s">
        <v>2299</v>
      </c>
      <c r="H112" s="790" t="str">
        <f>IF(E111="——","——",N61)</f>
        <v>——</v>
      </c>
      <c r="I112" s="138"/>
    </row>
    <row r="113" spans="1:11" ht="18.75" customHeight="1">
      <c r="A113" s="138"/>
      <c r="B113" s="138"/>
      <c r="C113" s="138"/>
      <c r="D113" s="138"/>
      <c r="E113" s="3091" t="s">
        <v>2305</v>
      </c>
      <c r="F113" s="3091"/>
      <c r="G113" s="3091"/>
      <c r="H113" s="3091"/>
      <c r="I113" s="138"/>
    </row>
    <row r="114" spans="1:11" ht="3.75" customHeight="1">
      <c r="A114" s="2418"/>
      <c r="B114" s="2418"/>
      <c r="C114" s="2418"/>
      <c r="D114" s="2418"/>
      <c r="E114" s="2496"/>
      <c r="F114" s="2496"/>
      <c r="G114" s="2496"/>
      <c r="H114" s="2496"/>
      <c r="I114" s="2418"/>
    </row>
    <row r="115" spans="1:11" ht="18.75" customHeight="1">
      <c r="A115" s="3104" t="s">
        <v>2307</v>
      </c>
      <c r="B115" s="3105"/>
      <c r="C115" s="3105"/>
      <c r="D115" s="3105"/>
      <c r="E115" s="3105"/>
      <c r="F115" s="3105"/>
      <c r="G115" s="3105"/>
      <c r="H115" s="3105"/>
      <c r="I115" s="3106"/>
    </row>
    <row r="116" spans="1:11" ht="27" customHeight="1">
      <c r="A116" s="2997" t="s">
        <v>2308</v>
      </c>
      <c r="B116" s="3092" t="s">
        <v>2309</v>
      </c>
      <c r="C116" s="3092" t="s">
        <v>2310</v>
      </c>
      <c r="D116" s="3108" t="s">
        <v>2311</v>
      </c>
      <c r="E116" s="3109"/>
      <c r="F116" s="3100" t="s">
        <v>2312</v>
      </c>
      <c r="G116" s="3100"/>
      <c r="H116" s="2997" t="s">
        <v>2313</v>
      </c>
      <c r="I116" s="2997"/>
    </row>
    <row r="117" spans="1:11" ht="18.75" customHeight="1">
      <c r="A117" s="2997"/>
      <c r="B117" s="3093"/>
      <c r="C117" s="3093"/>
      <c r="D117" s="1794" t="s">
        <v>2314</v>
      </c>
      <c r="E117" s="1794" t="s">
        <v>2315</v>
      </c>
      <c r="F117" s="1794" t="s">
        <v>2314</v>
      </c>
      <c r="G117" s="1794" t="s">
        <v>2316</v>
      </c>
      <c r="H117" s="1794" t="s">
        <v>2314</v>
      </c>
      <c r="I117" s="1794" t="s">
        <v>2316</v>
      </c>
    </row>
    <row r="118" spans="1:11" ht="24.75" customHeight="1">
      <c r="A118" s="2526" t="str">
        <f>项目基本情况!S2</f>
        <v>房地产</v>
      </c>
      <c r="B118" s="1794">
        <f>M18</f>
        <v>177.12</v>
      </c>
      <c r="C118" s="1794">
        <f>M19</f>
        <v>7.71</v>
      </c>
      <c r="D118" s="1794">
        <f ca="1">ROUND(IF(D32="总价",C34,E118*B118/10000),0)</f>
        <v>56</v>
      </c>
      <c r="E118" s="1794">
        <f ca="1">ROUND(IF(C33="自定义",IF(D32="楼面单价",C34,D118*10000/B118),I118-G118),0)</f>
        <v>3162</v>
      </c>
      <c r="F118" s="1794">
        <f ca="1">ROUND(IF(D32="总价",C35,G118*B118/10000),0)</f>
        <v>319</v>
      </c>
      <c r="G118" s="1794">
        <f ca="1">ROUND(IF(D32="楼面单价",C35,F118*10000/B118),0)</f>
        <v>18010</v>
      </c>
      <c r="H118" s="1794">
        <f ca="1">ROUND(IF(D32="总价",C32,I118*B118/10000),0)</f>
        <v>375</v>
      </c>
      <c r="I118" s="1794">
        <f ca="1">ROUND(IF(D32="楼面单价",C32,H118*10000/B118),0)</f>
        <v>21172</v>
      </c>
    </row>
    <row r="119" spans="1:11" ht="18.75" customHeight="1">
      <c r="A119" s="2997" t="s">
        <v>2317</v>
      </c>
      <c r="B119" s="2997"/>
      <c r="C119" s="2997"/>
      <c r="D119" s="3097" t="str">
        <f ca="1">NUMBERSTRING(INT(D118*10000),2)&amp;"元整"</f>
        <v>伍拾陆万元整</v>
      </c>
      <c r="E119" s="3099"/>
      <c r="F119" s="3097" t="str">
        <f ca="1">NUMBERSTRING(INT(F118*10000),2)&amp;"元整"</f>
        <v>叁佰壹拾玖万元整</v>
      </c>
      <c r="G119" s="3099"/>
      <c r="H119" s="3097" t="str">
        <f ca="1">NUMBERSTRING(INT(H118*10000),2)&amp;"元整"</f>
        <v>叁佰柒拾伍万元整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3" t="str">
        <f>IF(D120=0,"故，本次评估不存在"&amp;A120,"故，本次评估"&amp;A120&amp;"为人民币"&amp;D120&amp;"万元整。")</f>
        <v>故，本次评估不存在估价师知悉的法定优先受偿款</v>
      </c>
    </row>
    <row r="121" spans="1:11" ht="18.75" customHeight="1">
      <c r="A121" s="3101" t="s">
        <v>2317</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375</v>
      </c>
      <c r="E122" s="3126"/>
      <c r="F122" s="3126"/>
      <c r="G122" s="3126"/>
      <c r="H122" s="3126"/>
      <c r="I122" s="3127"/>
    </row>
    <row r="123" spans="1:11" ht="18.75" customHeight="1">
      <c r="A123" s="2997" t="s">
        <v>2317</v>
      </c>
      <c r="B123" s="2997"/>
      <c r="C123" s="2997"/>
      <c r="D123" s="3097" t="str">
        <f ca="1">NUMBERSTRING(INT(D122*10000),2)&amp;"元整"</f>
        <v>叁佰柒拾伍万元整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2317</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2317</v>
      </c>
      <c r="B127" s="2997"/>
      <c r="C127" s="2997"/>
      <c r="D127" s="3097" t="e">
        <f>NUMBERSTRING(INT(D126*10000),2)&amp;"元整"</f>
        <v>#VALUE!</v>
      </c>
      <c r="E127" s="3098"/>
      <c r="F127" s="3098"/>
      <c r="G127" s="3098"/>
      <c r="H127" s="3098"/>
      <c r="I127" s="3099"/>
    </row>
    <row r="128" spans="1:11" ht="21.75" customHeight="1">
      <c r="A128" s="3107" t="s">
        <v>2318</v>
      </c>
      <c r="B128" s="3107"/>
      <c r="C128" s="3107"/>
      <c r="D128" s="3107"/>
      <c r="E128" s="3107"/>
      <c r="F128" s="3107"/>
      <c r="G128" s="3107"/>
      <c r="H128" s="3107"/>
      <c r="I128" s="3107"/>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7" sqref="F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5"/>
      <c r="C1" s="242"/>
      <c r="D1" s="242"/>
      <c r="E1" s="242"/>
      <c r="F1" s="242"/>
      <c r="G1" s="1378">
        <f>MATCH(B1,'数据-取费表'!A6:A16,0)+5</f>
        <v>8</v>
      </c>
    </row>
    <row r="2" spans="1:9" s="244" customFormat="1" ht="18" customHeight="1">
      <c r="A2" s="245" t="s">
        <v>2327</v>
      </c>
      <c r="B2" s="246">
        <f ca="1">IF(D2="——",C52,C52-E2)</f>
        <v>155</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8751</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4</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4</v>
      </c>
      <c r="D8" s="266"/>
      <c r="E8" s="264"/>
      <c r="F8" s="265"/>
      <c r="G8" s="2552"/>
    </row>
    <row r="9" spans="1:9" s="258" customFormat="1" ht="13.5" customHeight="1">
      <c r="A9" s="950" t="s">
        <v>800</v>
      </c>
      <c r="B9" s="268" t="s">
        <v>2343</v>
      </c>
      <c r="C9" s="269">
        <f ca="1">ROUND(D9*E9/10000,0)</f>
        <v>4</v>
      </c>
      <c r="D9" s="1032">
        <f ca="1">IF(B1="",'数据-汇总表'!E5,IF(INDIRECT("'数据-取费表'!c"&amp;$G$1)="住宅",INDIRECT("'数据-取费表'!k"&amp;$G$1),0))</f>
        <v>177.12</v>
      </c>
      <c r="E9" s="269">
        <f>'数据-取费表'!B27</f>
        <v>220</v>
      </c>
      <c r="F9" s="265"/>
      <c r="G9" s="2553"/>
      <c r="H9" s="1389"/>
      <c r="I9" s="2554"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4</v>
      </c>
      <c r="D19" s="1036">
        <f ca="1">D9+D10</f>
        <v>177.12</v>
      </c>
      <c r="E19" s="255">
        <f>'数据-取费表'!B31</f>
        <v>200</v>
      </c>
      <c r="F19" s="275"/>
      <c r="G19" s="2552"/>
    </row>
    <row r="20" spans="1:7" s="258" customFormat="1" ht="13.5" customHeight="1">
      <c r="A20" s="299" t="s">
        <v>2358</v>
      </c>
      <c r="B20" s="254" t="s">
        <v>2359</v>
      </c>
      <c r="C20" s="276">
        <f ca="1">ROUND((C5+C19)*F20,0)</f>
        <v>0</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3">
        <f ca="1">ROUND(SUM(C23:C25),0)</f>
        <v>2</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1</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1</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6.4">
      <c r="A27" s="299" t="s">
        <v>2377</v>
      </c>
      <c r="B27" s="288" t="s">
        <v>2378</v>
      </c>
      <c r="C27" s="289">
        <f ca="1">C28</f>
        <v>3</v>
      </c>
      <c r="D27" s="279">
        <f ca="1">C29</f>
        <v>1.0500000000000001E-2</v>
      </c>
      <c r="E27" s="280" t="s">
        <v>2379</v>
      </c>
      <c r="F27" s="290">
        <f ca="1">IF(B1="",'数据-取费表'!Q16,INDIRECT("'数据-取费表'!q"&amp;$G$1))</f>
        <v>0.35</v>
      </c>
      <c r="G27" s="291" t="s">
        <v>2380</v>
      </c>
    </row>
    <row r="28" spans="1:7" s="258" customFormat="1" ht="13.5" customHeight="1">
      <c r="A28" s="951" t="s">
        <v>791</v>
      </c>
      <c r="B28" s="292" t="s">
        <v>2381</v>
      </c>
      <c r="C28" s="293">
        <f ca="1">ROUND((C5+C19+C20)*F27*'数据-取费表'!B21/'数据-取费表'!B20,0)</f>
        <v>3</v>
      </c>
      <c r="D28" s="279"/>
      <c r="E28" s="280"/>
      <c r="F28" s="290"/>
      <c r="G28" s="291"/>
    </row>
    <row r="29" spans="1:7" s="258" customFormat="1" ht="13.5" customHeight="1">
      <c r="A29" s="951" t="s">
        <v>792</v>
      </c>
      <c r="B29" s="292" t="s">
        <v>2382</v>
      </c>
      <c r="C29" s="282">
        <f ca="1">ROUND(C21*F27*'数据-取费表'!B21/'数据-取费表'!B20,4)</f>
        <v>1.0500000000000001E-2</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14</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97</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80</v>
      </c>
      <c r="D34" s="261"/>
      <c r="E34" s="264"/>
      <c r="F34" s="301">
        <f ca="1">IF('数据-取费表'!B24=0,1,IF(B1="",'数据-取费表'!N16,INDIRECT("'数据-取费表'!n"&amp;$G$1)))</f>
        <v>1</v>
      </c>
      <c r="G34" s="263" t="s">
        <v>2391</v>
      </c>
    </row>
    <row r="35" spans="1:7" ht="13.5" customHeight="1">
      <c r="A35" s="951" t="s">
        <v>796</v>
      </c>
      <c r="B35" s="259" t="s">
        <v>2392</v>
      </c>
      <c r="C35" s="264">
        <f ca="1">ROUND(C34*F35,0)</f>
        <v>4</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8</v>
      </c>
      <c r="D36" s="264"/>
      <c r="E36" s="264"/>
      <c r="F36" s="303">
        <f>'数据-取费表'!B34</f>
        <v>0.1</v>
      </c>
      <c r="G36" s="304" t="s">
        <v>2395</v>
      </c>
    </row>
    <row r="37" spans="1:7" s="302" customFormat="1" ht="13.5" customHeight="1">
      <c r="A37" s="951" t="s">
        <v>798</v>
      </c>
      <c r="B37" s="259" t="s">
        <v>2396</v>
      </c>
      <c r="C37" s="293">
        <f ca="1">ROUND(E37*D37*F34/10000,0)</f>
        <v>4</v>
      </c>
      <c r="D37" s="261">
        <f ca="1">D19</f>
        <v>177.12</v>
      </c>
      <c r="E37" s="293">
        <f>'数据-取费表'!B35</f>
        <v>200</v>
      </c>
      <c r="F37" s="303"/>
      <c r="G37" s="305" t="s">
        <v>2397</v>
      </c>
    </row>
    <row r="38" spans="1:7" ht="13.5" customHeight="1">
      <c r="A38" s="951" t="s">
        <v>799</v>
      </c>
      <c r="B38" s="259" t="s">
        <v>2398</v>
      </c>
      <c r="C38" s="264">
        <f ca="1">ROUND(C34*F38,0)</f>
        <v>1</v>
      </c>
      <c r="D38" s="264"/>
      <c r="E38" s="264"/>
      <c r="F38" s="303">
        <f>'数据-取费表'!B36</f>
        <v>1.4999999999999999E-2</v>
      </c>
      <c r="G38" s="263" t="s">
        <v>2393</v>
      </c>
    </row>
    <row r="39" spans="1:7" s="258" customFormat="1" ht="13.5" customHeight="1">
      <c r="A39" s="299" t="s">
        <v>2399</v>
      </c>
      <c r="B39" s="254" t="s">
        <v>2400</v>
      </c>
      <c r="C39" s="276">
        <f ca="1">ROUND(C33*F20,0)</f>
        <v>3</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7</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v>
      </c>
      <c r="D42" s="282"/>
      <c r="E42" s="282"/>
      <c r="F42" s="283"/>
      <c r="G42" s="3139" t="s">
        <v>2409</v>
      </c>
    </row>
    <row r="43" spans="1:7" ht="13.5" customHeight="1">
      <c r="A43" s="951" t="s">
        <v>792</v>
      </c>
      <c r="B43" s="259" t="s">
        <v>2410</v>
      </c>
      <c r="C43" s="282">
        <f ca="1">ROUND(IF('数据-取费表'!B22&lt;=1,C39*F22*'数据-取费表'!B21/2,C39*(POWER((1+F22),'数据-取费表'!B21/2)-1)),0)</f>
        <v>0</v>
      </c>
      <c r="D43" s="282"/>
      <c r="E43" s="282"/>
      <c r="F43" s="283"/>
      <c r="G43" s="3140"/>
    </row>
    <row r="44" spans="1:7" ht="13.5" customHeight="1">
      <c r="A44" s="951" t="s">
        <v>793</v>
      </c>
      <c r="B44" s="259" t="s">
        <v>2411</v>
      </c>
      <c r="C44" s="282">
        <f ca="1">ROUND(IF('数据-取费表'!B22&lt;=1,C40*F22*'数据-取费表'!B21/2,C40*(POWER((1+F22),'数据-取费表'!B21/2)-1)),4)</f>
        <v>2.2000000000000001E-3</v>
      </c>
      <c r="D44" s="282"/>
      <c r="E44" s="282"/>
      <c r="F44" s="283"/>
      <c r="G44" s="3141"/>
    </row>
    <row r="45" spans="1:7" s="258" customFormat="1" ht="13.5" customHeight="1">
      <c r="A45" s="299" t="s">
        <v>2412</v>
      </c>
      <c r="B45" s="288" t="s">
        <v>2378</v>
      </c>
      <c r="C45" s="289">
        <f ca="1">C46</f>
        <v>35</v>
      </c>
      <c r="D45" s="279">
        <f ca="1">C47</f>
        <v>1.0500000000000001E-2</v>
      </c>
      <c r="E45" s="280" t="s">
        <v>2404</v>
      </c>
      <c r="F45" s="290"/>
      <c r="G45" s="291" t="s">
        <v>2413</v>
      </c>
    </row>
    <row r="46" spans="1:7" s="258" customFormat="1" ht="13.5" customHeight="1">
      <c r="A46" s="951" t="s">
        <v>791</v>
      </c>
      <c r="B46" s="292" t="s">
        <v>2414</v>
      </c>
      <c r="C46" s="293">
        <f ca="1">ROUND((C33+C39)*F27,0)</f>
        <v>35</v>
      </c>
      <c r="D46" s="307"/>
      <c r="E46" s="280"/>
      <c r="F46" s="290"/>
      <c r="G46" s="291"/>
    </row>
    <row r="47" spans="1:7" s="258" customFormat="1" ht="13.5" customHeight="1">
      <c r="A47" s="951" t="s">
        <v>792</v>
      </c>
      <c r="B47" s="292" t="s">
        <v>2415</v>
      </c>
      <c r="C47" s="282">
        <f ca="1">ROUND(C40*F27,4)</f>
        <v>1.0500000000000001E-2</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157</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141</v>
      </c>
      <c r="D51" s="276"/>
      <c r="E51" s="276"/>
      <c r="F51" s="308"/>
      <c r="G51" s="278" t="s">
        <v>2425</v>
      </c>
    </row>
    <row r="52" spans="1:7" s="252" customFormat="1" ht="16.8" thickBot="1">
      <c r="A52" s="309" t="s">
        <v>2426</v>
      </c>
      <c r="B52" s="310"/>
      <c r="C52" s="311">
        <f ca="1">C31+C51</f>
        <v>155</v>
      </c>
      <c r="D52" s="310"/>
      <c r="E52" s="310"/>
      <c r="F52" s="310"/>
      <c r="G52" s="312"/>
    </row>
    <row r="55" spans="1:7" ht="15">
      <c r="B55" s="314" t="s">
        <v>2427</v>
      </c>
      <c r="C55" s="315"/>
    </row>
    <row r="56" spans="1:7">
      <c r="B56" s="317" t="s">
        <v>1508</v>
      </c>
      <c r="C56" s="319">
        <f ca="1">1-C57</f>
        <v>8.9999999999999969E-2</v>
      </c>
    </row>
    <row r="57" spans="1:7">
      <c r="B57" s="317" t="s">
        <v>1509</v>
      </c>
      <c r="C57" s="318">
        <f ca="1">ROUND(C51/C52,3)</f>
        <v>0.91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5"/>
      <c r="C1" s="2555"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153</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8638</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38966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38966</v>
      </c>
      <c r="D8" s="266"/>
      <c r="E8" s="264"/>
      <c r="F8" s="265"/>
      <c r="G8" s="2552"/>
    </row>
    <row r="9" spans="1:8" s="258" customFormat="1" ht="13.5" customHeight="1">
      <c r="A9" s="950" t="s">
        <v>800</v>
      </c>
      <c r="B9" s="268" t="s">
        <v>2343</v>
      </c>
      <c r="C9" s="269">
        <f ca="1">ROUND(D9*E9,0)</f>
        <v>38966</v>
      </c>
      <c r="D9" s="1032">
        <f ca="1">IF(B1="",'数据-汇总表'!E5,IF(INDIRECT("'数据-取费表'!c"&amp;$G$1)="住宅",INDIRECT("'数据-取费表'!k"&amp;$G$1),0))</f>
        <v>177.12</v>
      </c>
      <c r="E9" s="269">
        <f>'数据-取费表'!B27</f>
        <v>220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35424</v>
      </c>
      <c r="D19" s="1036">
        <f ca="1">D9+D10</f>
        <v>177.12</v>
      </c>
      <c r="E19" s="255">
        <f>'数据-取费表'!B31</f>
        <v>200</v>
      </c>
      <c r="F19" s="275"/>
      <c r="G19" s="2552"/>
    </row>
    <row r="20" spans="1:7" s="258" customFormat="1" ht="13.5" customHeight="1">
      <c r="A20" s="299" t="s">
        <v>2439</v>
      </c>
      <c r="B20" s="254" t="s">
        <v>2440</v>
      </c>
      <c r="C20" s="276">
        <f ca="1">ROUND((C5+C19)*F20,0)</f>
        <v>2232</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79">
        <f ca="1">ROUND(SUM(C23:C25),0)</f>
        <v>11273</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5821</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5291</v>
      </c>
      <c r="D24" s="282"/>
      <c r="E24" s="282"/>
      <c r="F24" s="283"/>
      <c r="G24" s="284" t="s">
        <v>2451</v>
      </c>
    </row>
    <row r="25" spans="1:7" s="258" customFormat="1" ht="24">
      <c r="A25" s="951" t="s">
        <v>2341</v>
      </c>
      <c r="B25" s="259" t="s">
        <v>2452</v>
      </c>
      <c r="C25" s="1380">
        <f ca="1">ROUND(IF('数据-取费表'!B22&lt;=1,C20*F22*'数据-取费表'!B22/2,C20*(POWER((1+F22),'数据-取费表'!B22/2)-1)),0)</f>
        <v>161</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6.4">
      <c r="A27" s="299" t="s">
        <v>2377</v>
      </c>
      <c r="B27" s="288" t="s">
        <v>2378</v>
      </c>
      <c r="C27" s="289">
        <f ca="1">C28</f>
        <v>26818</v>
      </c>
      <c r="D27" s="279">
        <f ca="1">C29</f>
        <v>1.0500000000000001E-2</v>
      </c>
      <c r="E27" s="280" t="s">
        <v>2379</v>
      </c>
      <c r="F27" s="290">
        <f ca="1">IF(B1="",'数据-取费表'!Q16,INDIRECT("'数据-取费表'!q"&amp;$G$1))</f>
        <v>0.35</v>
      </c>
      <c r="G27" s="291" t="s">
        <v>2380</v>
      </c>
    </row>
    <row r="28" spans="1:7" s="258" customFormat="1" ht="13.5" customHeight="1">
      <c r="A28" s="951" t="s">
        <v>791</v>
      </c>
      <c r="B28" s="292" t="s">
        <v>2381</v>
      </c>
      <c r="C28" s="293">
        <f ca="1">ROUND((C5+C19+C20)*F27,0)</f>
        <v>26818</v>
      </c>
      <c r="D28" s="279"/>
      <c r="E28" s="280"/>
      <c r="F28" s="290"/>
      <c r="G28" s="291"/>
    </row>
    <row r="29" spans="1:7" s="258" customFormat="1" ht="13.5" customHeight="1">
      <c r="A29" s="951" t="s">
        <v>792</v>
      </c>
      <c r="B29" s="292" t="s">
        <v>2382</v>
      </c>
      <c r="C29" s="282">
        <f ca="1">ROUND(C21*F27,4)</f>
        <v>1.0500000000000001E-2</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126895</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963976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797040</v>
      </c>
      <c r="D34" s="261"/>
      <c r="E34" s="264"/>
      <c r="F34" s="301"/>
      <c r="G34" s="263"/>
    </row>
    <row r="35" spans="1:7" ht="13.5" customHeight="1">
      <c r="A35" s="951" t="s">
        <v>796</v>
      </c>
      <c r="B35" s="259" t="s">
        <v>2392</v>
      </c>
      <c r="C35" s="264">
        <f ca="1">ROUND(C34*F35,0)</f>
        <v>39852</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79704</v>
      </c>
      <c r="D36" s="264"/>
      <c r="E36" s="264"/>
      <c r="F36" s="303">
        <f>'数据-取费表'!B34</f>
        <v>0.1</v>
      </c>
      <c r="G36" s="304" t="s">
        <v>2395</v>
      </c>
    </row>
    <row r="37" spans="1:7" s="302" customFormat="1" ht="13.5" customHeight="1">
      <c r="A37" s="951" t="s">
        <v>798</v>
      </c>
      <c r="B37" s="259" t="s">
        <v>2396</v>
      </c>
      <c r="C37" s="293">
        <f ca="1">ROUND(E37*D37,0)</f>
        <v>35424</v>
      </c>
      <c r="D37" s="261">
        <f ca="1">D19</f>
        <v>177.12</v>
      </c>
      <c r="E37" s="293">
        <f>'数据-取费表'!B35</f>
        <v>200</v>
      </c>
      <c r="F37" s="303"/>
      <c r="G37" s="305"/>
    </row>
    <row r="38" spans="1:7" ht="13.5" customHeight="1">
      <c r="A38" s="951" t="s">
        <v>799</v>
      </c>
      <c r="B38" s="259" t="s">
        <v>2398</v>
      </c>
      <c r="C38" s="264">
        <f ca="1">ROUND(C34*F38,0)</f>
        <v>11956</v>
      </c>
      <c r="D38" s="264"/>
      <c r="E38" s="264"/>
      <c r="F38" s="303">
        <f>'数据-取费表'!B36</f>
        <v>1.4999999999999999E-2</v>
      </c>
      <c r="G38" s="263" t="s">
        <v>2393</v>
      </c>
    </row>
    <row r="39" spans="1:7" s="258" customFormat="1" ht="13.5" customHeight="1">
      <c r="A39" s="299" t="s">
        <v>2399</v>
      </c>
      <c r="B39" s="254" t="s">
        <v>2400</v>
      </c>
      <c r="C39" s="276">
        <f ca="1">ROUND(C33*F20,0)</f>
        <v>28919</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71578</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69493</v>
      </c>
      <c r="D42" s="282"/>
      <c r="E42" s="282"/>
      <c r="F42" s="283"/>
      <c r="G42" s="3139" t="s">
        <v>2456</v>
      </c>
    </row>
    <row r="43" spans="1:7" ht="13.5" customHeight="1">
      <c r="A43" s="951" t="s">
        <v>792</v>
      </c>
      <c r="B43" s="259" t="s">
        <v>2410</v>
      </c>
      <c r="C43" s="282">
        <f ca="1">ROUND(IF('数据-取费表'!B22&lt;=1,C39*F22*'数据-取费表'!B20/2,C39*(POWER((1+F22),'数据-取费表'!B20/2)-1)),0)</f>
        <v>2085</v>
      </c>
      <c r="D43" s="282"/>
      <c r="E43" s="282"/>
      <c r="F43" s="283"/>
      <c r="G43" s="3140"/>
    </row>
    <row r="44" spans="1:7" ht="13.5" customHeight="1">
      <c r="A44" s="951" t="s">
        <v>793</v>
      </c>
      <c r="B44" s="259" t="s">
        <v>2411</v>
      </c>
      <c r="C44" s="282">
        <f ca="1">ROUND(IF('数据-取费表'!B22&lt;=1,C40*F22*'数据-取费表'!B20/2,C40*(POWER((1+F22),'数据-取费表'!B20/2)-1)),4)</f>
        <v>2.2000000000000001E-3</v>
      </c>
      <c r="D44" s="282"/>
      <c r="E44" s="282"/>
      <c r="F44" s="283"/>
      <c r="G44" s="3141"/>
    </row>
    <row r="45" spans="1:7" s="258" customFormat="1" ht="13.5" customHeight="1">
      <c r="A45" s="299" t="s">
        <v>2412</v>
      </c>
      <c r="B45" s="288" t="s">
        <v>2378</v>
      </c>
      <c r="C45" s="289">
        <f ca="1">C46</f>
        <v>347513</v>
      </c>
      <c r="D45" s="279">
        <f ca="1">C47</f>
        <v>1.0500000000000001E-2</v>
      </c>
      <c r="E45" s="280" t="s">
        <v>2404</v>
      </c>
      <c r="F45" s="290"/>
      <c r="G45" s="291" t="s">
        <v>2413</v>
      </c>
    </row>
    <row r="46" spans="1:7" s="258" customFormat="1" ht="13.5" customHeight="1">
      <c r="A46" s="951" t="s">
        <v>791</v>
      </c>
      <c r="B46" s="292" t="s">
        <v>2414</v>
      </c>
      <c r="C46" s="293">
        <f ca="1">ROUND((C33+C39)*F27,0)</f>
        <v>347513</v>
      </c>
      <c r="D46" s="307"/>
      <c r="E46" s="280"/>
      <c r="F46" s="290"/>
      <c r="G46" s="291"/>
    </row>
    <row r="47" spans="1:7" s="258" customFormat="1" ht="13.5" customHeight="1">
      <c r="A47" s="951" t="s">
        <v>792</v>
      </c>
      <c r="B47" s="292" t="s">
        <v>2415</v>
      </c>
      <c r="C47" s="282">
        <f ca="1">ROUND(C40*F27,4)</f>
        <v>1.0500000000000001E-2</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1561931</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1405738</v>
      </c>
      <c r="D51" s="276"/>
      <c r="E51" s="276"/>
      <c r="F51" s="308"/>
      <c r="G51" s="278" t="s">
        <v>2425</v>
      </c>
    </row>
    <row r="52" spans="1:7" s="252" customFormat="1" ht="16.8" thickBot="1">
      <c r="A52" s="309" t="s">
        <v>2426</v>
      </c>
      <c r="B52" s="310"/>
      <c r="C52" s="311">
        <f ca="1">C31+C51</f>
        <v>1532633</v>
      </c>
      <c r="D52" s="310"/>
      <c r="E52" s="310"/>
      <c r="F52" s="310"/>
      <c r="G52" s="312"/>
    </row>
    <row r="55" spans="1:7" ht="15">
      <c r="B55" s="314" t="s">
        <v>2427</v>
      </c>
      <c r="C55" s="315"/>
    </row>
    <row r="56" spans="1:7">
      <c r="B56" s="317" t="s">
        <v>1508</v>
      </c>
      <c r="C56" s="319">
        <f ca="1">1-C57</f>
        <v>8.2999999999999963E-2</v>
      </c>
    </row>
    <row r="57" spans="1:7">
      <c r="B57" s="317" t="s">
        <v>1509</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5.2">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0.1</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177.12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177.12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8"/>
      <c r="H18" s="1576"/>
      <c r="I18" s="2559" t="s">
        <v>2493</v>
      </c>
      <c r="J18" s="979"/>
      <c r="K18" s="980"/>
    </row>
    <row r="19" spans="1:33" s="975" customFormat="1" ht="13.5" customHeight="1">
      <c r="A19" s="971" t="s">
        <v>805</v>
      </c>
      <c r="B19" s="972" t="s">
        <v>2494</v>
      </c>
      <c r="C19" s="24">
        <f ca="1">ROUND(D19*E19/10000,0)</f>
        <v>4</v>
      </c>
      <c r="D19" s="1033">
        <f ca="1">IF(C1="",'数据-汇总表'!E5,IF(INDIRECT("'数据-取费表'!c"&amp;$K$1)="住宅",INDIRECT("'数据-取费表'!k"&amp;$K$1),0))</f>
        <v>177.12</v>
      </c>
      <c r="E19" s="24">
        <f>'数据-取费表'!B27</f>
        <v>220</v>
      </c>
      <c r="F19" s="976"/>
      <c r="G19" s="15"/>
      <c r="H19" s="1578"/>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0</v>
      </c>
      <c r="E20" s="24">
        <f>'数据-取费表'!B28</f>
        <v>220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0.35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144" t="s">
        <v>1398</v>
      </c>
      <c r="C6" s="1295">
        <f ca="1">ROUND(F6*F8*F7*(1-F9)/10000,0)</f>
        <v>0</v>
      </c>
      <c r="D6" s="164" t="s">
        <v>3030</v>
      </c>
      <c r="E6" s="347" t="s">
        <v>1400</v>
      </c>
      <c r="F6" s="348">
        <f ca="1">INDIRECT("'数据-取费表'!u"&amp;$G$1)</f>
        <v>0</v>
      </c>
      <c r="G6" s="1850"/>
      <c r="H6" s="1290" t="s">
        <v>1032</v>
      </c>
      <c r="I6" s="3144" t="s">
        <v>1398</v>
      </c>
      <c r="J6" s="346">
        <f ca="1">ROUND(M6*M8*M7*(1-M9)/10000,0)</f>
        <v>0</v>
      </c>
      <c r="K6" s="164" t="s">
        <v>3029</v>
      </c>
      <c r="L6" s="347" t="s">
        <v>1400</v>
      </c>
      <c r="M6" s="348">
        <f ca="1">INDIRECT("'数据-取费表'!z"&amp;$G$1)</f>
        <v>0</v>
      </c>
    </row>
    <row r="7" spans="1:37" ht="18" customHeight="1">
      <c r="A7" s="1294"/>
      <c r="B7" s="3145"/>
      <c r="C7" s="1296"/>
      <c r="D7" s="352"/>
      <c r="E7" s="1297" t="s">
        <v>1401</v>
      </c>
      <c r="F7" s="348">
        <f ca="1">IF(INDIRECT("'数据-取费表'!ah"&amp;$G$1)="",INDIRECT("'数据-取费表'!k"&amp;$G$1),INDIRECT("'数据-取费表'!ah"&amp;$G$1))</f>
        <v>0</v>
      </c>
      <c r="G7" s="1850"/>
      <c r="H7" s="349"/>
      <c r="I7" s="3145"/>
      <c r="J7" s="351"/>
      <c r="K7" s="352"/>
      <c r="L7" s="347" t="s">
        <v>1401</v>
      </c>
      <c r="M7" s="348">
        <f ca="1">F7</f>
        <v>0</v>
      </c>
    </row>
    <row r="8" spans="1:37" ht="18" customHeight="1">
      <c r="A8" s="349"/>
      <c r="B8" s="3145"/>
      <c r="C8" s="351"/>
      <c r="D8" s="352"/>
      <c r="E8" s="347" t="s">
        <v>1402</v>
      </c>
      <c r="F8" s="348">
        <f ca="1">INDIRECT("'数据-取费表'!ai"&amp;$G$1)</f>
        <v>0</v>
      </c>
      <c r="G8" s="1850"/>
      <c r="H8" s="349"/>
      <c r="I8" s="3145"/>
      <c r="J8" s="351"/>
      <c r="K8" s="352"/>
      <c r="L8" s="347" t="s">
        <v>1402</v>
      </c>
      <c r="M8" s="348">
        <f ca="1">INDIRECT("'数据-取费表'!ai"&amp;$G$1)</f>
        <v>0</v>
      </c>
    </row>
    <row r="9" spans="1:37" ht="18" customHeight="1">
      <c r="A9" s="349"/>
      <c r="B9" s="3146"/>
      <c r="C9" s="351"/>
      <c r="D9" s="352"/>
      <c r="E9" s="347" t="s">
        <v>1403</v>
      </c>
      <c r="F9" s="357">
        <f ca="1">INDIRECT("'数据-取费表'!w"&amp;$G$1)</f>
        <v>0</v>
      </c>
      <c r="G9" s="1850"/>
      <c r="H9" s="349"/>
      <c r="I9" s="3146"/>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3039</v>
      </c>
      <c r="E10" s="358" t="s">
        <v>1405</v>
      </c>
      <c r="F10" s="1365"/>
      <c r="G10" s="1850"/>
      <c r="H10" s="1290" t="s">
        <v>1036</v>
      </c>
      <c r="I10" s="1822" t="s">
        <v>1404</v>
      </c>
      <c r="J10" s="346">
        <f ca="1">ROUND(IF(M10="押一",J6/12*M11,IF(M10="押二",J6/12*2*M11,IF(M10="押三",J6/12*3*M11,J11*M11))),0)</f>
        <v>0</v>
      </c>
      <c r="K10" s="1823" t="s">
        <v>3038</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ROUND(M20*M21/10000,2)</f>
        <v>0</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5</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366"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3">
        <f ca="1">ROUND(F49*F51*F50*(1-F52)/10000,0)</f>
        <v>0</v>
      </c>
      <c r="D49" s="1275" t="s">
        <v>3031</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367"/>
      <c r="D50" s="1172"/>
      <c r="E50" s="1276" t="s">
        <v>1401</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36.6" thickBot="1">
      <c r="A53" s="1404" t="s">
        <v>1134</v>
      </c>
      <c r="B53" s="1830" t="s">
        <v>1404</v>
      </c>
      <c r="C53" s="361">
        <f ca="1">ROUND(IF(F53="押一",C49/12*F11,IF(F53="押二",C49/12*2*F11,IF(F53="押三",C49/12*3*F11,C54*F11))),0)</f>
        <v>0</v>
      </c>
      <c r="D53" s="1823" t="s">
        <v>3038</v>
      </c>
      <c r="E53" s="358" t="s">
        <v>1405</v>
      </c>
      <c r="F53" s="1365"/>
      <c r="I53" s="1904" t="s">
        <v>1542</v>
      </c>
      <c r="J53" s="2950">
        <f ca="1">IF(M47="住宅",IF(D1="——",MAX(J51,L48),MAX(J51,L48-'数据-取费表'!B24)),IF(D1="——",MIN(J51,L48),MIN(J51,L48-'数据-取费表'!B24)))</f>
        <v>0</v>
      </c>
      <c r="K53" s="3142" t="s">
        <v>1543</v>
      </c>
      <c r="L53" s="3143"/>
      <c r="O53" s="1883" t="s">
        <v>1043</v>
      </c>
      <c r="P53" s="1884" t="s">
        <v>1544</v>
      </c>
      <c r="Q53" s="1885" t="e">
        <f ca="1">Q47+Q48</f>
        <v>#DIV/0!</v>
      </c>
      <c r="R53" s="1885" t="s">
        <v>1044</v>
      </c>
    </row>
    <row r="54" spans="1:18" s="1841" customFormat="1" ht="24.6"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0</v>
      </c>
      <c r="D62" s="1184" t="s">
        <v>1492</v>
      </c>
      <c r="E62" s="1169" t="s">
        <v>1493</v>
      </c>
      <c r="F62" s="371">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4"/>
      <c r="O70" s="1893" t="s">
        <v>1046</v>
      </c>
      <c r="P70" s="1932" t="s">
        <v>1580</v>
      </c>
      <c r="Q70" s="1885">
        <f ca="1">C13</f>
        <v>0</v>
      </c>
      <c r="R70" s="1885" t="s">
        <v>1524</v>
      </c>
    </row>
    <row r="71" spans="1:18" s="1841" customFormat="1" ht="13.8"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K56" sqref="K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3062</v>
      </c>
      <c r="D1" s="1819" t="s">
        <v>70</v>
      </c>
      <c r="E1" s="1820" t="s">
        <v>1382</v>
      </c>
      <c r="F1" s="1282">
        <f ca="1">J53</f>
        <v>62.65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165</v>
      </c>
      <c r="C2" s="1844" t="s">
        <v>1586</v>
      </c>
      <c r="D2" s="1936">
        <f ca="1">C40+J29+L46</f>
        <v>1653491</v>
      </c>
      <c r="E2" s="1845" t="s">
        <v>1587</v>
      </c>
      <c r="F2" s="1846"/>
      <c r="G2" s="1847"/>
      <c r="H2" s="1839"/>
      <c r="I2" s="1839"/>
      <c r="J2" s="1839"/>
      <c r="K2" s="1840"/>
      <c r="L2" s="1839"/>
      <c r="M2" s="1839"/>
    </row>
    <row r="3" spans="1:37" ht="18" customHeight="1" thickBot="1">
      <c r="A3" s="1848" t="s">
        <v>1588</v>
      </c>
      <c r="B3" s="1849">
        <f ca="1">IF(ISERROR(D2/F43),0,ROUND(D2/F43,0))</f>
        <v>9335</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81702</v>
      </c>
      <c r="D5" s="1821" t="s">
        <v>1596</v>
      </c>
      <c r="E5" s="1292"/>
      <c r="F5" s="1293"/>
      <c r="G5" s="1850"/>
      <c r="H5" s="344">
        <v>1</v>
      </c>
      <c r="I5" s="345" t="s">
        <v>1595</v>
      </c>
      <c r="J5" s="1291">
        <f ca="1">J6+J10+J12</f>
        <v>0</v>
      </c>
      <c r="K5" s="1821" t="s">
        <v>1596</v>
      </c>
      <c r="L5" s="1292"/>
      <c r="M5" s="1293"/>
    </row>
    <row r="6" spans="1:37" ht="18" customHeight="1">
      <c r="A6" s="1290" t="s">
        <v>1032</v>
      </c>
      <c r="B6" s="3144" t="s">
        <v>1398</v>
      </c>
      <c r="C6" s="1295">
        <f ca="1">ROUND(F6*F8*F7*(1-F9),0)</f>
        <v>81600</v>
      </c>
      <c r="D6" s="164" t="s">
        <v>3027</v>
      </c>
      <c r="E6" s="347" t="s">
        <v>1400</v>
      </c>
      <c r="F6" s="348">
        <f ca="1">INDIRECT("'数据-取费表'!u"&amp;$G$1)</f>
        <v>8000</v>
      </c>
      <c r="G6" s="1850"/>
      <c r="H6" s="1290" t="s">
        <v>1032</v>
      </c>
      <c r="I6" s="3144" t="s">
        <v>1398</v>
      </c>
      <c r="J6" s="346">
        <f ca="1">ROUND(M6*M8*M7*(1-M9),0)</f>
        <v>0</v>
      </c>
      <c r="K6" s="1833" t="s">
        <v>3028</v>
      </c>
      <c r="L6" s="347" t="s">
        <v>1400</v>
      </c>
      <c r="M6" s="348">
        <f ca="1">INDIRECT("'数据-取费表'!z"&amp;$G$1)</f>
        <v>0</v>
      </c>
    </row>
    <row r="7" spans="1:37" ht="18" customHeight="1">
      <c r="A7" s="1294"/>
      <c r="B7" s="3145"/>
      <c r="C7" s="1296"/>
      <c r="D7" s="352"/>
      <c r="E7" s="1297" t="s">
        <v>1401</v>
      </c>
      <c r="F7" s="348">
        <f ca="1">IF(INDIRECT("'数据-取费表'!ah"&amp;$G$1)="",INDIRECT("'数据-取费表'!k"&amp;$G$1),INDIRECT("'数据-取费表'!ah"&amp;$G$1))</f>
        <v>1</v>
      </c>
      <c r="G7" s="1850"/>
      <c r="H7" s="349"/>
      <c r="I7" s="3145"/>
      <c r="J7" s="351"/>
      <c r="K7" s="352"/>
      <c r="L7" s="347" t="s">
        <v>1401</v>
      </c>
      <c r="M7" s="348">
        <f ca="1">F7</f>
        <v>1</v>
      </c>
    </row>
    <row r="8" spans="1:37" ht="18" customHeight="1">
      <c r="A8" s="349"/>
      <c r="B8" s="3145"/>
      <c r="C8" s="351"/>
      <c r="D8" s="352"/>
      <c r="E8" s="347" t="s">
        <v>1402</v>
      </c>
      <c r="F8" s="348">
        <f ca="1">INDIRECT("'数据-取费表'!ai"&amp;$G$1)</f>
        <v>12</v>
      </c>
      <c r="G8" s="1850"/>
      <c r="H8" s="349"/>
      <c r="I8" s="3145"/>
      <c r="J8" s="351"/>
      <c r="K8" s="352"/>
      <c r="L8" s="347" t="s">
        <v>1402</v>
      </c>
      <c r="M8" s="348">
        <f ca="1">INDIRECT("'数据-取费表'!ai"&amp;$G$1)</f>
        <v>12</v>
      </c>
    </row>
    <row r="9" spans="1:37" ht="18" customHeight="1">
      <c r="A9" s="349"/>
      <c r="B9" s="3146"/>
      <c r="C9" s="351"/>
      <c r="D9" s="352"/>
      <c r="E9" s="347" t="s">
        <v>1403</v>
      </c>
      <c r="F9" s="357">
        <f ca="1">INDIRECT("'数据-取费表'!w"&amp;$G$1)</f>
        <v>0.15</v>
      </c>
      <c r="G9" s="1850"/>
      <c r="H9" s="349"/>
      <c r="I9" s="3146"/>
      <c r="J9" s="351"/>
      <c r="K9" s="352"/>
      <c r="L9" s="358" t="s">
        <v>1403</v>
      </c>
      <c r="M9" s="359">
        <f ca="1">INDIRECT("'数据-取费表'!ab"&amp;$G$1)</f>
        <v>0</v>
      </c>
    </row>
    <row r="10" spans="1:37" ht="18" customHeight="1">
      <c r="A10" s="1290" t="s">
        <v>1036</v>
      </c>
      <c r="B10" s="1822" t="s">
        <v>1404</v>
      </c>
      <c r="C10" s="361">
        <f ca="1">ROUND(IF(F10="押一",C6/12*F11,IF(F10="押二",C6/12*2*F11,IF(F10="押三",C6/12*3*F11,C11*F11))),0)</f>
        <v>102</v>
      </c>
      <c r="D10" s="1823" t="s">
        <v>3038</v>
      </c>
      <c r="E10" s="358" t="s">
        <v>1405</v>
      </c>
      <c r="F10" s="1365" t="s">
        <v>3238</v>
      </c>
      <c r="G10" s="1850"/>
      <c r="H10" s="1290" t="s">
        <v>1036</v>
      </c>
      <c r="I10" s="1822" t="s">
        <v>1404</v>
      </c>
      <c r="J10" s="346">
        <f ca="1">ROUND(IF(M10="押一",J6/12*M11,IF(M10="押二",J6/12*2*M11,IF(M10="押三",J6/12*3*M11,J11*M11))),0)</f>
        <v>0</v>
      </c>
      <c r="K10" s="1834" t="s">
        <v>3040</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1405738</v>
      </c>
      <c r="D13" s="1330" t="s">
        <v>1410</v>
      </c>
      <c r="E13" s="1330" t="s">
        <v>1411</v>
      </c>
      <c r="F13" s="1331">
        <f ca="1">INDIRECT("'数据-取费表'!y"&amp;$G$1)</f>
        <v>0.9</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797040</v>
      </c>
      <c r="D14" s="1799" t="s">
        <v>1413</v>
      </c>
      <c r="E14" s="1793"/>
      <c r="F14" s="364"/>
      <c r="G14" s="1850"/>
      <c r="H14" s="1201" t="s">
        <v>1032</v>
      </c>
      <c r="I14" s="347" t="s">
        <v>1414</v>
      </c>
      <c r="J14" s="24">
        <f ca="1">C29</f>
        <v>1561931</v>
      </c>
      <c r="K14" s="15"/>
      <c r="L14" s="979"/>
      <c r="M14" s="980"/>
    </row>
    <row r="15" spans="1:37" s="1857" customFormat="1" ht="18" customHeight="1" thickBot="1">
      <c r="A15" s="1201" t="s">
        <v>1033</v>
      </c>
      <c r="B15" s="347" t="s">
        <v>1415</v>
      </c>
      <c r="C15" s="24">
        <f ca="1">ROUND(C14*F15,0)</f>
        <v>39852</v>
      </c>
      <c r="D15" s="365" t="s">
        <v>1416</v>
      </c>
      <c r="E15" s="365" t="s">
        <v>1417</v>
      </c>
      <c r="F15" s="366">
        <f>'数据-取费表'!B33</f>
        <v>0.05</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79704</v>
      </c>
      <c r="D16" s="347" t="s">
        <v>1416</v>
      </c>
      <c r="E16" s="347" t="s">
        <v>1417</v>
      </c>
      <c r="F16" s="367">
        <f ca="1">IF(INDIRECT("'数据-取费表'!c"&amp;$G$1)="住宅",'数据-取费表'!B34,0)</f>
        <v>0.1</v>
      </c>
      <c r="G16" s="1850"/>
      <c r="H16" s="1328" t="s">
        <v>1027</v>
      </c>
      <c r="I16" s="1329" t="s">
        <v>1419</v>
      </c>
      <c r="J16" s="355">
        <f ca="1">ROUND(J17+J22+J23+J24,0)</f>
        <v>36588</v>
      </c>
      <c r="K16" s="1336" t="s">
        <v>1420</v>
      </c>
      <c r="L16" s="1337"/>
      <c r="M16" s="1293"/>
    </row>
    <row r="17" spans="1:37" s="1857" customFormat="1" ht="18" customHeight="1">
      <c r="A17" s="1201" t="s">
        <v>1385</v>
      </c>
      <c r="B17" s="347" t="s">
        <v>1421</v>
      </c>
      <c r="C17" s="24">
        <f ca="1">ROUND(F17*(F43+INDIRECT("'数据-取费表'!S"&amp;$G$1)),0)</f>
        <v>35424</v>
      </c>
      <c r="D17" s="347" t="s">
        <v>1422</v>
      </c>
      <c r="E17" s="347" t="s">
        <v>1423</v>
      </c>
      <c r="F17" s="26">
        <f>'数据-取费表'!B35</f>
        <v>200</v>
      </c>
      <c r="G17" s="1853"/>
      <c r="H17" s="1201" t="s">
        <v>1032</v>
      </c>
      <c r="I17" s="347" t="s">
        <v>1424</v>
      </c>
      <c r="J17" s="24">
        <f ca="1">ROUND(IF(项目基本情况!B11="自然人",J6*M17/(1+'数据-取费表'!C42),J18+J19+J20),0)</f>
        <v>13159</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11956</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963976</v>
      </c>
      <c r="D19" s="140" t="s">
        <v>1431</v>
      </c>
      <c r="E19" s="1817"/>
      <c r="F19" s="26"/>
      <c r="G19" s="1850"/>
      <c r="H19" s="1201" t="s">
        <v>1033</v>
      </c>
      <c r="I19" s="347" t="s">
        <v>1432</v>
      </c>
      <c r="J19" s="24">
        <f ca="1">IF(K19="按租金收入计税",ROUND(J6*M19/(1+'数据-取费表'!C42),0),ROUND(C29*M19*0.7,0))</f>
        <v>13120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28919</v>
      </c>
      <c r="D20" s="369" t="s">
        <v>1435</v>
      </c>
      <c r="E20" s="347" t="s">
        <v>1417</v>
      </c>
      <c r="F20" s="367">
        <f>'数据-取费表'!B37</f>
        <v>0.03</v>
      </c>
      <c r="G20" s="1853"/>
      <c r="H20" s="1201" t="s">
        <v>1384</v>
      </c>
      <c r="I20" s="164" t="s">
        <v>1436</v>
      </c>
      <c r="J20" s="25">
        <f ca="1">ROUND(M20*M21,0)</f>
        <v>39</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7.71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23429</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71578</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-36588</v>
      </c>
      <c r="K25" s="1344" t="s">
        <v>1459</v>
      </c>
      <c r="L25" s="1345"/>
      <c r="M25" s="1346"/>
    </row>
    <row r="26" spans="1:37" ht="18" customHeight="1">
      <c r="A26" s="1201" t="s">
        <v>1031</v>
      </c>
      <c r="B26" s="347" t="s">
        <v>1460</v>
      </c>
      <c r="C26" s="24">
        <f ca="1">ROUND((C19+C20)*F26,0)</f>
        <v>347513</v>
      </c>
      <c r="D26" s="369" t="s">
        <v>1461</v>
      </c>
      <c r="E26" s="358" t="s">
        <v>1462</v>
      </c>
      <c r="F26" s="357">
        <f ca="1">INDIRECT("'数据-取费表'!q"&amp;$G$1)</f>
        <v>0.35</v>
      </c>
      <c r="G26" s="1850"/>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1.0500000000000001E-2</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1561931</v>
      </c>
      <c r="D29" s="1341"/>
      <c r="E29" s="1339"/>
      <c r="F29" s="1342"/>
      <c r="G29" s="1853"/>
      <c r="H29" s="380" t="s">
        <v>1030</v>
      </c>
      <c r="I29" s="381" t="s">
        <v>1474</v>
      </c>
      <c r="J29" s="382">
        <f ca="1">ROUND(J26/(1+F40)^F41,0)</f>
        <v>0</v>
      </c>
      <c r="K29" s="383" t="s">
        <v>1475</v>
      </c>
      <c r="L29" s="384"/>
      <c r="M29" s="385">
        <f ca="1">INDIRECT("'数据-取费表'!k"&amp;$G$1)</f>
        <v>177.12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40072</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13717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4352</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9326</v>
      </c>
      <c r="D33" s="1827" t="s">
        <v>3239</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39</v>
      </c>
      <c r="D34" s="370" t="s">
        <v>1437</v>
      </c>
      <c r="E34" s="347" t="s">
        <v>1438</v>
      </c>
      <c r="F34" s="371">
        <f>'数据-取费表'!B52</f>
        <v>5</v>
      </c>
      <c r="G34" s="1850"/>
      <c r="H34" s="745"/>
      <c r="I34" s="1859"/>
      <c r="J34" s="1860"/>
      <c r="K34" s="1862"/>
      <c r="L34" s="1863"/>
      <c r="M34" s="1863"/>
    </row>
    <row r="35" spans="1:18" ht="18" customHeight="1">
      <c r="A35" s="1352"/>
      <c r="B35" s="1350"/>
      <c r="C35" s="29"/>
      <c r="D35" s="373"/>
      <c r="E35" s="347" t="s">
        <v>1442</v>
      </c>
      <c r="F35" s="348">
        <f ca="1">INDIRECT("'数据-取费表'!r"&amp;$G$1)</f>
        <v>7.71</v>
      </c>
      <c r="G35" s="1850"/>
      <c r="H35" s="745"/>
      <c r="I35" s="1859"/>
      <c r="J35" s="1860"/>
      <c r="K35" s="1861"/>
      <c r="L35" s="1858"/>
      <c r="M35" s="1858"/>
    </row>
    <row r="36" spans="1:18" ht="18" customHeight="1">
      <c r="A36" s="1351" t="s">
        <v>1036</v>
      </c>
      <c r="B36" s="347" t="s">
        <v>1444</v>
      </c>
      <c r="C36" s="24">
        <f ca="1">ROUND(C29*F36,0)</f>
        <v>23429</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2109</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817</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41630</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1653491</v>
      </c>
      <c r="D40" s="370" t="s">
        <v>1464</v>
      </c>
      <c r="E40" s="347" t="s">
        <v>1465</v>
      </c>
      <c r="F40" s="357">
        <f ca="1">INDIRECT("'数据-取费表'!I"&amp;$G$1)</f>
        <v>4.4999999999999998E-2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62.65</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ROUND(C40/F43,0)</f>
        <v>9335</v>
      </c>
      <c r="D43" s="383" t="s">
        <v>1483</v>
      </c>
      <c r="E43" s="384" t="s">
        <v>1484</v>
      </c>
      <c r="F43" s="385">
        <f ca="1">INDIRECT("'数据-取费表'!k"&amp;$G$1)</f>
        <v>177.12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-7880556</v>
      </c>
      <c r="D45" s="1938" t="s">
        <v>1599</v>
      </c>
      <c r="E45" s="1865"/>
      <c r="F45" s="1865"/>
      <c r="O45" s="1868" t="s">
        <v>1514</v>
      </c>
      <c r="P45" s="1838"/>
      <c r="Q45" s="1838"/>
      <c r="R45" s="1838"/>
    </row>
    <row r="46" spans="1:18" s="1841" customFormat="1" ht="13.8" thickBot="1">
      <c r="A46" s="1869" t="s">
        <v>1515</v>
      </c>
      <c r="C46" s="1870">
        <f ca="1">ROUND(C45/10000,0)</f>
        <v>-788</v>
      </c>
      <c r="D46" s="1871" t="str">
        <f>C2</f>
        <v>万元</v>
      </c>
      <c r="I46" s="1872" t="s">
        <v>1516</v>
      </c>
      <c r="J46" s="1873"/>
      <c r="K46" s="1874"/>
      <c r="L46" s="1875">
        <f>IF(M47="住宅",0,IF(L48&gt;J51,L60,J60))</f>
        <v>0</v>
      </c>
      <c r="O46" s="1876" t="s">
        <v>1517</v>
      </c>
      <c r="P46" s="1877" t="s">
        <v>1518</v>
      </c>
      <c r="Q46" s="1878" t="s">
        <v>1519</v>
      </c>
      <c r="R46" s="1878" t="s">
        <v>1520</v>
      </c>
    </row>
    <row r="47" spans="1:18" s="1841" customFormat="1" ht="13.8" thickBot="1">
      <c r="A47" s="1165" t="s">
        <v>1391</v>
      </c>
      <c r="B47" s="1197" t="s">
        <v>1392</v>
      </c>
      <c r="C47" s="1197" t="s">
        <v>1393</v>
      </c>
      <c r="D47" s="1197" t="s">
        <v>1394</v>
      </c>
      <c r="E47" s="1278" t="s">
        <v>1395</v>
      </c>
      <c r="F47" s="1279"/>
      <c r="G47" s="792"/>
      <c r="I47" s="1879" t="s">
        <v>1521</v>
      </c>
      <c r="J47" s="1880" t="s">
        <v>3240</v>
      </c>
      <c r="K47" s="1881" t="s">
        <v>1522</v>
      </c>
      <c r="L47" s="1882">
        <f ca="1">INDIRECT("'数据-取费表'!d"&amp;$G$1)</f>
        <v>70</v>
      </c>
      <c r="M47" s="1837" t="str">
        <f>IF(ISNUMBER(FIND("住宅",C1)),"住宅","非住宅")</f>
        <v>住宅</v>
      </c>
      <c r="O47" s="1883" t="s">
        <v>1037</v>
      </c>
      <c r="P47" s="1884" t="s">
        <v>1523</v>
      </c>
      <c r="Q47" s="1885">
        <f ca="1">C40+J29</f>
        <v>1653491</v>
      </c>
      <c r="R47" s="1885" t="s">
        <v>1524</v>
      </c>
    </row>
    <row r="48" spans="1:18" s="1841" customFormat="1" ht="40.200000000000003" thickBot="1">
      <c r="A48" s="1359" t="s">
        <v>1132</v>
      </c>
      <c r="B48" s="345" t="s">
        <v>1396</v>
      </c>
      <c r="C48" s="1816">
        <f ca="1">C49+C53+C55</f>
        <v>0</v>
      </c>
      <c r="D48" s="1361"/>
      <c r="E48" s="1362"/>
      <c r="F48" s="1181"/>
      <c r="G48" s="792"/>
      <c r="H48" s="793"/>
      <c r="I48" s="1886" t="s">
        <v>1525</v>
      </c>
      <c r="J48" s="1887" t="s">
        <v>3241</v>
      </c>
      <c r="K48" s="1888" t="s">
        <v>1526</v>
      </c>
      <c r="L48" s="1889">
        <f ca="1">INDIRECT("'数据-取费表'!f"&amp;$G$1)</f>
        <v>62.65</v>
      </c>
      <c r="O48" s="1883" t="s">
        <v>1038</v>
      </c>
      <c r="P48" s="1884" t="s">
        <v>1527</v>
      </c>
      <c r="Q48" s="1885" t="str">
        <f ca="1">J60</f>
        <v>0</v>
      </c>
      <c r="R48" s="1885" t="s">
        <v>1528</v>
      </c>
    </row>
    <row r="49" spans="1:18" s="1841" customFormat="1" ht="13.8" thickBot="1">
      <c r="A49" s="1194" t="s">
        <v>1133</v>
      </c>
      <c r="B49" s="1828" t="s">
        <v>1485</v>
      </c>
      <c r="C49" s="1363">
        <f ca="1">ROUND(F49*F51*F50*(1-F52),0)</f>
        <v>0</v>
      </c>
      <c r="D49" s="1275" t="s">
        <v>1399</v>
      </c>
      <c r="E49" s="1829" t="s">
        <v>1486</v>
      </c>
      <c r="F49" s="1280"/>
      <c r="G49" s="1890"/>
      <c r="H49" s="793"/>
      <c r="I49" s="1886" t="s">
        <v>1529</v>
      </c>
      <c r="J49" s="1891">
        <v>2013</v>
      </c>
      <c r="K49" s="1888" t="s">
        <v>1530</v>
      </c>
      <c r="L49" s="1892"/>
      <c r="O49" s="1893" t="s">
        <v>1039</v>
      </c>
      <c r="P49" s="1884" t="s">
        <v>1531</v>
      </c>
      <c r="Q49" s="1885">
        <f ca="1">C29</f>
        <v>1561931</v>
      </c>
      <c r="R49" s="1885" t="s">
        <v>1524</v>
      </c>
    </row>
    <row r="50" spans="1:18" s="1841" customFormat="1" ht="13.8" thickBot="1">
      <c r="A50" s="1195"/>
      <c r="B50" s="1198"/>
      <c r="C50" s="1199"/>
      <c r="D50" s="1172"/>
      <c r="E50" s="1276" t="s">
        <v>1401</v>
      </c>
      <c r="F50" s="1277">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12</v>
      </c>
      <c r="I51" s="1897" t="s">
        <v>1535</v>
      </c>
      <c r="J51" s="1898">
        <f>IF(J49="",J50,J49+J50-YEAR('数据-取费表'!B2))</f>
        <v>54</v>
      </c>
      <c r="K51" s="1899" t="s">
        <v>1536</v>
      </c>
      <c r="L51" s="1900">
        <f ca="1">ROUND(-PV(INDIRECT("'数据-取费表'!h"&amp;$G$1),L48,(C39-C13*C76),0),0)</f>
        <v>-1619017</v>
      </c>
      <c r="M51" s="1901"/>
      <c r="O51" s="1893" t="s">
        <v>1041</v>
      </c>
      <c r="P51" s="1884" t="s">
        <v>1537</v>
      </c>
      <c r="Q51" s="1896">
        <f>J52</f>
        <v>0.09</v>
      </c>
      <c r="R51" s="1885"/>
    </row>
    <row r="52" spans="1:18" s="1841" customFormat="1" ht="13.8" thickBot="1">
      <c r="A52" s="1196"/>
      <c r="B52" s="1198"/>
      <c r="C52" s="1199"/>
      <c r="D52" s="1172"/>
      <c r="E52" s="1200" t="s">
        <v>1403</v>
      </c>
      <c r="F52" s="1274"/>
      <c r="I52" s="1902" t="s">
        <v>1538</v>
      </c>
      <c r="J52" s="1903">
        <v>0.09</v>
      </c>
      <c r="K52" s="1902" t="s">
        <v>1539</v>
      </c>
      <c r="L52" s="1903"/>
      <c r="O52" s="1893" t="s">
        <v>1042</v>
      </c>
      <c r="P52" s="1884" t="s">
        <v>1540</v>
      </c>
      <c r="Q52" s="1885">
        <f ca="1">J53</f>
        <v>62.65</v>
      </c>
      <c r="R52" s="1885" t="s">
        <v>1541</v>
      </c>
    </row>
    <row r="53" spans="1:18" s="1841" customFormat="1" ht="30.75" customHeight="1" thickBot="1">
      <c r="A53" s="1360" t="s">
        <v>1134</v>
      </c>
      <c r="B53" s="369" t="s">
        <v>1404</v>
      </c>
      <c r="C53" s="361">
        <f ca="1">ROUND(IF(F53="押一",C49/12*F11,IF(F53="押二",C49/12*2*F11,IF(F53="押三",C49/12*3*F11,C54*F11))),0)</f>
        <v>0</v>
      </c>
      <c r="D53" s="1823" t="s">
        <v>3041</v>
      </c>
      <c r="E53" s="358" t="s">
        <v>1405</v>
      </c>
      <c r="F53" s="1365"/>
      <c r="I53" s="1904" t="s">
        <v>1542</v>
      </c>
      <c r="J53" s="2950">
        <f ca="1">IF(M47="住宅",IF(D1="——",MAX(J51,L48),MAX(J51,L48-'数据-取费表'!B24)),IF(D1="——",MIN(J51,L48),MIN(J51,L48-'数据-取费表'!B24)))</f>
        <v>62.65</v>
      </c>
      <c r="K53" s="3142" t="s">
        <v>1543</v>
      </c>
      <c r="L53" s="3143"/>
      <c r="O53" s="1883" t="s">
        <v>1043</v>
      </c>
      <c r="P53" s="1884" t="s">
        <v>1544</v>
      </c>
      <c r="Q53" s="1885">
        <f ca="1">Q47+Q48</f>
        <v>1653491</v>
      </c>
      <c r="R53" s="1885" t="s">
        <v>1044</v>
      </c>
    </row>
    <row r="54" spans="1:18" s="1841" customFormat="1" ht="13.8" thickBot="1">
      <c r="A54" s="1194"/>
      <c r="B54" s="1939" t="s">
        <v>1598</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#VALUE!</v>
      </c>
      <c r="K55" s="1910" t="s">
        <v>1547</v>
      </c>
      <c r="L55" s="1911" t="s">
        <v>3266</v>
      </c>
      <c r="O55" s="1876" t="s">
        <v>1517</v>
      </c>
      <c r="P55" s="1877" t="s">
        <v>1518</v>
      </c>
      <c r="Q55" s="1878" t="s">
        <v>1519</v>
      </c>
      <c r="R55" s="1878" t="s">
        <v>1520</v>
      </c>
    </row>
    <row r="56" spans="1:18" s="1841" customFormat="1" ht="36" customHeight="1" thickTop="1" thickBot="1">
      <c r="A56" s="1176">
        <v>2</v>
      </c>
      <c r="B56" s="1177" t="s">
        <v>1409</v>
      </c>
      <c r="C56" s="276">
        <f ca="1">C13</f>
        <v>1405738</v>
      </c>
      <c r="D56" s="1912"/>
      <c r="E56" s="1913"/>
      <c r="F56" s="1905"/>
      <c r="I56" s="1914" t="s">
        <v>1549</v>
      </c>
      <c r="J56" s="1915" t="s">
        <v>70</v>
      </c>
      <c r="K56" s="1886" t="s">
        <v>1550</v>
      </c>
      <c r="L56" s="1889">
        <f ca="1">IF(L48&lt;J51,"——",L48-J51)</f>
        <v>8.6499999999999986</v>
      </c>
      <c r="O56" s="1883" t="s">
        <v>1037</v>
      </c>
      <c r="P56" s="1884" t="s">
        <v>1523</v>
      </c>
      <c r="Q56" s="1885">
        <f ca="1">C40+J29</f>
        <v>1653491</v>
      </c>
      <c r="R56" s="1885" t="s">
        <v>1524</v>
      </c>
    </row>
    <row r="57" spans="1:18" s="1841" customFormat="1" ht="24.6" thickBot="1">
      <c r="A57" s="1916"/>
      <c r="B57" s="1169" t="s">
        <v>1473</v>
      </c>
      <c r="C57" s="282">
        <f ca="1">C29</f>
        <v>1561931</v>
      </c>
      <c r="D57" s="1917"/>
      <c r="E57" s="1918"/>
      <c r="F57" s="1919"/>
      <c r="I57" s="1920" t="s">
        <v>1551</v>
      </c>
      <c r="J57" s="1921" t="str">
        <f ca="1">IF(OR(M47="住宅",J51&lt;L48,J56="是"),"——",J51-L48)</f>
        <v>——</v>
      </c>
      <c r="K57" s="1886" t="s">
        <v>1600</v>
      </c>
      <c r="L57" s="1889">
        <f ca="1">IF(L48&lt;J51,"——",IF(L55="比较法",L49,IF(L55="基准地价",L50,L51)))</f>
        <v>-1619017</v>
      </c>
      <c r="O57" s="1883" t="s">
        <v>1038</v>
      </c>
      <c r="P57" s="1884" t="s">
        <v>1601</v>
      </c>
      <c r="Q57" s="1885">
        <f ca="1">L60</f>
        <v>0</v>
      </c>
      <c r="R57" s="1885" t="s">
        <v>1602</v>
      </c>
    </row>
    <row r="58" spans="1:18" s="1841" customFormat="1" ht="24.6" thickBot="1">
      <c r="A58" s="360" t="s">
        <v>1027</v>
      </c>
      <c r="B58" s="1177" t="s">
        <v>1419</v>
      </c>
      <c r="C58" s="361">
        <f ca="1">ROUND(C59+C64+C65+C66,0)</f>
        <v>156779</v>
      </c>
      <c r="D58" s="1179" t="s">
        <v>1420</v>
      </c>
      <c r="E58" s="1180"/>
      <c r="F58" s="1181"/>
      <c r="I58" s="1920" t="s">
        <v>1555</v>
      </c>
      <c r="J58" s="1922" t="e">
        <f ca="1">IF(J55&lt;0.4,0.4,J55)</f>
        <v>#VALUE!</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131241</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131202</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1" t="s">
        <v>1490</v>
      </c>
      <c r="B62" s="1168" t="s">
        <v>1491</v>
      </c>
      <c r="C62" s="25">
        <f ca="1">IF(项目基本情况!B11="自然人","——",ROUND(F62*F63,0))</f>
        <v>39</v>
      </c>
      <c r="D62" s="1184" t="s">
        <v>1492</v>
      </c>
      <c r="E62" s="1169" t="s">
        <v>1493</v>
      </c>
      <c r="F62" s="371">
        <f t="shared" si="0"/>
        <v>5</v>
      </c>
      <c r="I62" s="1927" t="s">
        <v>1565</v>
      </c>
      <c r="J62" s="1928" t="s">
        <v>1566</v>
      </c>
      <c r="K62" s="1928" t="s">
        <v>1567</v>
      </c>
      <c r="L62" s="1928" t="s">
        <v>1568</v>
      </c>
      <c r="M62" s="1929" t="s">
        <v>1569</v>
      </c>
      <c r="O62" s="1883" t="s">
        <v>1043</v>
      </c>
      <c r="P62" s="1884" t="s">
        <v>1570</v>
      </c>
      <c r="Q62" s="1885">
        <f ca="1">Q56+Q57</f>
        <v>1653491</v>
      </c>
      <c r="R62" s="1885" t="s">
        <v>1044</v>
      </c>
    </row>
    <row r="63" spans="1:18" s="1841" customFormat="1" ht="13.8" thickBot="1">
      <c r="A63" s="372"/>
      <c r="B63" s="1175"/>
      <c r="C63" s="29"/>
      <c r="D63" s="1185"/>
      <c r="E63" s="1169" t="s">
        <v>1494</v>
      </c>
      <c r="F63" s="348">
        <f t="shared" ca="1" si="0"/>
        <v>7.71</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23429</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2109</v>
      </c>
      <c r="D65" s="1183" t="s">
        <v>1449</v>
      </c>
      <c r="E65" s="1169" t="s">
        <v>1450</v>
      </c>
      <c r="F65" s="376">
        <f t="shared" ca="1" si="0"/>
        <v>1.5E-3</v>
      </c>
      <c r="I65" s="1927" t="s">
        <v>1574</v>
      </c>
      <c r="J65" s="1928">
        <v>40</v>
      </c>
      <c r="K65" s="1928">
        <v>30</v>
      </c>
      <c r="L65" s="1928">
        <v>50</v>
      </c>
      <c r="M65" s="1930">
        <v>0.02</v>
      </c>
      <c r="O65" s="1883" t="s">
        <v>1037</v>
      </c>
      <c r="P65" s="1884" t="s">
        <v>1575</v>
      </c>
      <c r="Q65" s="1885">
        <f ca="1">C40+J29</f>
        <v>1653491</v>
      </c>
      <c r="R65" s="1885" t="s">
        <v>1524</v>
      </c>
    </row>
    <row r="66" spans="1:18" s="1841" customFormat="1" ht="16.2" thickBot="1">
      <c r="A66" s="1201" t="s">
        <v>1499</v>
      </c>
      <c r="B66" s="1169" t="s">
        <v>1434</v>
      </c>
      <c r="C66" s="24">
        <f ca="1">ROUND(C48*F66,0)</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-156779</v>
      </c>
      <c r="D67" s="1182" t="s">
        <v>1459</v>
      </c>
      <c r="E67" s="1187"/>
      <c r="F67" s="1188"/>
      <c r="O67" s="1893" t="s">
        <v>1039</v>
      </c>
      <c r="P67" s="1884" t="s">
        <v>1557</v>
      </c>
      <c r="Q67" s="1931">
        <f ca="1">L51</f>
        <v>-1619017</v>
      </c>
      <c r="R67" s="1885" t="s">
        <v>1577</v>
      </c>
    </row>
    <row r="68" spans="1:18" s="1841" customFormat="1" ht="16.2" thickBot="1">
      <c r="A68" s="1166" t="s">
        <v>1029</v>
      </c>
      <c r="B68" s="1167" t="s">
        <v>1480</v>
      </c>
      <c r="C68" s="346">
        <f ca="1">ROUND(C67*(1-((1+F70)/(1+F68))^F69)/(F68-F70),0)</f>
        <v>-6227065</v>
      </c>
      <c r="D68" s="1184" t="s">
        <v>1464</v>
      </c>
      <c r="E68" s="1169" t="s">
        <v>1465</v>
      </c>
      <c r="F68" s="357">
        <f ca="1">F40</f>
        <v>4.4999999999999998E-2</v>
      </c>
      <c r="O68" s="1893" t="s">
        <v>1040</v>
      </c>
      <c r="P68" s="1932" t="s">
        <v>1578</v>
      </c>
      <c r="Q68" s="1885">
        <f ca="1">ROUND(Q69-Q70*Q71,0)</f>
        <v>-70829</v>
      </c>
      <c r="R68" s="1885" t="s">
        <v>1048</v>
      </c>
    </row>
    <row r="69" spans="1:18" s="1841" customFormat="1" ht="13.8" thickBot="1">
      <c r="A69" s="1170"/>
      <c r="B69" s="1171"/>
      <c r="C69" s="351"/>
      <c r="D69" s="1189" t="s">
        <v>1468</v>
      </c>
      <c r="E69" s="1169" t="s">
        <v>1469</v>
      </c>
      <c r="F69" s="379">
        <f ca="1">F41</f>
        <v>62.65</v>
      </c>
      <c r="O69" s="1893" t="s">
        <v>1045</v>
      </c>
      <c r="P69" s="1932" t="s">
        <v>1579</v>
      </c>
      <c r="Q69" s="1885">
        <f ca="1">C39</f>
        <v>41630</v>
      </c>
      <c r="R69" s="1885" t="s">
        <v>1524</v>
      </c>
    </row>
    <row r="70" spans="1:18" s="1841" customFormat="1" ht="13.8" thickBot="1">
      <c r="A70" s="1173"/>
      <c r="B70" s="1174"/>
      <c r="C70" s="355"/>
      <c r="D70" s="1185"/>
      <c r="E70" s="1169" t="s">
        <v>1472</v>
      </c>
      <c r="F70" s="1274">
        <f ca="1">F42</f>
        <v>0.03</v>
      </c>
      <c r="O70" s="1893" t="s">
        <v>1046</v>
      </c>
      <c r="P70" s="1932" t="s">
        <v>1580</v>
      </c>
      <c r="Q70" s="1885">
        <f ca="1">C13</f>
        <v>1405738</v>
      </c>
      <c r="R70" s="1885" t="s">
        <v>1524</v>
      </c>
    </row>
    <row r="71" spans="1:18" s="1841" customFormat="1" ht="13.8" thickBot="1">
      <c r="A71" s="1190" t="s">
        <v>1030</v>
      </c>
      <c r="B71" s="1191" t="s">
        <v>1482</v>
      </c>
      <c r="C71" s="382">
        <f ca="1">ROUND(C68/F71,0)</f>
        <v>-35157</v>
      </c>
      <c r="D71" s="1192" t="s">
        <v>1483</v>
      </c>
      <c r="E71" s="1193" t="s">
        <v>1484</v>
      </c>
      <c r="F71" s="385">
        <f ca="1">F43</f>
        <v>177.12</v>
      </c>
      <c r="O71" s="1893" t="s">
        <v>1047</v>
      </c>
      <c r="P71" s="1932" t="s">
        <v>1581</v>
      </c>
      <c r="Q71" s="1896">
        <f ca="1">C76</f>
        <v>0.08</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112459</v>
      </c>
      <c r="D75" s="1841"/>
      <c r="E75" s="1841"/>
      <c r="F75" s="1841"/>
      <c r="K75" s="1867"/>
      <c r="L75" s="1841"/>
      <c r="O75" s="1883" t="s">
        <v>1043</v>
      </c>
      <c r="P75" s="1884" t="s">
        <v>1544</v>
      </c>
      <c r="Q75" s="1885">
        <f ca="1">Q65+Q66</f>
        <v>1653491</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-1.7010000000000001</v>
      </c>
    </row>
    <row r="80" spans="1:18">
      <c r="B80" s="386" t="s">
        <v>1506</v>
      </c>
      <c r="C80" s="318">
        <f ca="1">ROUND(C75/C39,3)</f>
        <v>2.7010000000000001</v>
      </c>
    </row>
    <row r="81" spans="2:3">
      <c r="B81" s="314" t="s">
        <v>1507</v>
      </c>
      <c r="C81" s="282"/>
    </row>
    <row r="82" spans="2:3">
      <c r="B82" s="317" t="s">
        <v>1508</v>
      </c>
      <c r="C82" s="319">
        <f ca="1">1-C83</f>
        <v>0.15000000000000002</v>
      </c>
    </row>
    <row r="83" spans="2:3">
      <c r="B83" s="317" t="s">
        <v>1509</v>
      </c>
      <c r="C83" s="318">
        <f ca="1">ROUND(C13/C40,3)</f>
        <v>0.85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3" t="s">
        <v>2526</v>
      </c>
      <c r="B1" s="2564"/>
      <c r="C1" s="2564"/>
      <c r="D1" s="2564"/>
      <c r="E1" s="2565"/>
    </row>
    <row r="2" spans="1:6" ht="15.6">
      <c r="A2" s="2566" t="s">
        <v>2327</v>
      </c>
      <c r="B2" s="2567">
        <f ca="1">SUMIF(B6:B13,"&lt;&gt;#ref!",B6:B13)</f>
        <v>165</v>
      </c>
      <c r="C2" s="2568" t="s">
        <v>2519</v>
      </c>
      <c r="D2" s="2569" t="s">
        <v>2520</v>
      </c>
      <c r="E2" s="2570">
        <f>SUM(E6:E13)</f>
        <v>177.12</v>
      </c>
    </row>
    <row r="3" spans="1:6" ht="15.6">
      <c r="A3" s="2566" t="s">
        <v>1390</v>
      </c>
      <c r="B3" s="2567">
        <f ca="1">ROUND(B2*10000/E2,0)</f>
        <v>9316</v>
      </c>
      <c r="C3" s="2568" t="s">
        <v>2527</v>
      </c>
      <c r="D3" s="2571"/>
      <c r="E3" s="2572"/>
    </row>
    <row r="4" spans="1:6" ht="15.6">
      <c r="A4" s="2573"/>
      <c r="B4" s="2571"/>
      <c r="C4" s="2571"/>
      <c r="D4" s="2571"/>
      <c r="E4" s="2572"/>
    </row>
    <row r="5" spans="1:6" ht="14.4">
      <c r="A5" s="2574" t="s">
        <v>2521</v>
      </c>
      <c r="B5" s="3147" t="s">
        <v>2522</v>
      </c>
      <c r="C5" s="3147"/>
      <c r="D5" s="2575"/>
      <c r="E5" s="2576" t="s">
        <v>2523</v>
      </c>
      <c r="F5" s="2577" t="s">
        <v>2524</v>
      </c>
    </row>
    <row r="6" spans="1:6" ht="14.4">
      <c r="A6" s="2578" t="str">
        <f>'数据-取费表'!AN6</f>
        <v>收益法 (元)</v>
      </c>
      <c r="B6" s="2577">
        <f ca="1">IF(F6="是",'数据-取费表'!AO6,0)</f>
        <v>165</v>
      </c>
      <c r="C6" s="2568" t="s">
        <v>2519</v>
      </c>
      <c r="D6" s="2571"/>
      <c r="E6" s="2579">
        <f>IF(OR(A6=0,F6="否"),0,'数据-取费表'!K6+'数据-取费表'!S6)</f>
        <v>177.12</v>
      </c>
      <c r="F6" s="2580" t="s">
        <v>2525</v>
      </c>
    </row>
    <row r="7" spans="1:6" ht="14.4">
      <c r="A7" s="2578">
        <f>'数据-取费表'!AN7</f>
        <v>0</v>
      </c>
      <c r="B7" s="2577" t="e">
        <f ca="1">IF(F7="是",'数据-取费表'!AO7,0)</f>
        <v>#REF!</v>
      </c>
      <c r="C7" s="2568" t="s">
        <v>2519</v>
      </c>
      <c r="D7" s="2571"/>
      <c r="E7" s="2579">
        <f>IF(OR(A7=0,F7="否"),0,'数据-取费表'!K7+'数据-取费表'!S7)</f>
        <v>0</v>
      </c>
      <c r="F7" s="2580" t="s">
        <v>2525</v>
      </c>
    </row>
    <row r="8" spans="1:6" ht="14.4">
      <c r="A8" s="2578">
        <f>'数据-取费表'!AN8</f>
        <v>0</v>
      </c>
      <c r="B8" s="2577" t="e">
        <f ca="1">IF(F8="是",'数据-取费表'!AO8,0)</f>
        <v>#REF!</v>
      </c>
      <c r="C8" s="2568" t="s">
        <v>2519</v>
      </c>
      <c r="D8" s="2571"/>
      <c r="E8" s="2579">
        <f>IF(OR(A8=0,F8="否"),0,'数据-取费表'!K8+'数据-取费表'!S8)</f>
        <v>0</v>
      </c>
      <c r="F8" s="2580" t="s">
        <v>2525</v>
      </c>
    </row>
    <row r="9" spans="1:6" ht="14.4">
      <c r="A9" s="2578">
        <f>'数据-取费表'!AN9</f>
        <v>0</v>
      </c>
      <c r="B9" s="2577" t="e">
        <f ca="1">IF(F9="是",'数据-取费表'!AO9,0)</f>
        <v>#REF!</v>
      </c>
      <c r="C9" s="2568" t="s">
        <v>2519</v>
      </c>
      <c r="D9" s="2571"/>
      <c r="E9" s="2579">
        <f>IF(OR(A9=0,F9="否"),0,'数据-取费表'!K9+'数据-取费表'!S9)</f>
        <v>0</v>
      </c>
      <c r="F9" s="2580" t="s">
        <v>2525</v>
      </c>
    </row>
    <row r="10" spans="1:6" ht="14.4">
      <c r="A10" s="2578">
        <f>'数据-取费表'!AN10</f>
        <v>0</v>
      </c>
      <c r="B10" s="2577" t="e">
        <f ca="1">IF(F10="是",'数据-取费表'!AO10,0)</f>
        <v>#REF!</v>
      </c>
      <c r="C10" s="2568" t="s">
        <v>2519</v>
      </c>
      <c r="D10" s="2571"/>
      <c r="E10" s="2579">
        <f>IF(OR(A10=0,F10="否"),0,'数据-取费表'!K10+'数据-取费表'!S10)</f>
        <v>0</v>
      </c>
      <c r="F10" s="2580" t="s">
        <v>2525</v>
      </c>
    </row>
    <row r="11" spans="1:6" ht="14.4">
      <c r="A11" s="2578">
        <f>'数据-取费表'!AN11</f>
        <v>0</v>
      </c>
      <c r="B11" s="2577" t="e">
        <f ca="1">IF(F11="是",'数据-取费表'!AO11,0)</f>
        <v>#REF!</v>
      </c>
      <c r="C11" s="2568" t="s">
        <v>2519</v>
      </c>
      <c r="D11" s="2571"/>
      <c r="E11" s="2579">
        <f>IF(OR(A11=0,F11="否"),0,'数据-取费表'!K11+'数据-取费表'!S11)</f>
        <v>0</v>
      </c>
      <c r="F11" s="2580" t="s">
        <v>2525</v>
      </c>
    </row>
    <row r="12" spans="1:6" ht="14.4">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64" t="s">
        <v>1073</v>
      </c>
      <c r="B1" s="3165"/>
      <c r="C1" s="3166"/>
      <c r="D1" s="3167">
        <f>SUM(I10,I15,I20,I21,I23)</f>
        <v>0</v>
      </c>
      <c r="E1" s="3167"/>
      <c r="F1" s="3167"/>
      <c r="G1" s="3167"/>
      <c r="H1" s="3167"/>
      <c r="I1" s="3168"/>
    </row>
    <row r="2" spans="1:9">
      <c r="A2" s="3154" t="s">
        <v>1074</v>
      </c>
      <c r="B2" s="3155" t="s">
        <v>1075</v>
      </c>
      <c r="C2" s="3155"/>
      <c r="D2" s="1300" t="s">
        <v>1076</v>
      </c>
      <c r="E2" s="1300" t="s">
        <v>1077</v>
      </c>
      <c r="F2" s="1300" t="s">
        <v>1078</v>
      </c>
      <c r="G2" s="1300" t="s">
        <v>1079</v>
      </c>
      <c r="H2" s="1300" t="s">
        <v>1080</v>
      </c>
      <c r="I2" s="1301" t="s">
        <v>1081</v>
      </c>
    </row>
    <row r="3" spans="1:9">
      <c r="A3" s="3154"/>
      <c r="B3" s="3155" t="s">
        <v>1082</v>
      </c>
      <c r="C3" s="3155"/>
      <c r="D3" s="1302"/>
      <c r="E3" s="1300"/>
      <c r="F3" s="1303"/>
      <c r="G3" s="1303"/>
      <c r="H3" s="1304"/>
      <c r="I3" s="1305">
        <f>ROUND(D3*E3*F3*G3*H3/10000,0)</f>
        <v>0</v>
      </c>
    </row>
    <row r="4" spans="1:9">
      <c r="A4" s="3154"/>
      <c r="B4" s="3155" t="s">
        <v>1083</v>
      </c>
      <c r="C4" s="3155"/>
      <c r="D4" s="1302"/>
      <c r="E4" s="1300"/>
      <c r="F4" s="1303"/>
      <c r="G4" s="1303"/>
      <c r="H4" s="1304"/>
      <c r="I4" s="1305">
        <f t="shared" ref="I4:I9" si="0">ROUND(D4*E4*F4*G4*H4/10000,0)</f>
        <v>0</v>
      </c>
    </row>
    <row r="5" spans="1:9">
      <c r="A5" s="3154"/>
      <c r="B5" s="3155" t="s">
        <v>1084</v>
      </c>
      <c r="C5" s="3155"/>
      <c r="D5" s="1302"/>
      <c r="E5" s="1300"/>
      <c r="F5" s="1303"/>
      <c r="G5" s="1303"/>
      <c r="H5" s="1304"/>
      <c r="I5" s="1305">
        <f t="shared" si="0"/>
        <v>0</v>
      </c>
    </row>
    <row r="6" spans="1:9">
      <c r="A6" s="3154"/>
      <c r="B6" s="3155" t="s">
        <v>1085</v>
      </c>
      <c r="C6" s="3155"/>
      <c r="D6" s="1302"/>
      <c r="E6" s="1300"/>
      <c r="F6" s="1303"/>
      <c r="G6" s="1303"/>
      <c r="H6" s="1304"/>
      <c r="I6" s="1305">
        <f t="shared" si="0"/>
        <v>0</v>
      </c>
    </row>
    <row r="7" spans="1:9">
      <c r="A7" s="3154"/>
      <c r="B7" s="3155" t="s">
        <v>1086</v>
      </c>
      <c r="C7" s="3155"/>
      <c r="D7" s="1302"/>
      <c r="E7" s="1300"/>
      <c r="F7" s="1303"/>
      <c r="G7" s="1303"/>
      <c r="H7" s="1304"/>
      <c r="I7" s="1305">
        <f t="shared" si="0"/>
        <v>0</v>
      </c>
    </row>
    <row r="8" spans="1:9">
      <c r="A8" s="3154"/>
      <c r="B8" s="3155" t="s">
        <v>1087</v>
      </c>
      <c r="C8" s="3155"/>
      <c r="D8" s="1302"/>
      <c r="E8" s="1300"/>
      <c r="F8" s="1303"/>
      <c r="G8" s="1303"/>
      <c r="H8" s="1304"/>
      <c r="I8" s="1305">
        <f t="shared" si="0"/>
        <v>0</v>
      </c>
    </row>
    <row r="9" spans="1:9">
      <c r="A9" s="3154"/>
      <c r="B9" s="3155" t="s">
        <v>1088</v>
      </c>
      <c r="C9" s="3155"/>
      <c r="D9" s="1302"/>
      <c r="E9" s="1300"/>
      <c r="F9" s="1303"/>
      <c r="G9" s="1303"/>
      <c r="H9" s="1304"/>
      <c r="I9" s="1305">
        <f t="shared" si="0"/>
        <v>0</v>
      </c>
    </row>
    <row r="10" spans="1:9">
      <c r="A10" s="3154"/>
      <c r="B10" s="3156" t="s">
        <v>1089</v>
      </c>
      <c r="C10" s="3156"/>
      <c r="D10" s="1306"/>
      <c r="E10" s="1306" t="e">
        <f>ROUND(D1*10000/D10/H9,0)</f>
        <v>#DIV/0!</v>
      </c>
      <c r="F10" s="1307"/>
      <c r="G10" s="1307"/>
      <c r="H10" s="1308"/>
      <c r="I10" s="1309">
        <f>SUM(I3:I9)</f>
        <v>0</v>
      </c>
    </row>
    <row r="11" spans="1:9" ht="15.6">
      <c r="A11" s="3154" t="s">
        <v>1090</v>
      </c>
      <c r="B11" s="3155" t="s">
        <v>1091</v>
      </c>
      <c r="C11" s="3155"/>
      <c r="D11" s="1302" t="s">
        <v>1092</v>
      </c>
      <c r="E11" s="1302" t="s">
        <v>1093</v>
      </c>
      <c r="F11" s="1303" t="s">
        <v>1094</v>
      </c>
      <c r="G11" s="1303" t="s">
        <v>1080</v>
      </c>
      <c r="H11" s="1310" t="s">
        <v>1095</v>
      </c>
      <c r="I11" s="1301" t="s">
        <v>1081</v>
      </c>
    </row>
    <row r="12" spans="1:9">
      <c r="A12" s="3154"/>
      <c r="B12" s="3155" t="s">
        <v>1096</v>
      </c>
      <c r="C12" s="3155"/>
      <c r="D12" s="1302"/>
      <c r="E12" s="1302"/>
      <c r="F12" s="1303"/>
      <c r="G12" s="1304"/>
      <c r="H12" s="1311"/>
      <c r="I12" s="1301">
        <f>ROUND(D12*E12*F12*G12/10000,0)</f>
        <v>0</v>
      </c>
    </row>
    <row r="13" spans="1:9">
      <c r="A13" s="3154"/>
      <c r="B13" s="3155" t="s">
        <v>1097</v>
      </c>
      <c r="C13" s="3155"/>
      <c r="D13" s="1302"/>
      <c r="E13" s="1302"/>
      <c r="F13" s="1303"/>
      <c r="G13" s="1304"/>
      <c r="H13" s="1311"/>
      <c r="I13" s="1301">
        <f>ROUND(D13*E13*F13*G13/10000,0)</f>
        <v>0</v>
      </c>
    </row>
    <row r="14" spans="1:9">
      <c r="A14" s="3154"/>
      <c r="B14" s="3155" t="s">
        <v>1098</v>
      </c>
      <c r="C14" s="3155"/>
      <c r="D14" s="1302"/>
      <c r="E14" s="1302"/>
      <c r="F14" s="1303"/>
      <c r="G14" s="1304"/>
      <c r="H14" s="1311"/>
      <c r="I14" s="1301">
        <f>ROUND(D14*E14*F14*G14/10000,0)</f>
        <v>0</v>
      </c>
    </row>
    <row r="15" spans="1:9">
      <c r="A15" s="3154"/>
      <c r="B15" s="3156" t="s">
        <v>1089</v>
      </c>
      <c r="C15" s="3156"/>
      <c r="D15" s="1306"/>
      <c r="E15" s="1306">
        <f>SUM(E12:E14)</f>
        <v>0</v>
      </c>
      <c r="F15" s="1307"/>
      <c r="G15" s="1304"/>
      <c r="H15" s="1311"/>
      <c r="I15" s="1312">
        <f>SUM(I12:I14)</f>
        <v>0</v>
      </c>
    </row>
    <row r="16" spans="1:9" ht="24">
      <c r="A16" s="3154" t="s">
        <v>1099</v>
      </c>
      <c r="B16" s="3155" t="s">
        <v>1100</v>
      </c>
      <c r="C16" s="3155"/>
      <c r="D16" s="1302" t="s">
        <v>1076</v>
      </c>
      <c r="E16" s="1313" t="s">
        <v>1101</v>
      </c>
      <c r="F16" s="1303" t="s">
        <v>1102</v>
      </c>
      <c r="G16" s="1304" t="s">
        <v>1080</v>
      </c>
      <c r="H16" s="1310" t="s">
        <v>1095</v>
      </c>
      <c r="I16" s="1301" t="s">
        <v>1081</v>
      </c>
    </row>
    <row r="17" spans="1:9" ht="15.6">
      <c r="A17" s="3154"/>
      <c r="B17" s="3155" t="s">
        <v>1103</v>
      </c>
      <c r="C17" s="3155"/>
      <c r="D17" s="1302"/>
      <c r="E17" s="1302"/>
      <c r="F17" s="1303"/>
      <c r="G17" s="1304"/>
      <c r="H17" s="1314"/>
      <c r="I17" s="1315">
        <f>ROUND(D17*E17*F17*G17/10000,0)</f>
        <v>0</v>
      </c>
    </row>
    <row r="18" spans="1:9" ht="15.6">
      <c r="A18" s="3154"/>
      <c r="B18" s="3155" t="s">
        <v>1104</v>
      </c>
      <c r="C18" s="3155"/>
      <c r="D18" s="1302"/>
      <c r="E18" s="1302"/>
      <c r="F18" s="1303"/>
      <c r="G18" s="1304"/>
      <c r="H18" s="1314"/>
      <c r="I18" s="1315">
        <f>ROUND(D18*E18*F18*G18/10000,0)</f>
        <v>0</v>
      </c>
    </row>
    <row r="19" spans="1:9" ht="15.6">
      <c r="A19" s="3154"/>
      <c r="B19" s="3155" t="s">
        <v>1105</v>
      </c>
      <c r="C19" s="3155"/>
      <c r="D19" s="1302"/>
      <c r="E19" s="1302"/>
      <c r="F19" s="1303"/>
      <c r="G19" s="1304"/>
      <c r="H19" s="1314"/>
      <c r="I19" s="1315">
        <f>ROUND(D19*E19*F19*G19/10000,0)</f>
        <v>0</v>
      </c>
    </row>
    <row r="20" spans="1:9">
      <c r="A20" s="3154"/>
      <c r="B20" s="3156" t="s">
        <v>1089</v>
      </c>
      <c r="C20" s="3156"/>
      <c r="D20" s="1306">
        <f>SUM(D17:D19)</f>
        <v>0</v>
      </c>
      <c r="E20" s="1306"/>
      <c r="F20" s="1307"/>
      <c r="G20" s="1304"/>
      <c r="H20" s="1311"/>
      <c r="I20" s="1312">
        <f>SUM(I17:I19)</f>
        <v>0</v>
      </c>
    </row>
    <row r="21" spans="1:9">
      <c r="A21" s="3154" t="s">
        <v>1106</v>
      </c>
      <c r="B21" s="3157"/>
      <c r="C21" s="3157"/>
      <c r="D21" s="3157"/>
      <c r="E21" s="3157"/>
      <c r="F21" s="3157"/>
      <c r="G21" s="3157"/>
      <c r="H21" s="1764">
        <v>0.1</v>
      </c>
      <c r="I21" s="1309">
        <f>ROUND(I10*H21,0)</f>
        <v>0</v>
      </c>
    </row>
    <row r="22" spans="1:9" ht="15.6">
      <c r="A22" s="3158" t="s">
        <v>1107</v>
      </c>
      <c r="B22" s="3159"/>
      <c r="C22" s="3160"/>
      <c r="D22" s="1316" t="s">
        <v>1108</v>
      </c>
      <c r="E22" s="1316" t="s">
        <v>1109</v>
      </c>
      <c r="F22" s="1317" t="s">
        <v>1110</v>
      </c>
      <c r="G22" s="1317" t="s">
        <v>1111</v>
      </c>
      <c r="H22" s="1310" t="s">
        <v>1112</v>
      </c>
      <c r="I22" s="1301" t="s">
        <v>1113</v>
      </c>
    </row>
    <row r="23" spans="1:9" ht="15" thickBot="1">
      <c r="A23" s="3161"/>
      <c r="B23" s="3162"/>
      <c r="C23" s="3163"/>
      <c r="D23" s="1318"/>
      <c r="E23" s="1318"/>
      <c r="F23" s="1318"/>
      <c r="G23" s="1319"/>
      <c r="H23" s="1320"/>
      <c r="I23" s="1321">
        <f>ROUND(E23*D23*F23*(1-G23)/10000,0)</f>
        <v>0</v>
      </c>
    </row>
    <row r="26" spans="1:9">
      <c r="A26" s="1322" t="s">
        <v>1114</v>
      </c>
      <c r="B26" s="1322"/>
      <c r="C26" s="1322"/>
      <c r="D26" s="1322"/>
      <c r="E26" s="3151">
        <f>C27-C30-C31-C32</f>
        <v>0</v>
      </c>
      <c r="F26" s="3151"/>
      <c r="G26" s="3151"/>
      <c r="H26" s="1736" t="s">
        <v>1336</v>
      </c>
    </row>
    <row r="27" spans="1:9">
      <c r="A27" s="1323">
        <v>1</v>
      </c>
      <c r="B27" s="1324" t="s">
        <v>1115</v>
      </c>
      <c r="C27" s="1324">
        <f>C28+C29</f>
        <v>0</v>
      </c>
      <c r="D27" s="1324"/>
      <c r="E27" s="3152"/>
      <c r="F27" s="3152"/>
      <c r="G27" s="3152"/>
    </row>
    <row r="28" spans="1:9">
      <c r="A28" s="1325" t="s">
        <v>1116</v>
      </c>
      <c r="B28" s="1324" t="s">
        <v>1117</v>
      </c>
      <c r="C28" s="1324"/>
      <c r="D28" s="1324"/>
      <c r="E28" s="3152"/>
      <c r="F28" s="3152"/>
      <c r="G28" s="315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53"/>
      <c r="F32" s="3153"/>
      <c r="G32" s="3153"/>
    </row>
    <row r="33" spans="1:7" hidden="1">
      <c r="A33" s="3148" t="s">
        <v>1126</v>
      </c>
      <c r="B33" s="3149"/>
      <c r="C33" s="3149"/>
      <c r="D33" s="3150"/>
      <c r="E33" s="3151"/>
      <c r="F33" s="3151"/>
      <c r="G33" s="3151"/>
    </row>
    <row r="34" spans="1:7" hidden="1">
      <c r="A34" s="1327">
        <v>1</v>
      </c>
      <c r="B34" s="1324" t="s">
        <v>1127</v>
      </c>
      <c r="C34" s="1324"/>
      <c r="D34" s="1324"/>
      <c r="E34" s="3152"/>
      <c r="F34" s="3152"/>
      <c r="G34" s="3152"/>
    </row>
    <row r="35" spans="1:7" hidden="1">
      <c r="A35" s="1327">
        <v>2</v>
      </c>
      <c r="B35" s="1324" t="s">
        <v>1128</v>
      </c>
      <c r="C35" s="1324"/>
      <c r="D35" s="1324"/>
      <c r="E35" s="3152"/>
      <c r="F35" s="3152"/>
      <c r="G35" s="3152"/>
    </row>
    <row r="36" spans="1:7" hidden="1">
      <c r="A36" s="1327">
        <v>3</v>
      </c>
      <c r="B36" s="1324" t="s">
        <v>1129</v>
      </c>
      <c r="C36" s="1324"/>
      <c r="D36" s="1324"/>
      <c r="E36" s="3152"/>
      <c r="F36" s="3152"/>
      <c r="G36" s="3152"/>
    </row>
    <row r="37" spans="1:7" hidden="1">
      <c r="A37" s="1327">
        <v>4</v>
      </c>
      <c r="B37" s="1324" t="s">
        <v>1130</v>
      </c>
      <c r="C37" s="1324"/>
      <c r="D37" s="1324"/>
      <c r="E37" s="3152"/>
      <c r="F37" s="3152"/>
      <c r="G37" s="3152"/>
    </row>
    <row r="38" spans="1:7" hidden="1">
      <c r="A38" s="3148" t="s">
        <v>1131</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55" zoomScaleNormal="55" workbookViewId="0">
      <selection activeCell="L47" sqref="L47"/>
    </sheetView>
  </sheetViews>
  <sheetFormatPr defaultColWidth="9" defaultRowHeight="13.8"/>
  <cols>
    <col min="1" max="1" width="10.44140625" style="403" customWidth="1"/>
    <col min="2" max="2" width="15.77734375" style="403" customWidth="1"/>
    <col min="3" max="3" width="15.8867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4" t="s">
        <v>2529</v>
      </c>
      <c r="C1" s="1633" t="s">
        <v>2530</v>
      </c>
      <c r="D1" s="1620" t="s">
        <v>3062</v>
      </c>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f>IF(C2="——",ROUND(C49*D3/10000,0),ROUND(C49*D3/10000,0)-D2)</f>
        <v>398</v>
      </c>
      <c r="C2" s="2588" t="s">
        <v>70</v>
      </c>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f>IF(C2="——",C49,ROUND(B2*10000/D3,0))</f>
        <v>22469</v>
      </c>
      <c r="C3" s="400" t="s">
        <v>2534</v>
      </c>
      <c r="D3" s="399">
        <f>IF(D1="",'数据-汇总表'!E3,SUMIF('数据-汇总表'!$C19:$C33,D1,'数据-汇总表'!$E19:$E33))</f>
        <v>177.12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4.4">
      <c r="A4" s="401" t="s">
        <v>2535</v>
      </c>
      <c r="B4" s="402"/>
      <c r="C4" s="3187" t="s">
        <v>2536</v>
      </c>
      <c r="D4" s="3188"/>
      <c r="E4" s="3189" t="s">
        <v>2537</v>
      </c>
      <c r="F4" s="3190"/>
      <c r="G4" s="3187" t="s">
        <v>2538</v>
      </c>
      <c r="H4" s="3188"/>
      <c r="I4" s="3187" t="s">
        <v>2539</v>
      </c>
      <c r="J4" s="3188"/>
      <c r="K4" s="2598" t="s">
        <v>2540</v>
      </c>
      <c r="L4" s="1130"/>
      <c r="M4" s="1131"/>
      <c r="N4" s="1131"/>
      <c r="O4" s="1131"/>
      <c r="P4" s="3191" t="s">
        <v>2541</v>
      </c>
      <c r="Q4" s="3192"/>
      <c r="R4" s="3197" t="s">
        <v>2537</v>
      </c>
      <c r="S4" s="3198"/>
      <c r="T4" s="3197" t="s">
        <v>2538</v>
      </c>
      <c r="U4" s="3198"/>
      <c r="V4" s="3203" t="s">
        <v>2539</v>
      </c>
      <c r="W4" s="3203"/>
      <c r="X4" s="1812"/>
      <c r="Y4" s="3197" t="s">
        <v>2541</v>
      </c>
      <c r="Z4" s="3198"/>
      <c r="AA4" s="3184" t="s">
        <v>2537</v>
      </c>
      <c r="AB4" s="3184" t="s">
        <v>2538</v>
      </c>
      <c r="AC4" s="3184" t="s">
        <v>2539</v>
      </c>
    </row>
    <row r="5" spans="1:29" ht="13.8" customHeight="1">
      <c r="A5" s="404"/>
      <c r="B5" s="405"/>
      <c r="C5" s="3206" t="s">
        <v>2542</v>
      </c>
      <c r="D5" s="3207"/>
      <c r="E5" s="3295" t="s">
        <v>3243</v>
      </c>
      <c r="F5" s="3296"/>
      <c r="G5" s="3297" t="s">
        <v>3244</v>
      </c>
      <c r="H5" s="3298"/>
      <c r="I5" s="3297" t="s">
        <v>3245</v>
      </c>
      <c r="J5" s="3298"/>
      <c r="K5" s="2599"/>
      <c r="L5" s="1130"/>
      <c r="M5" s="1131"/>
      <c r="N5" s="1131"/>
      <c r="O5" s="1131"/>
      <c r="P5" s="3193"/>
      <c r="Q5" s="3194"/>
      <c r="R5" s="3199"/>
      <c r="S5" s="3200"/>
      <c r="T5" s="3199"/>
      <c r="U5" s="3200"/>
      <c r="V5" s="3203"/>
      <c r="W5" s="3203"/>
      <c r="X5" s="1812"/>
      <c r="Y5" s="3199"/>
      <c r="Z5" s="3200"/>
      <c r="AA5" s="3185"/>
      <c r="AB5" s="3185"/>
      <c r="AC5" s="3185"/>
    </row>
    <row r="6" spans="1:29" ht="15" thickBot="1">
      <c r="A6" s="406"/>
      <c r="B6" s="407"/>
      <c r="C6" s="3204" t="s">
        <v>2546</v>
      </c>
      <c r="D6" s="3205"/>
      <c r="E6" s="3211" t="s">
        <v>2546</v>
      </c>
      <c r="F6" s="3212"/>
      <c r="G6" s="3204" t="s">
        <v>2546</v>
      </c>
      <c r="H6" s="3205"/>
      <c r="I6" s="3204" t="s">
        <v>2546</v>
      </c>
      <c r="J6" s="3205"/>
      <c r="K6" s="2599" t="s">
        <v>2547</v>
      </c>
      <c r="L6" s="1130"/>
      <c r="M6" s="1131"/>
      <c r="N6" s="1131"/>
      <c r="O6" s="1131"/>
      <c r="P6" s="3195"/>
      <c r="Q6" s="3196"/>
      <c r="R6" s="3199"/>
      <c r="S6" s="3200"/>
      <c r="T6" s="3201"/>
      <c r="U6" s="3202"/>
      <c r="V6" s="3203"/>
      <c r="W6" s="3203"/>
      <c r="X6" s="1812"/>
      <c r="Y6" s="3201"/>
      <c r="Z6" s="3202"/>
      <c r="AA6" s="3186"/>
      <c r="AB6" s="3186"/>
      <c r="AC6" s="3186"/>
    </row>
    <row r="7" spans="1:29" s="117" customFormat="1" ht="15" thickBot="1">
      <c r="A7" s="408" t="s">
        <v>2548</v>
      </c>
      <c r="B7" s="409"/>
      <c r="C7" s="410">
        <f>'数据-取费表'!B2</f>
        <v>43689</v>
      </c>
      <c r="D7" s="411">
        <v>100</v>
      </c>
      <c r="E7" s="412">
        <v>43678</v>
      </c>
      <c r="F7" s="413">
        <f>SUMIF(58:58,YEAR(E7)&amp;"-"&amp;MONTH(E7),59:59)</f>
        <v>100</v>
      </c>
      <c r="G7" s="412">
        <v>43678</v>
      </c>
      <c r="H7" s="411">
        <f>SUMIF(58:58,YEAR(G7)&amp;"-"&amp;MONTH(G7),59:59)</f>
        <v>100</v>
      </c>
      <c r="I7" s="412">
        <v>43556</v>
      </c>
      <c r="J7" s="411">
        <f>SUMIF(58:58,YEAR(I7)&amp;"-"&amp;MONTH(I7),59:59)</f>
        <v>99.5</v>
      </c>
      <c r="K7" s="2600"/>
      <c r="L7" s="1132"/>
      <c r="M7" s="1133"/>
      <c r="N7" s="1133"/>
      <c r="O7" s="1133"/>
      <c r="P7" s="3208" t="s">
        <v>2549</v>
      </c>
      <c r="Q7" s="3210"/>
      <c r="R7" s="770" t="s">
        <v>23</v>
      </c>
      <c r="S7" s="771">
        <f t="shared" ref="S7:S15" si="0">F7</f>
        <v>100</v>
      </c>
      <c r="T7" s="770" t="s">
        <v>23</v>
      </c>
      <c r="U7" s="771">
        <f t="shared" ref="U7:U15" si="1">H7</f>
        <v>100</v>
      </c>
      <c r="V7" s="770" t="s">
        <v>23</v>
      </c>
      <c r="W7" s="771">
        <f t="shared" ref="W7:W15" si="2">J7</f>
        <v>99.5</v>
      </c>
      <c r="X7" s="772"/>
      <c r="Y7" s="3208" t="s">
        <v>2549</v>
      </c>
      <c r="Z7" s="3209"/>
      <c r="AA7" s="773">
        <f>D7/F7</f>
        <v>1</v>
      </c>
      <c r="AB7" s="773">
        <f>D7/H7</f>
        <v>1</v>
      </c>
      <c r="AC7" s="773">
        <f>D7/J7</f>
        <v>1.0050251256281406</v>
      </c>
    </row>
    <row r="8" spans="1:29" s="117" customFormat="1" ht="1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600"/>
      <c r="L8" s="1132"/>
      <c r="M8" s="1133"/>
      <c r="N8" s="1133"/>
      <c r="O8" s="1133"/>
      <c r="P8" s="3208" t="s">
        <v>2552</v>
      </c>
      <c r="Q8" s="3209"/>
      <c r="R8" s="770" t="s">
        <v>23</v>
      </c>
      <c r="S8" s="771">
        <f t="shared" si="0"/>
        <v>100</v>
      </c>
      <c r="T8" s="770" t="s">
        <v>23</v>
      </c>
      <c r="U8" s="771">
        <f t="shared" si="1"/>
        <v>100</v>
      </c>
      <c r="V8" s="770" t="s">
        <v>23</v>
      </c>
      <c r="W8" s="771">
        <f t="shared" si="2"/>
        <v>100</v>
      </c>
      <c r="X8" s="772"/>
      <c r="Y8" s="3208" t="s">
        <v>2552</v>
      </c>
      <c r="Z8" s="3209"/>
      <c r="AA8" s="773">
        <f t="shared" ref="AA8:AA19" si="3">D8/F8</f>
        <v>1</v>
      </c>
      <c r="AB8" s="773">
        <f t="shared" ref="AB8:AB19" si="4">D8/H8</f>
        <v>1</v>
      </c>
      <c r="AC8" s="773">
        <f t="shared" ref="AC8:AC19" si="5">D8/J8</f>
        <v>1</v>
      </c>
    </row>
    <row r="9" spans="1:29" s="117" customFormat="1" ht="14.4">
      <c r="A9" s="415" t="s">
        <v>2553</v>
      </c>
      <c r="B9" s="71" t="s">
        <v>2554</v>
      </c>
      <c r="C9" s="3302" t="s">
        <v>3263</v>
      </c>
      <c r="D9" s="135">
        <v>100</v>
      </c>
      <c r="E9" s="417" t="s">
        <v>3062</v>
      </c>
      <c r="F9" s="418">
        <f>SUMIF(63:63,E9,64:64)-SUMIF(63:63,C9,64:64)+100</f>
        <v>100</v>
      </c>
      <c r="G9" s="417" t="s">
        <v>3062</v>
      </c>
      <c r="H9" s="135">
        <f>SUMIF(63:63,G9,64:64)-SUMIF(63:63,C9,64:64)+100</f>
        <v>100</v>
      </c>
      <c r="I9" s="417" t="s">
        <v>3062</v>
      </c>
      <c r="J9" s="135">
        <f>SUMIF(63:63,I9,64:64)-SUMIF(63:63,C9,64:64)+100</f>
        <v>100</v>
      </c>
      <c r="K9" s="2600"/>
      <c r="L9" s="1132"/>
      <c r="M9" s="1133"/>
      <c r="N9" s="1133"/>
      <c r="O9" s="1133"/>
      <c r="P9" s="3183"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0.5</v>
      </c>
      <c r="L11" s="1138"/>
      <c r="M11" s="1131"/>
      <c r="N11" s="1131"/>
      <c r="O11" s="1131"/>
      <c r="P11" s="3183"/>
      <c r="Q11" s="1794" t="str">
        <f t="shared" si="6"/>
        <v>容积率</v>
      </c>
      <c r="R11" s="770" t="s">
        <v>21</v>
      </c>
      <c r="S11" s="771">
        <f t="shared" si="0"/>
        <v>100</v>
      </c>
      <c r="T11" s="770" t="s">
        <v>21</v>
      </c>
      <c r="U11" s="771">
        <f t="shared" si="1"/>
        <v>100</v>
      </c>
      <c r="V11" s="770" t="s">
        <v>21</v>
      </c>
      <c r="W11" s="771">
        <f t="shared" si="2"/>
        <v>100</v>
      </c>
      <c r="X11" s="772"/>
      <c r="Y11" s="2997"/>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3"/>
      <c r="Q12" s="1794">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3"/>
      <c r="Q13" s="1794">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3"/>
      <c r="Q14" s="1794">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6.6">
      <c r="A15" s="440" t="s">
        <v>2559</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81" t="s">
        <v>2560</v>
      </c>
      <c r="Q15" s="1809" t="str">
        <f t="shared" si="6"/>
        <v>居住社区成熟度</v>
      </c>
      <c r="R15" s="774" t="s">
        <v>21</v>
      </c>
      <c r="S15" s="775">
        <f t="shared" si="0"/>
        <v>100</v>
      </c>
      <c r="T15" s="774" t="s">
        <v>21</v>
      </c>
      <c r="U15" s="775">
        <f t="shared" si="1"/>
        <v>100</v>
      </c>
      <c r="V15" s="774" t="s">
        <v>21</v>
      </c>
      <c r="W15" s="775">
        <f t="shared" si="2"/>
        <v>100</v>
      </c>
      <c r="X15" s="1812"/>
      <c r="Y15" s="3174" t="s">
        <v>2560</v>
      </c>
      <c r="Z15" s="1813" t="str">
        <f t="shared" si="7"/>
        <v>居住社区成熟度</v>
      </c>
      <c r="AA15" s="1810">
        <f t="shared" si="3"/>
        <v>1</v>
      </c>
      <c r="AB15" s="1810">
        <f t="shared" si="4"/>
        <v>1</v>
      </c>
      <c r="AC15" s="1810">
        <f t="shared" si="5"/>
        <v>1</v>
      </c>
    </row>
    <row r="16" spans="1:29" ht="15">
      <c r="A16" s="428"/>
      <c r="B16" s="446"/>
      <c r="C16" s="447" t="s">
        <v>3261</v>
      </c>
      <c r="D16" s="448"/>
      <c r="E16" s="447" t="s">
        <v>3261</v>
      </c>
      <c r="F16" s="448"/>
      <c r="G16" s="447" t="s">
        <v>3261</v>
      </c>
      <c r="H16" s="450"/>
      <c r="I16" s="447" t="s">
        <v>3261</v>
      </c>
      <c r="J16" s="448"/>
      <c r="K16" s="2607"/>
      <c r="L16" s="1140"/>
      <c r="M16" s="1131"/>
      <c r="N16" s="1131"/>
      <c r="O16" s="1131"/>
      <c r="P16" s="3182"/>
      <c r="Q16" s="1809"/>
      <c r="R16" s="774"/>
      <c r="S16" s="775"/>
      <c r="T16" s="774"/>
      <c r="U16" s="775"/>
      <c r="V16" s="774"/>
      <c r="W16" s="775"/>
      <c r="X16" s="1812"/>
      <c r="Y16" s="3175"/>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182"/>
      <c r="Q17" s="1809" t="str">
        <f>B17</f>
        <v>交通便捷度</v>
      </c>
      <c r="R17" s="774" t="s">
        <v>21</v>
      </c>
      <c r="S17" s="775">
        <f>F17</f>
        <v>100</v>
      </c>
      <c r="T17" s="774" t="s">
        <v>21</v>
      </c>
      <c r="U17" s="775">
        <f>H17</f>
        <v>100</v>
      </c>
      <c r="V17" s="774" t="s">
        <v>21</v>
      </c>
      <c r="W17" s="775">
        <f>J17</f>
        <v>100</v>
      </c>
      <c r="X17" s="1812"/>
      <c r="Y17" s="3175"/>
      <c r="Z17" s="1813" t="str">
        <f>Q17</f>
        <v>交通便捷度</v>
      </c>
      <c r="AA17" s="1810">
        <f t="shared" si="3"/>
        <v>1</v>
      </c>
      <c r="AB17" s="1810">
        <f t="shared" si="4"/>
        <v>1</v>
      </c>
      <c r="AC17" s="1810">
        <f t="shared" si="5"/>
        <v>1</v>
      </c>
    </row>
    <row r="18" spans="1:29" ht="15">
      <c r="A18" s="428"/>
      <c r="B18" s="456"/>
      <c r="C18" s="447" t="s">
        <v>3261</v>
      </c>
      <c r="D18" s="450"/>
      <c r="E18" s="447" t="s">
        <v>3261</v>
      </c>
      <c r="F18" s="450"/>
      <c r="G18" s="447" t="s">
        <v>3261</v>
      </c>
      <c r="H18" s="448"/>
      <c r="I18" s="447" t="s">
        <v>3261</v>
      </c>
      <c r="J18" s="448"/>
      <c r="K18" s="2607"/>
      <c r="L18" s="1140"/>
      <c r="M18" s="1131"/>
      <c r="N18" s="1131"/>
      <c r="O18" s="1131"/>
      <c r="P18" s="3182"/>
      <c r="Q18" s="1809"/>
      <c r="R18" s="774"/>
      <c r="S18" s="775"/>
      <c r="T18" s="774"/>
      <c r="U18" s="775"/>
      <c r="V18" s="774"/>
      <c r="W18" s="775"/>
      <c r="X18" s="1812"/>
      <c r="Y18" s="3175"/>
      <c r="Z18" s="1813"/>
      <c r="AA18" s="1810">
        <v>1</v>
      </c>
      <c r="AB18" s="1810">
        <v>1</v>
      </c>
      <c r="AC18" s="1810">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182"/>
      <c r="Q19" s="1809" t="str">
        <f>B19</f>
        <v>公共配套设施</v>
      </c>
      <c r="R19" s="774" t="s">
        <v>21</v>
      </c>
      <c r="S19" s="775">
        <f>F19</f>
        <v>100</v>
      </c>
      <c r="T19" s="774" t="s">
        <v>21</v>
      </c>
      <c r="U19" s="775">
        <f>H19</f>
        <v>100</v>
      </c>
      <c r="V19" s="774" t="s">
        <v>21</v>
      </c>
      <c r="W19" s="775">
        <f>J19</f>
        <v>100</v>
      </c>
      <c r="X19" s="1812"/>
      <c r="Y19" s="3175"/>
      <c r="Z19" s="1813" t="str">
        <f>Q19</f>
        <v>公共配套设施</v>
      </c>
      <c r="AA19" s="1810">
        <f t="shared" si="3"/>
        <v>1</v>
      </c>
      <c r="AB19" s="1810">
        <f t="shared" si="4"/>
        <v>1</v>
      </c>
      <c r="AC19" s="1810">
        <f t="shared" si="5"/>
        <v>1</v>
      </c>
    </row>
    <row r="20" spans="1:29" ht="15">
      <c r="A20" s="428"/>
      <c r="B20" s="456"/>
      <c r="C20" s="447" t="s">
        <v>3261</v>
      </c>
      <c r="D20" s="448"/>
      <c r="E20" s="447" t="s">
        <v>3261</v>
      </c>
      <c r="F20" s="448"/>
      <c r="G20" s="447" t="s">
        <v>3261</v>
      </c>
      <c r="H20" s="448"/>
      <c r="I20" s="447" t="s">
        <v>3261</v>
      </c>
      <c r="J20" s="448"/>
      <c r="K20" s="2607"/>
      <c r="L20" s="1140"/>
      <c r="M20" s="1131"/>
      <c r="N20" s="1131"/>
      <c r="O20" s="1131"/>
      <c r="P20" s="3182"/>
      <c r="Q20" s="1809"/>
      <c r="R20" s="774"/>
      <c r="S20" s="775"/>
      <c r="T20" s="774"/>
      <c r="U20" s="775"/>
      <c r="V20" s="774"/>
      <c r="W20" s="775"/>
      <c r="X20" s="1812"/>
      <c r="Y20" s="3175"/>
      <c r="Z20" s="1813"/>
      <c r="AA20" s="1810">
        <v>1</v>
      </c>
      <c r="AB20" s="1810">
        <v>1</v>
      </c>
      <c r="AC20" s="1810">
        <v>1</v>
      </c>
    </row>
    <row r="21" spans="1:29" ht="27.6">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9" t="s">
        <v>3257</v>
      </c>
      <c r="D22" s="448"/>
      <c r="E22" s="2609" t="s">
        <v>3257</v>
      </c>
      <c r="F22" s="448"/>
      <c r="G22" s="2609" t="s">
        <v>3257</v>
      </c>
      <c r="H22" s="448"/>
      <c r="I22" s="2609" t="s">
        <v>3257</v>
      </c>
      <c r="J22" s="448"/>
      <c r="K22" s="2613"/>
      <c r="L22" s="1140"/>
      <c r="M22" s="1131"/>
      <c r="N22" s="1131"/>
      <c r="O22" s="1131"/>
      <c r="P22" s="3182"/>
      <c r="Q22" s="1809"/>
      <c r="R22" s="774"/>
      <c r="S22" s="775"/>
      <c r="T22" s="774"/>
      <c r="U22" s="775"/>
      <c r="V22" s="774"/>
      <c r="W22" s="775"/>
      <c r="X22" s="1812"/>
      <c r="Y22" s="3175"/>
      <c r="Z22" s="1813"/>
      <c r="AA22" s="1810">
        <v>1</v>
      </c>
      <c r="AB22" s="1810">
        <v>1</v>
      </c>
      <c r="AC22" s="1810">
        <v>1</v>
      </c>
    </row>
    <row r="23" spans="1:29" ht="55.2">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0"/>
      <c r="M23" s="1131"/>
      <c r="N23" s="1131"/>
      <c r="O23" s="1131"/>
      <c r="P23" s="3182"/>
      <c r="Q23" s="1809" t="str">
        <f>B23</f>
        <v>自然及人文环境</v>
      </c>
      <c r="R23" s="774" t="s">
        <v>21</v>
      </c>
      <c r="S23" s="775">
        <f>F23</f>
        <v>100</v>
      </c>
      <c r="T23" s="774" t="s">
        <v>21</v>
      </c>
      <c r="U23" s="775">
        <f>H23</f>
        <v>100</v>
      </c>
      <c r="V23" s="774" t="s">
        <v>21</v>
      </c>
      <c r="W23" s="775">
        <f>J23</f>
        <v>100</v>
      </c>
      <c r="X23" s="1812"/>
      <c r="Y23" s="3175"/>
      <c r="Z23" s="1813" t="str">
        <f>Q23</f>
        <v>自然及人文环境</v>
      </c>
      <c r="AA23" s="1810">
        <f>D23/F23</f>
        <v>1</v>
      </c>
      <c r="AB23" s="1810">
        <f>D23/H23</f>
        <v>1</v>
      </c>
      <c r="AC23" s="1810">
        <f>D23/J23</f>
        <v>1</v>
      </c>
    </row>
    <row r="24" spans="1:29" ht="15">
      <c r="A24" s="428"/>
      <c r="B24" s="456"/>
      <c r="C24" s="447" t="s">
        <v>3261</v>
      </c>
      <c r="D24" s="448"/>
      <c r="E24" s="447" t="s">
        <v>3261</v>
      </c>
      <c r="F24" s="448"/>
      <c r="G24" s="447" t="s">
        <v>3261</v>
      </c>
      <c r="H24" s="448"/>
      <c r="I24" s="447" t="s">
        <v>3261</v>
      </c>
      <c r="J24" s="448"/>
      <c r="K24" s="2607"/>
      <c r="L24" s="1140"/>
      <c r="M24" s="1131"/>
      <c r="N24" s="1131"/>
      <c r="O24" s="1131"/>
      <c r="P24" s="3182"/>
      <c r="Q24" s="1809"/>
      <c r="R24" s="774"/>
      <c r="S24" s="775"/>
      <c r="T24" s="774"/>
      <c r="U24" s="775"/>
      <c r="V24" s="774"/>
      <c r="W24" s="775"/>
      <c r="X24" s="1812"/>
      <c r="Y24" s="3175"/>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5"/>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2"/>
      <c r="Q26" s="1809" t="str">
        <f t="shared" si="11"/>
        <v>朝向</v>
      </c>
      <c r="R26" s="774" t="s">
        <v>21</v>
      </c>
      <c r="S26" s="775">
        <f t="shared" si="12"/>
        <v>100</v>
      </c>
      <c r="T26" s="774" t="s">
        <v>21</v>
      </c>
      <c r="U26" s="775">
        <f t="shared" si="13"/>
        <v>100</v>
      </c>
      <c r="V26" s="774" t="s">
        <v>21</v>
      </c>
      <c r="W26" s="775">
        <f t="shared" si="14"/>
        <v>100</v>
      </c>
      <c r="X26" s="1812"/>
      <c r="Y26" s="317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2"/>
      <c r="Q27" s="1794">
        <f t="shared" si="11"/>
        <v>111</v>
      </c>
      <c r="R27" s="770" t="s">
        <v>21</v>
      </c>
      <c r="S27" s="771">
        <f t="shared" si="12"/>
        <v>100</v>
      </c>
      <c r="T27" s="770" t="s">
        <v>21</v>
      </c>
      <c r="U27" s="771">
        <f t="shared" si="13"/>
        <v>100</v>
      </c>
      <c r="V27" s="770" t="s">
        <v>21</v>
      </c>
      <c r="W27" s="771">
        <f t="shared" si="14"/>
        <v>100</v>
      </c>
      <c r="X27" s="772"/>
      <c r="Y27" s="317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2"/>
      <c r="Q28" s="1809">
        <f t="shared" si="11"/>
        <v>111</v>
      </c>
      <c r="R28" s="774" t="s">
        <v>21</v>
      </c>
      <c r="S28" s="775">
        <f t="shared" si="12"/>
        <v>100</v>
      </c>
      <c r="T28" s="774" t="s">
        <v>21</v>
      </c>
      <c r="U28" s="775">
        <f t="shared" si="13"/>
        <v>100</v>
      </c>
      <c r="V28" s="774" t="s">
        <v>21</v>
      </c>
      <c r="W28" s="775">
        <f t="shared" si="14"/>
        <v>100</v>
      </c>
      <c r="X28" s="1812"/>
      <c r="Y28" s="317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2"/>
      <c r="Q29" s="1809">
        <f t="shared" si="11"/>
        <v>111</v>
      </c>
      <c r="R29" s="774" t="s">
        <v>21</v>
      </c>
      <c r="S29" s="775">
        <f t="shared" si="12"/>
        <v>100</v>
      </c>
      <c r="T29" s="774" t="s">
        <v>21</v>
      </c>
      <c r="U29" s="775">
        <f t="shared" si="13"/>
        <v>100</v>
      </c>
      <c r="V29" s="774" t="s">
        <v>21</v>
      </c>
      <c r="W29" s="775">
        <f t="shared" si="14"/>
        <v>100</v>
      </c>
      <c r="X29" s="1812"/>
      <c r="Y29" s="317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2"/>
      <c r="Q30" s="1809">
        <f t="shared" si="11"/>
        <v>111</v>
      </c>
      <c r="R30" s="774" t="s">
        <v>21</v>
      </c>
      <c r="S30" s="775">
        <f t="shared" si="12"/>
        <v>100</v>
      </c>
      <c r="T30" s="774" t="s">
        <v>21</v>
      </c>
      <c r="U30" s="775">
        <f t="shared" si="13"/>
        <v>100</v>
      </c>
      <c r="V30" s="774" t="s">
        <v>21</v>
      </c>
      <c r="W30" s="775">
        <f t="shared" si="14"/>
        <v>100</v>
      </c>
      <c r="X30" s="1812"/>
      <c r="Y30" s="3175"/>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2"/>
      <c r="Q31" s="1809">
        <f t="shared" si="11"/>
        <v>111</v>
      </c>
      <c r="R31" s="774" t="s">
        <v>21</v>
      </c>
      <c r="S31" s="775">
        <f t="shared" si="12"/>
        <v>100</v>
      </c>
      <c r="T31" s="774" t="s">
        <v>21</v>
      </c>
      <c r="U31" s="775">
        <f t="shared" si="13"/>
        <v>100</v>
      </c>
      <c r="V31" s="774" t="s">
        <v>21</v>
      </c>
      <c r="W31" s="775">
        <f t="shared" si="14"/>
        <v>100</v>
      </c>
      <c r="X31" s="1812"/>
      <c r="Y31" s="3175"/>
      <c r="Z31" s="1813">
        <f t="shared" si="18"/>
        <v>111</v>
      </c>
      <c r="AA31" s="1810">
        <f t="shared" si="15"/>
        <v>1</v>
      </c>
      <c r="AB31" s="1810">
        <f t="shared" si="16"/>
        <v>1</v>
      </c>
      <c r="AC31" s="1810">
        <f t="shared" si="17"/>
        <v>1</v>
      </c>
    </row>
    <row r="32" spans="1:29" ht="15">
      <c r="A32" s="440" t="s">
        <v>2563</v>
      </c>
      <c r="B32" s="71" t="s">
        <v>2564</v>
      </c>
      <c r="C32" s="2618" t="s">
        <v>3262</v>
      </c>
      <c r="D32" s="467">
        <v>100</v>
      </c>
      <c r="E32" s="2618" t="s">
        <v>3262</v>
      </c>
      <c r="F32" s="461">
        <f>SUMIF(100:100,E32,101:101)-SUMIF(100:100,C32,101:101)+100</f>
        <v>100</v>
      </c>
      <c r="G32" s="2618" t="s">
        <v>3276</v>
      </c>
      <c r="H32" s="467">
        <f>SUMIF(100:100,G32,101:101)-SUMIF(100:100,C32,101:101)+100</f>
        <v>110</v>
      </c>
      <c r="I32" s="2618" t="s">
        <v>3262</v>
      </c>
      <c r="J32" s="435">
        <f>SUMIF(100:100,I32,101:101)-SUMIF(100:100,C32,101:101)+100</f>
        <v>100</v>
      </c>
      <c r="K32" s="426">
        <v>5</v>
      </c>
      <c r="L32" s="1140"/>
      <c r="M32" s="1131"/>
      <c r="N32" s="1131"/>
      <c r="O32" s="1131"/>
      <c r="P32" s="3176" t="s">
        <v>2565</v>
      </c>
      <c r="Q32" s="1809" t="str">
        <f t="shared" si="11"/>
        <v>建筑类型</v>
      </c>
      <c r="R32" s="774" t="s">
        <v>21</v>
      </c>
      <c r="S32" s="775">
        <f t="shared" si="12"/>
        <v>100</v>
      </c>
      <c r="T32" s="774" t="s">
        <v>21</v>
      </c>
      <c r="U32" s="775">
        <f t="shared" si="13"/>
        <v>110</v>
      </c>
      <c r="V32" s="774" t="s">
        <v>21</v>
      </c>
      <c r="W32" s="775">
        <f t="shared" si="14"/>
        <v>100</v>
      </c>
      <c r="X32" s="1812"/>
      <c r="Y32" s="3179" t="s">
        <v>2565</v>
      </c>
      <c r="Z32" s="1813" t="str">
        <f t="shared" si="18"/>
        <v>建筑类型</v>
      </c>
      <c r="AA32" s="1810">
        <f t="shared" si="15"/>
        <v>1</v>
      </c>
      <c r="AB32" s="1810">
        <f t="shared" si="16"/>
        <v>0.90909090909090906</v>
      </c>
      <c r="AC32" s="1810">
        <f t="shared" si="17"/>
        <v>1</v>
      </c>
    </row>
    <row r="33" spans="1:29" s="471" customFormat="1" ht="15">
      <c r="A33" s="468"/>
      <c r="B33" s="422" t="s">
        <v>2566</v>
      </c>
      <c r="C33" s="469">
        <f>D3</f>
        <v>177.12</v>
      </c>
      <c r="D33" s="136">
        <v>100</v>
      </c>
      <c r="E33" s="430">
        <v>78</v>
      </c>
      <c r="F33" s="425">
        <f>LOOKUP(E33,103:103,104:104)-LOOKUP(C33,103:103,104:104)+100</f>
        <v>101</v>
      </c>
      <c r="G33" s="429">
        <v>190</v>
      </c>
      <c r="H33" s="136">
        <f>LOOKUP(G33,103:103,104:104)-LOOKUP(C33,103:103,104:104)+100</f>
        <v>100</v>
      </c>
      <c r="I33" s="430">
        <v>79</v>
      </c>
      <c r="J33" s="136">
        <f>LOOKUP(I33,103:103,104:104)-LOOKUP(C33,103:103,104:104)+100</f>
        <v>101</v>
      </c>
      <c r="K33" s="2602"/>
      <c r="L33" s="1138"/>
      <c r="M33" s="1141"/>
      <c r="N33" s="1141"/>
      <c r="O33" s="1141"/>
      <c r="P33" s="3177"/>
      <c r="Q33" s="776" t="str">
        <f t="shared" si="11"/>
        <v>项目建筑规模</v>
      </c>
      <c r="R33" s="777" t="s">
        <v>21</v>
      </c>
      <c r="S33" s="778">
        <f t="shared" si="12"/>
        <v>101</v>
      </c>
      <c r="T33" s="777" t="s">
        <v>21</v>
      </c>
      <c r="U33" s="778">
        <f t="shared" si="13"/>
        <v>100</v>
      </c>
      <c r="V33" s="777" t="s">
        <v>21</v>
      </c>
      <c r="W33" s="778">
        <f t="shared" si="14"/>
        <v>101</v>
      </c>
      <c r="X33" s="779"/>
      <c r="Y33" s="3179"/>
      <c r="Z33" s="780" t="str">
        <f t="shared" si="18"/>
        <v>项目建筑规模</v>
      </c>
      <c r="AA33" s="1810">
        <f t="shared" si="15"/>
        <v>0.99009900990099009</v>
      </c>
      <c r="AB33" s="1810">
        <f t="shared" si="16"/>
        <v>1</v>
      </c>
      <c r="AC33" s="1810">
        <f t="shared" si="17"/>
        <v>0.99009900990099009</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v>2</v>
      </c>
      <c r="L34" s="1140"/>
      <c r="M34" s="1131"/>
      <c r="N34" s="1131"/>
      <c r="O34" s="1131"/>
      <c r="P34" s="3177"/>
      <c r="Q34" s="1809" t="str">
        <f t="shared" si="11"/>
        <v>建筑结构</v>
      </c>
      <c r="R34" s="774" t="s">
        <v>21</v>
      </c>
      <c r="S34" s="775">
        <f t="shared" si="12"/>
        <v>100</v>
      </c>
      <c r="T34" s="774" t="s">
        <v>21</v>
      </c>
      <c r="U34" s="775">
        <f t="shared" si="13"/>
        <v>100</v>
      </c>
      <c r="V34" s="774" t="s">
        <v>21</v>
      </c>
      <c r="W34" s="775">
        <f t="shared" si="14"/>
        <v>100</v>
      </c>
      <c r="X34" s="1812"/>
      <c r="Y34" s="3179"/>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v>6</v>
      </c>
      <c r="L35" s="1140"/>
      <c r="M35" s="1131"/>
      <c r="N35" s="1131"/>
      <c r="O35" s="1131"/>
      <c r="P35" s="3177"/>
      <c r="Q35" s="1809" t="str">
        <f t="shared" si="11"/>
        <v>建筑品质</v>
      </c>
      <c r="R35" s="774" t="s">
        <v>21</v>
      </c>
      <c r="S35" s="775">
        <f t="shared" si="12"/>
        <v>100</v>
      </c>
      <c r="T35" s="774" t="s">
        <v>21</v>
      </c>
      <c r="U35" s="775">
        <f t="shared" si="13"/>
        <v>100</v>
      </c>
      <c r="V35" s="774" t="s">
        <v>21</v>
      </c>
      <c r="W35" s="775">
        <f t="shared" si="14"/>
        <v>100</v>
      </c>
      <c r="X35" s="1812"/>
      <c r="Y35" s="3179"/>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v>2</v>
      </c>
      <c r="L36" s="1140"/>
      <c r="M36" s="1131"/>
      <c r="N36" s="1131"/>
      <c r="O36" s="1131"/>
      <c r="P36" s="3177"/>
      <c r="Q36" s="1809" t="str">
        <f t="shared" si="11"/>
        <v>公共部分装修</v>
      </c>
      <c r="R36" s="774" t="s">
        <v>21</v>
      </c>
      <c r="S36" s="775">
        <f t="shared" si="12"/>
        <v>100</v>
      </c>
      <c r="T36" s="774" t="s">
        <v>21</v>
      </c>
      <c r="U36" s="775">
        <f t="shared" si="13"/>
        <v>100</v>
      </c>
      <c r="V36" s="774" t="s">
        <v>21</v>
      </c>
      <c r="W36" s="775">
        <f t="shared" si="14"/>
        <v>100</v>
      </c>
      <c r="X36" s="1812"/>
      <c r="Y36" s="3179"/>
      <c r="Z36" s="1813" t="str">
        <f t="shared" si="18"/>
        <v>公共部分装修</v>
      </c>
      <c r="AA36" s="1810">
        <f t="shared" si="15"/>
        <v>1</v>
      </c>
      <c r="AB36" s="1810">
        <f t="shared" si="16"/>
        <v>1</v>
      </c>
      <c r="AC36" s="1810">
        <f t="shared" si="17"/>
        <v>1</v>
      </c>
    </row>
    <row r="37" spans="1:29" s="117" customFormat="1" ht="15">
      <c r="A37" s="473"/>
      <c r="B37" s="422" t="s">
        <v>2570</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177"/>
      <c r="Q37" s="1794" t="str">
        <f t="shared" si="11"/>
        <v>成新度</v>
      </c>
      <c r="R37" s="770" t="s">
        <v>21</v>
      </c>
      <c r="S37" s="771">
        <f t="shared" si="12"/>
        <v>100</v>
      </c>
      <c r="T37" s="770" t="s">
        <v>21</v>
      </c>
      <c r="U37" s="771">
        <f t="shared" si="13"/>
        <v>100</v>
      </c>
      <c r="V37" s="770" t="s">
        <v>21</v>
      </c>
      <c r="W37" s="771">
        <f t="shared" si="14"/>
        <v>100</v>
      </c>
      <c r="X37" s="772"/>
      <c r="Y37" s="3179"/>
      <c r="Z37" s="55" t="str">
        <f t="shared" si="18"/>
        <v>成新度</v>
      </c>
      <c r="AA37" s="773">
        <f t="shared" si="15"/>
        <v>1</v>
      </c>
      <c r="AB37" s="773">
        <f t="shared" si="16"/>
        <v>1</v>
      </c>
      <c r="AC37" s="773">
        <f t="shared" si="17"/>
        <v>1</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v>2</v>
      </c>
      <c r="L38" s="1140"/>
      <c r="M38" s="1131"/>
      <c r="N38" s="1131"/>
      <c r="O38" s="1131"/>
      <c r="P38" s="3177" t="s">
        <v>2565</v>
      </c>
      <c r="Q38" s="1809" t="str">
        <f t="shared" si="11"/>
        <v>物业管理</v>
      </c>
      <c r="R38" s="774" t="s">
        <v>21</v>
      </c>
      <c r="S38" s="775">
        <f t="shared" si="12"/>
        <v>100</v>
      </c>
      <c r="T38" s="774" t="s">
        <v>21</v>
      </c>
      <c r="U38" s="775">
        <f t="shared" si="13"/>
        <v>100</v>
      </c>
      <c r="V38" s="774" t="s">
        <v>21</v>
      </c>
      <c r="W38" s="775">
        <f t="shared" si="14"/>
        <v>100</v>
      </c>
      <c r="X38" s="1812"/>
      <c r="Y38" s="3179"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v>1</v>
      </c>
      <c r="L39" s="1140"/>
      <c r="M39" s="1131"/>
      <c r="N39" s="1131"/>
      <c r="O39" s="1131"/>
      <c r="P39" s="3177"/>
      <c r="Q39" s="1809" t="str">
        <f t="shared" si="11"/>
        <v>市政基础设施</v>
      </c>
      <c r="R39" s="774" t="s">
        <v>21</v>
      </c>
      <c r="S39" s="775">
        <f t="shared" si="12"/>
        <v>100</v>
      </c>
      <c r="T39" s="774" t="s">
        <v>21</v>
      </c>
      <c r="U39" s="775">
        <f t="shared" si="13"/>
        <v>100</v>
      </c>
      <c r="V39" s="774" t="s">
        <v>21</v>
      </c>
      <c r="W39" s="775">
        <f t="shared" si="14"/>
        <v>100</v>
      </c>
      <c r="X39" s="1812"/>
      <c r="Y39" s="3179"/>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77"/>
      <c r="Q40" s="1809" t="str">
        <f t="shared" si="11"/>
        <v>房型</v>
      </c>
      <c r="R40" s="774" t="s">
        <v>21</v>
      </c>
      <c r="S40" s="775">
        <f t="shared" si="12"/>
        <v>100</v>
      </c>
      <c r="T40" s="774" t="s">
        <v>21</v>
      </c>
      <c r="U40" s="775">
        <f t="shared" si="13"/>
        <v>100</v>
      </c>
      <c r="V40" s="774" t="s">
        <v>21</v>
      </c>
      <c r="W40" s="775">
        <f t="shared" si="14"/>
        <v>100</v>
      </c>
      <c r="X40" s="1812"/>
      <c r="Y40" s="3179"/>
      <c r="Z40" s="1813" t="str">
        <f t="shared" si="18"/>
        <v>房型</v>
      </c>
      <c r="AA40" s="1810">
        <f t="shared" si="15"/>
        <v>1</v>
      </c>
      <c r="AB40" s="1810">
        <f t="shared" si="16"/>
        <v>1</v>
      </c>
      <c r="AC40" s="1810">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0">
        <f t="shared" si="15"/>
        <v>1</v>
      </c>
      <c r="AB41" s="1810">
        <f t="shared" si="16"/>
        <v>1</v>
      </c>
      <c r="AC41" s="1810">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v>2</v>
      </c>
      <c r="L42" s="1140"/>
      <c r="M42" s="1131"/>
      <c r="N42" s="1131"/>
      <c r="O42" s="1131"/>
      <c r="P42" s="3177"/>
      <c r="Q42" s="1809" t="str">
        <f t="shared" si="11"/>
        <v>内部装修</v>
      </c>
      <c r="R42" s="774" t="s">
        <v>21</v>
      </c>
      <c r="S42" s="775">
        <f t="shared" si="12"/>
        <v>100</v>
      </c>
      <c r="T42" s="774" t="s">
        <v>21</v>
      </c>
      <c r="U42" s="775">
        <f t="shared" si="13"/>
        <v>100</v>
      </c>
      <c r="V42" s="774" t="s">
        <v>21</v>
      </c>
      <c r="W42" s="775">
        <f t="shared" si="14"/>
        <v>100</v>
      </c>
      <c r="X42" s="1812"/>
      <c r="Y42" s="3179"/>
      <c r="Z42" s="1813" t="str">
        <f t="shared" si="18"/>
        <v>内部装修</v>
      </c>
      <c r="AA42" s="1810">
        <f t="shared" si="15"/>
        <v>1</v>
      </c>
      <c r="AB42" s="1810">
        <f t="shared" si="16"/>
        <v>1</v>
      </c>
      <c r="AC42" s="1810">
        <f t="shared" si="17"/>
        <v>1</v>
      </c>
    </row>
    <row r="43" spans="1:29" ht="28.8">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v>2</v>
      </c>
      <c r="L43" s="1140"/>
      <c r="M43" s="1131"/>
      <c r="N43" s="1131"/>
      <c r="O43" s="1131"/>
      <c r="P43" s="3177"/>
      <c r="Q43" s="1809" t="str">
        <f t="shared" si="11"/>
        <v>内部装修维护情况</v>
      </c>
      <c r="R43" s="774" t="s">
        <v>21</v>
      </c>
      <c r="S43" s="775">
        <f t="shared" si="12"/>
        <v>100</v>
      </c>
      <c r="T43" s="774" t="s">
        <v>21</v>
      </c>
      <c r="U43" s="775">
        <f t="shared" si="13"/>
        <v>100</v>
      </c>
      <c r="V43" s="774" t="s">
        <v>21</v>
      </c>
      <c r="W43" s="775">
        <f t="shared" si="14"/>
        <v>100</v>
      </c>
      <c r="X43" s="1812"/>
      <c r="Y43" s="317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77"/>
      <c r="Q44" s="1794">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77"/>
      <c r="Q45" s="1809">
        <f t="shared" si="11"/>
        <v>111</v>
      </c>
      <c r="R45" s="774" t="s">
        <v>21</v>
      </c>
      <c r="S45" s="775">
        <f t="shared" si="12"/>
        <v>100</v>
      </c>
      <c r="T45" s="774" t="s">
        <v>21</v>
      </c>
      <c r="U45" s="775">
        <f t="shared" si="13"/>
        <v>100</v>
      </c>
      <c r="V45" s="774" t="s">
        <v>21</v>
      </c>
      <c r="W45" s="775">
        <f t="shared" si="14"/>
        <v>100</v>
      </c>
      <c r="X45" s="1812"/>
      <c r="Y45" s="3179"/>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78"/>
      <c r="Q46" s="1809">
        <f t="shared" si="11"/>
        <v>111</v>
      </c>
      <c r="R46" s="774" t="s">
        <v>20</v>
      </c>
      <c r="S46" s="775">
        <f t="shared" si="12"/>
        <v>100</v>
      </c>
      <c r="T46" s="774" t="s">
        <v>20</v>
      </c>
      <c r="U46" s="775">
        <f t="shared" si="13"/>
        <v>100</v>
      </c>
      <c r="V46" s="774" t="s">
        <v>20</v>
      </c>
      <c r="W46" s="775">
        <f t="shared" si="14"/>
        <v>100</v>
      </c>
      <c r="X46" s="1812"/>
      <c r="Y46" s="3180"/>
      <c r="Z46" s="1813">
        <f t="shared" si="18"/>
        <v>111</v>
      </c>
      <c r="AA46" s="1810">
        <f t="shared" si="15"/>
        <v>1</v>
      </c>
      <c r="AB46" s="1810">
        <f t="shared" si="16"/>
        <v>1</v>
      </c>
      <c r="AC46" s="1810">
        <f t="shared" si="17"/>
        <v>1</v>
      </c>
    </row>
    <row r="47" spans="1:29" ht="14.4">
      <c r="A47" s="479" t="s">
        <v>2577</v>
      </c>
      <c r="B47" s="480"/>
      <c r="C47" s="1406" t="s">
        <v>19</v>
      </c>
      <c r="D47" s="1407"/>
      <c r="E47" s="1408">
        <v>20000</v>
      </c>
      <c r="F47" s="1409"/>
      <c r="G47" s="1410">
        <v>25000</v>
      </c>
      <c r="H47" s="1411"/>
      <c r="I47" s="1408">
        <v>25000</v>
      </c>
      <c r="J47" s="1411"/>
      <c r="K47" s="2621"/>
      <c r="L47" s="1143"/>
      <c r="M47" s="1144"/>
      <c r="N47" s="1131"/>
      <c r="O47" s="1144"/>
      <c r="P47" s="3172" t="str">
        <f>A47</f>
        <v>成交单价（元/平方米）</v>
      </c>
      <c r="Q47" s="3172"/>
      <c r="R47" s="3173">
        <f>E47</f>
        <v>20000</v>
      </c>
      <c r="S47" s="3173"/>
      <c r="T47" s="3173">
        <f>G47</f>
        <v>25000</v>
      </c>
      <c r="U47" s="3173"/>
      <c r="V47" s="3173">
        <f>I47</f>
        <v>25000</v>
      </c>
      <c r="W47" s="3173"/>
      <c r="X47" s="759"/>
      <c r="Y47" s="781"/>
      <c r="Z47" s="759"/>
      <c r="AA47" s="759"/>
      <c r="AB47" s="759"/>
      <c r="AC47" s="759"/>
    </row>
    <row r="48" spans="1:29" ht="15" thickBot="1">
      <c r="A48" s="486" t="s">
        <v>2578</v>
      </c>
      <c r="B48" s="487"/>
      <c r="C48" s="1412">
        <f>R49</f>
        <v>22469</v>
      </c>
      <c r="D48" s="1413"/>
      <c r="E48" s="1414">
        <f>R48</f>
        <v>19802</v>
      </c>
      <c r="F48" s="1414"/>
      <c r="G48" s="1412">
        <f>T48</f>
        <v>22727</v>
      </c>
      <c r="H48" s="1413"/>
      <c r="I48" s="1414">
        <f>V48</f>
        <v>24877</v>
      </c>
      <c r="J48" s="1413"/>
      <c r="K48" s="2622"/>
      <c r="L48" s="1143"/>
      <c r="M48" s="1144"/>
      <c r="N48" s="1144"/>
      <c r="O48" s="1144"/>
      <c r="P48" s="3172" t="str">
        <f>A48</f>
        <v>比较价值（元/平方米）</v>
      </c>
      <c r="Q48" s="3172"/>
      <c r="R48" s="3173">
        <f>IF(F1="售价",ROUND(PRODUCT(R47,AA7:AA46),0),ROUND(PRODUCT(R47,AA7:AA46),1))</f>
        <v>19802</v>
      </c>
      <c r="S48" s="3173"/>
      <c r="T48" s="3173">
        <f>IF(F1="售价",ROUND(PRODUCT(T47,AB7:AB46),0),ROUND(PRODUCT(T47,AB7:AB46),1))</f>
        <v>22727</v>
      </c>
      <c r="U48" s="3173"/>
      <c r="V48" s="3173">
        <f>IF(F1="售价",ROUND(PRODUCT(V47,AC7:AC46),0),ROUND(PRODUCT(V47,AC7:AC46),1))</f>
        <v>24877</v>
      </c>
      <c r="W48" s="3173"/>
      <c r="X48" s="759"/>
      <c r="Y48" s="759"/>
      <c r="Z48" s="759"/>
      <c r="AA48" s="759"/>
      <c r="AB48" s="759"/>
      <c r="AC48" s="759"/>
    </row>
    <row r="49" spans="1:29" ht="15" thickBot="1">
      <c r="A49" s="492" t="s">
        <v>2579</v>
      </c>
      <c r="B49" s="493"/>
      <c r="C49" s="1415">
        <f>R49</f>
        <v>22469</v>
      </c>
      <c r="D49" s="1416"/>
      <c r="E49" s="1416"/>
      <c r="F49" s="1416"/>
      <c r="G49" s="1416"/>
      <c r="H49" s="1416"/>
      <c r="I49" s="1416"/>
      <c r="J49" s="1416"/>
      <c r="K49" s="2623"/>
      <c r="L49" s="1143"/>
      <c r="M49" s="1144"/>
      <c r="N49" s="1144"/>
      <c r="O49" s="1144"/>
      <c r="P49" s="3169" t="str">
        <f>A49</f>
        <v>估价对象XX用房的比较价值（楼面单价，元/平方米）</v>
      </c>
      <c r="Q49" s="3170"/>
      <c r="R49" s="3171">
        <f>IF(F1="售价",ROUND(AVERAGE(R48:V48),0),ROUND(AVERAGE(R48:V48),1))</f>
        <v>22469</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9.9989900010100108E-3</v>
      </c>
      <c r="F52" s="500" t="str">
        <f>IF(OR(E52&gt;=0.3,E52&lt;=-0.3),"超过30%","")</f>
        <v/>
      </c>
      <c r="G52" s="499">
        <f>IF(G47&lt;G48,G48/G47-1,G47/G48-1)</f>
        <v>0.10001320015840198</v>
      </c>
      <c r="H52" s="500" t="str">
        <f>IF(OR(G52&gt;=0.3,G52&lt;=-0.3),"超过30%","")</f>
        <v/>
      </c>
      <c r="I52" s="499">
        <f>IF(I47&lt;I48,I48/I47-1,I47/I48-1)</f>
        <v>4.9443260843349268E-3</v>
      </c>
      <c r="J52" s="500" t="str">
        <f>IF(OR(I52&gt;=0.3,I52&lt;=-0.3),"超过30%","")</f>
        <v/>
      </c>
      <c r="K52" s="1105"/>
      <c r="L52" s="1106"/>
      <c r="M52" s="1144"/>
      <c r="N52" s="1144"/>
      <c r="O52" s="1144"/>
    </row>
    <row r="53" spans="1:29" ht="13.5" customHeight="1">
      <c r="A53" s="1144"/>
      <c r="B53" s="1144"/>
      <c r="C53" s="497" t="s">
        <v>2581</v>
      </c>
      <c r="D53" s="501"/>
      <c r="E53" s="499">
        <f>IF(E48&lt;G48,G48/E48-1,E48/G48-1)</f>
        <v>0.14771235228764779</v>
      </c>
      <c r="F53" s="500" t="str">
        <f>IF(OR(E53&gt;=0.2,E53&lt;=-0.2),"超过20%","")</f>
        <v/>
      </c>
      <c r="G53" s="499">
        <f>IF(G48&lt;I48,I48/G48-1,G48/I48-1)</f>
        <v>9.4601135213622456E-2</v>
      </c>
      <c r="H53" s="500" t="str">
        <f>IF(OR(G53&gt;=0.2,G53&lt;=-0.2),"超过20%","")</f>
        <v/>
      </c>
      <c r="I53" s="499">
        <f>IF(I48&lt;E48,E48/I48-1,I48/E48-1)</f>
        <v>0.25628724371275635</v>
      </c>
      <c r="J53" s="500" t="str">
        <f>IF(OR(I53&gt;=0.2,I53&lt;=-0.2),"超过20%","")</f>
        <v>超过20%</v>
      </c>
      <c r="K53" s="1105"/>
      <c r="L53" s="1106"/>
      <c r="M53" s="1144"/>
      <c r="N53" s="1144"/>
      <c r="O53" s="1144"/>
    </row>
    <row r="54" spans="1:29" s="502" customFormat="1" ht="13.5" customHeight="1">
      <c r="A54" s="1145"/>
      <c r="B54" s="1145"/>
      <c r="C54" s="497" t="s">
        <v>2582</v>
      </c>
      <c r="D54" s="501"/>
      <c r="E54" s="499">
        <f>IF(E47&lt;G47,G47/E47-1,E47/G47-1)</f>
        <v>0.25</v>
      </c>
      <c r="F54" s="500" t="str">
        <f>IF(OR(E54&gt;=0.3,E54&lt;=-0.3),"超过30%","")</f>
        <v/>
      </c>
      <c r="G54" s="499">
        <f>IF(G47&lt;I47,I47/G47-1,G47/I47-1)</f>
        <v>0</v>
      </c>
      <c r="H54" s="500" t="str">
        <f>IF(OR(G54&gt;=0.3,G54&lt;=-0.3),"超过30%","")</f>
        <v/>
      </c>
      <c r="I54" s="499">
        <f>IF(I47&lt;E47,E47/I47-1,I47/E47-1)</f>
        <v>0.25</v>
      </c>
      <c r="J54" s="500" t="str">
        <f>IF(OR(I54&gt;=0.3,I54&lt;=-0.3),"超过30%","")</f>
        <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2.2" thickBot="1">
      <c r="A57" s="763" t="s">
        <v>2583</v>
      </c>
      <c r="B57" s="759"/>
      <c r="C57" s="764"/>
      <c r="D57" s="764"/>
      <c r="E57" s="764"/>
      <c r="F57" s="765"/>
      <c r="G57" s="765"/>
      <c r="H57" s="764"/>
      <c r="I57" s="764"/>
      <c r="J57" s="764"/>
      <c r="K57" s="1160"/>
      <c r="L57" s="1161"/>
      <c r="M57" s="1159"/>
      <c r="N57" s="1159"/>
      <c r="O57" s="1159"/>
      <c r="P57" s="2626"/>
      <c r="Q57" s="504"/>
    </row>
    <row r="58" spans="1:29" s="508" customFormat="1" ht="14.4">
      <c r="A58" s="505" t="s">
        <v>2584</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c r="A59" s="509"/>
      <c r="B59" s="2627"/>
      <c r="C59" s="1572">
        <v>100</v>
      </c>
      <c r="D59" s="511">
        <v>100</v>
      </c>
      <c r="E59" s="512">
        <v>100</v>
      </c>
      <c r="F59" s="512">
        <v>99.5</v>
      </c>
      <c r="G59" s="512">
        <v>99.5</v>
      </c>
      <c r="H59" s="512">
        <v>99.5</v>
      </c>
      <c r="I59" s="512"/>
      <c r="J59" s="512"/>
      <c r="K59" s="512"/>
      <c r="L59" s="512"/>
      <c r="M59" s="513"/>
      <c r="N59" s="512"/>
      <c r="O59" s="513"/>
      <c r="P59" s="2628"/>
    </row>
    <row r="60" spans="1:29" s="117" customFormat="1" ht="15" thickBot="1">
      <c r="A60" s="515" t="s">
        <v>2585</v>
      </c>
      <c r="B60" s="516"/>
      <c r="C60" s="517">
        <v>0.5</v>
      </c>
      <c r="D60" s="518"/>
      <c r="E60" s="518"/>
      <c r="F60" s="518"/>
      <c r="G60" s="518"/>
      <c r="H60" s="518"/>
      <c r="I60" s="518"/>
      <c r="J60" s="518"/>
      <c r="K60" s="518"/>
      <c r="L60" s="518"/>
      <c r="M60" s="519"/>
      <c r="N60" s="518"/>
      <c r="O60" s="519"/>
      <c r="P60" s="2628"/>
      <c r="Q60" s="504"/>
    </row>
    <row r="61" spans="1:29" s="117" customFormat="1" ht="14.4">
      <c r="A61" s="521" t="s">
        <v>2586</v>
      </c>
      <c r="B61" s="510"/>
      <c r="C61" s="522" t="s">
        <v>2587</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2588</v>
      </c>
      <c r="B63" s="528" t="s">
        <v>2554</v>
      </c>
      <c r="C63" s="529" t="str">
        <f>C9</f>
        <v>住宅</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 thickTop="1">
      <c r="A67" s="534"/>
      <c r="B67" s="546" t="s">
        <v>2558</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c r="A68" s="534"/>
      <c r="B68" s="548"/>
      <c r="C68" s="549">
        <v>0</v>
      </c>
      <c r="D68" s="549">
        <v>1</v>
      </c>
      <c r="E68" s="549">
        <v>2</v>
      </c>
      <c r="F68" s="549">
        <v>3</v>
      </c>
      <c r="G68" s="549"/>
      <c r="H68" s="549"/>
      <c r="I68" s="549"/>
      <c r="J68" s="549"/>
      <c r="K68" s="550"/>
      <c r="L68" s="551"/>
      <c r="M68" s="552"/>
      <c r="N68" s="1152"/>
      <c r="O68" s="1152"/>
      <c r="P68" s="2630"/>
      <c r="Q68" s="504"/>
    </row>
    <row r="69" spans="1:17" ht="14.4"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60"/>
      <c r="E73" s="560"/>
      <c r="F73" s="560"/>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30"/>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 thickTop="1">
      <c r="A82" s="534"/>
      <c r="B82" s="546" t="s">
        <v>2097</v>
      </c>
      <c r="C82" s="539" t="s">
        <v>2604</v>
      </c>
      <c r="D82" s="539" t="s">
        <v>2605</v>
      </c>
      <c r="E82" s="539" t="s">
        <v>2606</v>
      </c>
      <c r="F82" s="539" t="s">
        <v>2607</v>
      </c>
      <c r="G82" s="539" t="s">
        <v>2608</v>
      </c>
      <c r="H82" s="539"/>
      <c r="I82" s="539"/>
      <c r="J82" s="539"/>
      <c r="K82" s="539"/>
      <c r="L82" s="539"/>
      <c r="M82" s="1381"/>
      <c r="N82" s="1153"/>
      <c r="O82" s="1153"/>
      <c r="P82" s="2630"/>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30"/>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3"/>
      <c r="O85" s="1153"/>
      <c r="P85" s="2630"/>
      <c r="Q85" s="504"/>
    </row>
    <row r="86" spans="1:17" s="117" customFormat="1" ht="15" thickTop="1">
      <c r="A86" s="579"/>
      <c r="B86" s="538" t="s">
        <v>2610</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 thickTop="1">
      <c r="A88" s="579"/>
      <c r="B88" s="538" t="s">
        <v>2611</v>
      </c>
      <c r="C88" s="554"/>
      <c r="D88" s="554"/>
      <c r="E88" s="554"/>
      <c r="F88" s="2635"/>
      <c r="G88" s="554"/>
      <c r="H88" s="554"/>
      <c r="I88" s="554"/>
      <c r="J88" s="554"/>
      <c r="K88" s="554"/>
      <c r="L88" s="554"/>
      <c r="M88" s="581"/>
      <c r="N88" s="1151"/>
      <c r="O88" s="1151"/>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4.4" thickTop="1">
      <c r="A90" s="553"/>
      <c r="B90" s="538">
        <f>B27</f>
        <v>111</v>
      </c>
      <c r="C90" s="554"/>
      <c r="D90" s="554"/>
      <c r="E90" s="554"/>
      <c r="F90" s="554"/>
      <c r="G90" s="554"/>
      <c r="H90" s="555"/>
      <c r="I90" s="555"/>
      <c r="J90" s="555"/>
      <c r="K90" s="555"/>
      <c r="L90" s="556"/>
      <c r="M90" s="557"/>
      <c r="N90" s="1154"/>
      <c r="O90" s="1154"/>
      <c r="P90" s="2631"/>
      <c r="Q90" s="559"/>
    </row>
    <row r="91" spans="1:17" s="471" customFormat="1" ht="14.4" thickBot="1">
      <c r="A91" s="553"/>
      <c r="B91" s="543"/>
      <c r="C91" s="560"/>
      <c r="D91" s="560"/>
      <c r="E91" s="560"/>
      <c r="F91" s="560"/>
      <c r="G91" s="560"/>
      <c r="H91" s="562"/>
      <c r="I91" s="562"/>
      <c r="J91" s="562"/>
      <c r="K91" s="562"/>
      <c r="L91" s="562"/>
      <c r="M91" s="563"/>
      <c r="N91" s="1154"/>
      <c r="O91" s="1154"/>
      <c r="P91" s="2631"/>
      <c r="Q91" s="559"/>
    </row>
    <row r="92" spans="1:17" ht="14.4" thickTop="1">
      <c r="A92" s="534"/>
      <c r="B92" s="538">
        <f>B28</f>
        <v>111</v>
      </c>
      <c r="C92" s="554"/>
      <c r="D92" s="554"/>
      <c r="E92" s="554"/>
      <c r="F92" s="554"/>
      <c r="G92" s="583"/>
      <c r="H92" s="583"/>
      <c r="I92" s="583"/>
      <c r="J92" s="583"/>
      <c r="K92" s="584"/>
      <c r="L92" s="585"/>
      <c r="M92" s="586"/>
      <c r="N92" s="1152"/>
      <c r="O92" s="1152"/>
      <c r="P92" s="2630"/>
      <c r="Q92" s="504"/>
    </row>
    <row r="93" spans="1:17" ht="14.4" thickBot="1">
      <c r="A93" s="534"/>
      <c r="B93" s="543"/>
      <c r="C93" s="560"/>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60"/>
      <c r="E95" s="560"/>
      <c r="F95" s="560"/>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70"/>
      <c r="D97" s="570"/>
      <c r="E97" s="570"/>
      <c r="F97" s="570"/>
      <c r="G97" s="536"/>
      <c r="H97" s="536"/>
      <c r="I97" s="536"/>
      <c r="J97" s="536"/>
      <c r="K97" s="536"/>
      <c r="L97" s="536"/>
      <c r="M97" s="537"/>
      <c r="N97" s="1153"/>
      <c r="O97" s="1153"/>
      <c r="P97" s="2630"/>
      <c r="Q97" s="504"/>
    </row>
    <row r="98" spans="1:17" ht="14.4" thickTop="1">
      <c r="A98" s="534"/>
      <c r="B98" s="546">
        <f>B31</f>
        <v>111</v>
      </c>
      <c r="C98" s="587"/>
      <c r="D98" s="587"/>
      <c r="E98" s="587"/>
      <c r="F98" s="587"/>
      <c r="G98" s="587"/>
      <c r="H98" s="587"/>
      <c r="I98" s="587"/>
      <c r="J98" s="587"/>
      <c r="K98" s="588"/>
      <c r="L98" s="589"/>
      <c r="M98" s="590"/>
      <c r="N98" s="1152"/>
      <c r="O98" s="1152"/>
      <c r="P98" s="2630"/>
      <c r="Q98" s="504"/>
    </row>
    <row r="99" spans="1:17" ht="14.4" thickBot="1">
      <c r="A99" s="2636"/>
      <c r="B99" s="569"/>
      <c r="C99" s="591"/>
      <c r="D99" s="591"/>
      <c r="E99" s="591"/>
      <c r="F99" s="591"/>
      <c r="G99" s="591"/>
      <c r="H99" s="591"/>
      <c r="I99" s="591"/>
      <c r="J99" s="591"/>
      <c r="K99" s="591"/>
      <c r="L99" s="591"/>
      <c r="M99" s="592"/>
      <c r="N99" s="1153"/>
      <c r="O99" s="1153"/>
      <c r="P99" s="2630"/>
      <c r="Q99" s="504"/>
    </row>
    <row r="100" spans="1:17" ht="14.4">
      <c r="A100" s="527" t="s">
        <v>2563</v>
      </c>
      <c r="B100" s="528" t="s">
        <v>2612</v>
      </c>
      <c r="C100" s="3301" t="s">
        <v>3277</v>
      </c>
      <c r="D100" s="3301" t="s">
        <v>3252</v>
      </c>
      <c r="E100" s="3301" t="s">
        <v>3253</v>
      </c>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30"/>
      <c r="Q101" s="504"/>
    </row>
    <row r="102" spans="1:17" ht="28.2" thickTop="1">
      <c r="A102" s="534"/>
      <c r="B102" s="538" t="s">
        <v>2613</v>
      </c>
      <c r="C102" s="578" t="str">
        <f>C103&amp;"(含)"&amp;"-"&amp;D103</f>
        <v>0(含)-90</v>
      </c>
      <c r="D102" s="578" t="str">
        <f t="shared" ref="D102:L102" si="27">D103&amp;"(含)"&amp;"-"&amp;E103</f>
        <v>90(含)-150</v>
      </c>
      <c r="E102" s="578" t="str">
        <f t="shared" si="27"/>
        <v>150(含)-210</v>
      </c>
      <c r="F102" s="578" t="str">
        <f t="shared" si="27"/>
        <v>210(含)-270</v>
      </c>
      <c r="G102" s="578" t="str">
        <f t="shared" si="27"/>
        <v>270(含)-330</v>
      </c>
      <c r="H102" s="578" t="str">
        <f t="shared" si="27"/>
        <v>330(含)-390</v>
      </c>
      <c r="I102" s="578" t="str">
        <f t="shared" si="27"/>
        <v>390(含)-450</v>
      </c>
      <c r="J102" s="578" t="str">
        <f t="shared" si="27"/>
        <v>450(含)-</v>
      </c>
      <c r="K102" s="578" t="str">
        <f>K103&amp;"(含)"&amp;"-"&amp;L103</f>
        <v>(含)-</v>
      </c>
      <c r="L102" s="578" t="str">
        <f t="shared" si="27"/>
        <v>(含)-</v>
      </c>
      <c r="M102" s="578" t="str">
        <f>M103&amp;"(含)"&amp;"-"&amp;P103</f>
        <v>(含)-</v>
      </c>
      <c r="N102" s="1151"/>
      <c r="O102" s="1151"/>
      <c r="P102" s="2630"/>
      <c r="Q102" s="504"/>
    </row>
    <row r="103" spans="1:17" s="471" customFormat="1">
      <c r="A103" s="593"/>
      <c r="B103" s="594"/>
      <c r="C103" s="709">
        <v>0</v>
      </c>
      <c r="D103" s="710">
        <v>90</v>
      </c>
      <c r="E103" s="710">
        <v>150</v>
      </c>
      <c r="F103" s="1703">
        <v>210</v>
      </c>
      <c r="G103" s="1703">
        <v>270</v>
      </c>
      <c r="H103" s="1703">
        <v>330</v>
      </c>
      <c r="I103" s="1703">
        <v>390</v>
      </c>
      <c r="J103" s="1703">
        <v>450</v>
      </c>
      <c r="K103" s="596"/>
      <c r="L103" s="597"/>
      <c r="M103" s="598"/>
      <c r="N103" s="1154"/>
      <c r="O103" s="1154"/>
      <c r="P103" s="2631"/>
      <c r="Q103" s="559"/>
    </row>
    <row r="104" spans="1:17" s="471" customFormat="1" ht="14.4" thickBot="1">
      <c r="A104" s="553"/>
      <c r="B104" s="543"/>
      <c r="C104" s="1210">
        <v>100</v>
      </c>
      <c r="D104" s="1211">
        <f>C104-0.5</f>
        <v>99.5</v>
      </c>
      <c r="E104" s="1211">
        <f t="shared" ref="E104:J104" si="28">D104-0.5</f>
        <v>99</v>
      </c>
      <c r="F104" s="1211">
        <f t="shared" si="28"/>
        <v>98.5</v>
      </c>
      <c r="G104" s="1211">
        <f t="shared" si="28"/>
        <v>98</v>
      </c>
      <c r="H104" s="1211">
        <f t="shared" si="28"/>
        <v>97.5</v>
      </c>
      <c r="I104" s="1211">
        <f t="shared" si="28"/>
        <v>97</v>
      </c>
      <c r="J104" s="1211">
        <f t="shared" si="28"/>
        <v>96.5</v>
      </c>
      <c r="K104" s="536"/>
      <c r="L104" s="536"/>
      <c r="M104" s="536"/>
      <c r="N104" s="1153"/>
      <c r="O104" s="1153"/>
      <c r="P104" s="2631"/>
      <c r="Q104" s="559"/>
    </row>
    <row r="105" spans="1:17" ht="15" thickTop="1">
      <c r="A105" s="599"/>
      <c r="B105" s="538" t="s">
        <v>2614</v>
      </c>
      <c r="C105" s="3299" t="s">
        <v>3250</v>
      </c>
      <c r="D105" s="3299" t="s">
        <v>3251</v>
      </c>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3"/>
      <c r="O106" s="1153"/>
      <c r="P106" s="2630"/>
      <c r="Q106" s="504"/>
    </row>
    <row r="107" spans="1:17" ht="15" thickTop="1">
      <c r="A107" s="599"/>
      <c r="B107" s="538" t="s">
        <v>2615</v>
      </c>
      <c r="C107" s="3299" t="s">
        <v>3250</v>
      </c>
      <c r="D107" s="3299" t="s">
        <v>3251</v>
      </c>
      <c r="E107" s="583"/>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30">C108-$K35</f>
        <v>94</v>
      </c>
      <c r="E108" s="544">
        <f t="shared" si="30"/>
        <v>88</v>
      </c>
      <c r="F108" s="544">
        <f t="shared" si="30"/>
        <v>82</v>
      </c>
      <c r="G108" s="544">
        <f t="shared" si="30"/>
        <v>76</v>
      </c>
      <c r="H108" s="544">
        <f t="shared" si="30"/>
        <v>70</v>
      </c>
      <c r="I108" s="544">
        <f t="shared" si="30"/>
        <v>64</v>
      </c>
      <c r="J108" s="544">
        <f t="shared" si="30"/>
        <v>58</v>
      </c>
      <c r="K108" s="544">
        <f t="shared" si="30"/>
        <v>52</v>
      </c>
      <c r="L108" s="544">
        <f t="shared" si="30"/>
        <v>46</v>
      </c>
      <c r="M108" s="544">
        <f t="shared" si="30"/>
        <v>40</v>
      </c>
      <c r="N108" s="1153"/>
      <c r="O108" s="1153"/>
      <c r="P108" s="2630"/>
      <c r="Q108" s="504"/>
    </row>
    <row r="109" spans="1:17" ht="15" thickTop="1">
      <c r="A109" s="599"/>
      <c r="B109" s="538" t="s">
        <v>2616</v>
      </c>
      <c r="C109" s="3299" t="s">
        <v>3246</v>
      </c>
      <c r="D109" s="3299" t="s">
        <v>3247</v>
      </c>
      <c r="E109" s="3299" t="s">
        <v>3248</v>
      </c>
      <c r="F109" s="3300" t="s">
        <v>3249</v>
      </c>
      <c r="G109" s="583"/>
      <c r="H109" s="583"/>
      <c r="I109" s="583"/>
      <c r="J109" s="583"/>
      <c r="K109" s="584"/>
      <c r="L109" s="585"/>
      <c r="M109" s="586"/>
      <c r="N109" s="1152"/>
      <c r="O109" s="1152"/>
      <c r="P109" s="2630"/>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1"/>
      <c r="Q113" s="559"/>
    </row>
    <row r="114" spans="1:17" ht="15" thickTop="1">
      <c r="A114" s="599"/>
      <c r="B114" s="538" t="s">
        <v>2617</v>
      </c>
      <c r="C114" s="3300" t="s">
        <v>3254</v>
      </c>
      <c r="D114" s="3300" t="s">
        <v>3255</v>
      </c>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3"/>
      <c r="O115" s="1153"/>
      <c r="P115" s="2630"/>
      <c r="Q115" s="504"/>
    </row>
    <row r="116" spans="1:17" ht="15" thickTop="1">
      <c r="A116" s="599"/>
      <c r="B116" s="538" t="s">
        <v>2618</v>
      </c>
      <c r="C116" s="3299" t="s">
        <v>3256</v>
      </c>
      <c r="D116" s="554" t="s">
        <v>3257</v>
      </c>
      <c r="E116" s="554" t="s">
        <v>3258</v>
      </c>
      <c r="F116" s="554" t="s">
        <v>3259</v>
      </c>
      <c r="G116" s="554" t="s">
        <v>3260</v>
      </c>
      <c r="H116" s="583"/>
      <c r="I116" s="583"/>
      <c r="J116" s="583"/>
      <c r="K116" s="584"/>
      <c r="L116" s="585"/>
      <c r="M116" s="586"/>
      <c r="N116" s="1152"/>
      <c r="O116" s="1152"/>
      <c r="P116" s="263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0"/>
      <c r="Q117" s="504"/>
    </row>
    <row r="118" spans="1:17" ht="15" thickTop="1">
      <c r="A118" s="599"/>
      <c r="B118" s="538" t="s">
        <v>2619</v>
      </c>
      <c r="C118" s="583"/>
      <c r="D118" s="583"/>
      <c r="E118" s="583"/>
      <c r="F118" s="583"/>
      <c r="G118" s="583"/>
      <c r="H118" s="583"/>
      <c r="I118" s="583"/>
      <c r="J118" s="583"/>
      <c r="K118" s="584"/>
      <c r="L118" s="585"/>
      <c r="M118" s="586"/>
      <c r="N118" s="1152"/>
      <c r="O118" s="1152"/>
      <c r="P118" s="2630"/>
      <c r="Q118" s="504"/>
    </row>
    <row r="119" spans="1:17" ht="14.4"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30"/>
      <c r="Q119" s="504"/>
    </row>
    <row r="120" spans="1:17" s="471" customFormat="1" ht="29.4" thickTop="1">
      <c r="A120" s="593"/>
      <c r="B120" s="538" t="s">
        <v>2574</v>
      </c>
      <c r="C120" s="554"/>
      <c r="D120" s="554"/>
      <c r="E120" s="554"/>
      <c r="F120" s="554"/>
      <c r="G120" s="554"/>
      <c r="H120" s="554"/>
      <c r="I120" s="554"/>
      <c r="J120" s="554"/>
      <c r="K120" s="554"/>
      <c r="L120" s="580"/>
      <c r="M120" s="581"/>
      <c r="N120" s="1154"/>
      <c r="O120" s="1154"/>
      <c r="P120" s="2631"/>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2620</v>
      </c>
      <c r="C122" s="3299" t="s">
        <v>3246</v>
      </c>
      <c r="D122" s="3299" t="s">
        <v>3247</v>
      </c>
      <c r="E122" s="3299" t="s">
        <v>3248</v>
      </c>
      <c r="F122" s="3300" t="s">
        <v>3249</v>
      </c>
      <c r="G122" s="583"/>
      <c r="H122" s="583"/>
      <c r="I122" s="583"/>
      <c r="J122" s="583"/>
      <c r="K122" s="584"/>
      <c r="L122" s="585"/>
      <c r="M122" s="586"/>
      <c r="N122" s="1152"/>
      <c r="O122" s="1152"/>
      <c r="P122" s="2630"/>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30"/>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60"/>
      <c r="E129" s="560"/>
      <c r="F129" s="560"/>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4">
        <v>6</v>
      </c>
      <c r="C139" s="1085">
        <v>96</v>
      </c>
      <c r="D139" s="2648" t="s">
        <v>2631</v>
      </c>
      <c r="E139" s="1086">
        <v>100</v>
      </c>
      <c r="F139" s="1087">
        <v>102.5</v>
      </c>
      <c r="G139" s="2648" t="s">
        <v>2631</v>
      </c>
      <c r="H139" s="1088">
        <v>105</v>
      </c>
      <c r="I139" s="2649" t="s">
        <v>2632</v>
      </c>
      <c r="J139" s="1085">
        <v>20</v>
      </c>
      <c r="K139" s="1089">
        <f>C145/(J139-2)</f>
        <v>4.0555555555555553E-3</v>
      </c>
    </row>
    <row r="140" spans="1:17" ht="15">
      <c r="B140" s="1090">
        <v>5</v>
      </c>
      <c r="C140" s="1091">
        <v>100</v>
      </c>
      <c r="D140" s="1091"/>
      <c r="E140" s="1092"/>
      <c r="F140" s="1093">
        <v>102</v>
      </c>
      <c r="G140" s="1091"/>
      <c r="H140" s="1094"/>
      <c r="I140" s="2650" t="s">
        <v>2633</v>
      </c>
      <c r="J140" s="315">
        <f>ROUNDUP((J139-1)/2,0)</f>
        <v>10</v>
      </c>
      <c r="K140" s="1095">
        <v>100</v>
      </c>
    </row>
    <row r="141" spans="1:17" ht="15">
      <c r="B141" s="1090">
        <v>4</v>
      </c>
      <c r="C141" s="1091">
        <v>102</v>
      </c>
      <c r="D141" s="1091"/>
      <c r="E141" s="1092"/>
      <c r="F141" s="1093">
        <v>101.5</v>
      </c>
      <c r="G141" s="1091"/>
      <c r="H141" s="1094"/>
      <c r="I141" s="2650" t="s">
        <v>2634</v>
      </c>
      <c r="J141" s="315">
        <v>1</v>
      </c>
      <c r="K141" s="1096">
        <f>ROUND(100+(J141-J140)*K139*100,1)</f>
        <v>96.4</v>
      </c>
    </row>
    <row r="142" spans="1:17" ht="15">
      <c r="B142" s="1090">
        <v>3</v>
      </c>
      <c r="C142" s="1091">
        <v>103</v>
      </c>
      <c r="D142" s="1091"/>
      <c r="E142" s="1092"/>
      <c r="F142" s="1093">
        <v>101</v>
      </c>
      <c r="G142" s="1091"/>
      <c r="H142" s="1094"/>
      <c r="I142" s="2650" t="s">
        <v>2635</v>
      </c>
      <c r="J142" s="315">
        <f>J139</f>
        <v>20</v>
      </c>
      <c r="K142" s="1097">
        <v>95</v>
      </c>
    </row>
    <row r="143" spans="1:17" ht="15">
      <c r="B143" s="1090">
        <v>2</v>
      </c>
      <c r="C143" s="1091">
        <v>100</v>
      </c>
      <c r="D143" s="1091"/>
      <c r="E143" s="1092"/>
      <c r="F143" s="1093">
        <v>100.5</v>
      </c>
      <c r="G143" s="1091"/>
      <c r="H143" s="1094"/>
      <c r="I143" s="2650" t="s">
        <v>2636</v>
      </c>
      <c r="J143" s="1091">
        <v>15</v>
      </c>
      <c r="K143" s="1096">
        <f>ROUND(100+(J143-J140)*K139*100,1)</f>
        <v>102</v>
      </c>
    </row>
    <row r="144" spans="1:17" ht="15">
      <c r="B144" s="1090">
        <v>1</v>
      </c>
      <c r="C144" s="1091">
        <v>98</v>
      </c>
      <c r="D144" s="2651" t="s">
        <v>2637</v>
      </c>
      <c r="E144" s="1092">
        <v>102</v>
      </c>
      <c r="F144" s="1098">
        <v>100</v>
      </c>
      <c r="G144" s="2651" t="s">
        <v>2637</v>
      </c>
      <c r="H144" s="1094">
        <v>105</v>
      </c>
      <c r="I144" s="2650" t="s">
        <v>2636</v>
      </c>
      <c r="J144" s="1091">
        <v>18</v>
      </c>
      <c r="K144" s="1096">
        <f>ROUND(100+(J144-J140)*K139*100,1)</f>
        <v>103.2</v>
      </c>
    </row>
    <row r="145" spans="2:11" ht="16.2" thickBot="1">
      <c r="B145" s="2652" t="s">
        <v>2638</v>
      </c>
      <c r="C145" s="1099">
        <f>ROUND(MAX(C139:C144)/MIN(C139:C144)-1,3)</f>
        <v>7.2999999999999995E-2</v>
      </c>
      <c r="D145" s="1100"/>
      <c r="E145" s="1100"/>
      <c r="F145" s="2653" t="s">
        <v>2639</v>
      </c>
      <c r="G145" s="2654"/>
      <c r="H145" s="2655"/>
      <c r="I145" s="2656" t="s">
        <v>2636</v>
      </c>
      <c r="J145" s="1101">
        <v>8</v>
      </c>
      <c r="K145" s="1102">
        <f>ROUND(100+(J145-J140)*K139*100,1)</f>
        <v>99.2</v>
      </c>
    </row>
    <row r="147" spans="2:11" ht="14.4">
      <c r="B147" s="2637" t="s">
        <v>2640</v>
      </c>
    </row>
    <row r="148" spans="2:11" ht="14.4">
      <c r="B148" s="263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4" t="s">
        <v>2642</v>
      </c>
      <c r="C1" s="1633" t="s">
        <v>2530</v>
      </c>
      <c r="D1" s="1620"/>
      <c r="E1" s="2657"/>
      <c r="F1" s="2586"/>
      <c r="G1" s="1630" t="s">
        <v>2643</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2644</v>
      </c>
      <c r="D3" s="399">
        <f>IF(D1="",'数据-汇总表'!E3,SUMIF('数据-汇总表'!$C19:$C33,D1,'数据-汇总表'!$E19:$E33))</f>
        <v>177.12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203" t="s">
        <v>2648</v>
      </c>
      <c r="AC4" s="3184" t="s">
        <v>2649</v>
      </c>
    </row>
    <row r="5" spans="1:29">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203"/>
      <c r="AC5" s="3185"/>
    </row>
    <row r="6" spans="1:29" ht="1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2"/>
      <c r="Y6" s="3201"/>
      <c r="Z6" s="3202"/>
      <c r="AA6" s="3186"/>
      <c r="AB6" s="3203"/>
      <c r="AC6" s="3186"/>
    </row>
    <row r="7" spans="1:29" s="117" customFormat="1" ht="15" thickBot="1">
      <c r="A7" s="408" t="s">
        <v>2548</v>
      </c>
      <c r="B7" s="409"/>
      <c r="C7" s="410">
        <f>'数据-取费表'!B2</f>
        <v>43689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69">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2560</v>
      </c>
      <c r="Q15" s="1809" t="str">
        <f t="shared" si="6"/>
        <v>商业繁华度</v>
      </c>
      <c r="R15" s="774" t="s">
        <v>17</v>
      </c>
      <c r="S15" s="775">
        <f t="shared" si="0"/>
        <v>100</v>
      </c>
      <c r="T15" s="774" t="s">
        <v>17</v>
      </c>
      <c r="U15" s="775">
        <f t="shared" si="1"/>
        <v>100</v>
      </c>
      <c r="V15" s="774" t="s">
        <v>17</v>
      </c>
      <c r="W15" s="775">
        <f t="shared" si="2"/>
        <v>100</v>
      </c>
      <c r="X15" s="1812"/>
      <c r="Y15" s="3174"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2"/>
      <c r="Q16" s="1809"/>
      <c r="R16" s="774"/>
      <c r="S16" s="775"/>
      <c r="T16" s="774"/>
      <c r="U16" s="775"/>
      <c r="V16" s="774"/>
      <c r="W16" s="775"/>
      <c r="X16" s="1812"/>
      <c r="Y16" s="3175"/>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182"/>
      <c r="Q18" s="1809"/>
      <c r="R18" s="774"/>
      <c r="S18" s="775"/>
      <c r="T18" s="774"/>
      <c r="U18" s="775"/>
      <c r="V18" s="774"/>
      <c r="W18" s="775"/>
      <c r="X18" s="1812"/>
      <c r="Y18" s="3175"/>
      <c r="Z18" s="1813"/>
      <c r="AA18" s="1810">
        <v>1</v>
      </c>
      <c r="AB18" s="1810">
        <v>1</v>
      </c>
      <c r="AC18" s="1810">
        <v>1</v>
      </c>
    </row>
    <row r="19" spans="1:29" ht="41.4">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182"/>
      <c r="Q20" s="1809"/>
      <c r="R20" s="774"/>
      <c r="S20" s="775"/>
      <c r="T20" s="774"/>
      <c r="U20" s="775"/>
      <c r="V20" s="774"/>
      <c r="W20" s="775"/>
      <c r="X20" s="1812"/>
      <c r="Y20" s="3175"/>
      <c r="Z20" s="1813"/>
      <c r="AA20" s="1810">
        <v>1</v>
      </c>
      <c r="AB20" s="1810">
        <v>1</v>
      </c>
      <c r="AC20" s="1810">
        <v>1</v>
      </c>
    </row>
    <row r="21" spans="1:29" ht="27.6">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182"/>
      <c r="Q22" s="1809"/>
      <c r="R22" s="774"/>
      <c r="S22" s="775"/>
      <c r="T22" s="774"/>
      <c r="U22" s="775"/>
      <c r="V22" s="774"/>
      <c r="W22" s="775"/>
      <c r="X22" s="1812"/>
      <c r="Y22" s="3175"/>
      <c r="Z22" s="1813"/>
      <c r="AA22" s="1810">
        <v>1</v>
      </c>
      <c r="AB22" s="1810">
        <v>1</v>
      </c>
      <c r="AC22" s="1810">
        <v>1</v>
      </c>
    </row>
    <row r="23" spans="1:29" ht="55.2">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09" t="str">
        <f>B23</f>
        <v>自然及人文环境</v>
      </c>
      <c r="R23" s="774" t="s">
        <v>17</v>
      </c>
      <c r="S23" s="775">
        <f>F23</f>
        <v>100</v>
      </c>
      <c r="T23" s="774" t="s">
        <v>17</v>
      </c>
      <c r="U23" s="775">
        <f>H23</f>
        <v>100</v>
      </c>
      <c r="V23" s="774" t="s">
        <v>17</v>
      </c>
      <c r="W23" s="775">
        <f>J23</f>
        <v>100</v>
      </c>
      <c r="X23" s="1812"/>
      <c r="Y23" s="3175"/>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182"/>
      <c r="Q24" s="1809"/>
      <c r="R24" s="774"/>
      <c r="S24" s="775"/>
      <c r="T24" s="774"/>
      <c r="U24" s="775"/>
      <c r="V24" s="774"/>
      <c r="W24" s="775"/>
      <c r="X24" s="1812"/>
      <c r="Y24" s="3175"/>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09" t="str">
        <f t="shared" ref="Q25:Q46" si="11">B25</f>
        <v>临街状况</v>
      </c>
      <c r="R25" s="774" t="s">
        <v>17</v>
      </c>
      <c r="S25" s="775">
        <f>F25</f>
        <v>100</v>
      </c>
      <c r="T25" s="774" t="s">
        <v>17</v>
      </c>
      <c r="U25" s="775">
        <f>H25</f>
        <v>100</v>
      </c>
      <c r="V25" s="774" t="s">
        <v>17</v>
      </c>
      <c r="W25" s="775">
        <f>J25</f>
        <v>100</v>
      </c>
      <c r="X25" s="1812"/>
      <c r="Y25" s="3175"/>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09" t="str">
        <f t="shared" si="11"/>
        <v>平面位置/可视性</v>
      </c>
      <c r="R26" s="774" t="s">
        <v>17</v>
      </c>
      <c r="S26" s="775">
        <f>F26</f>
        <v>100</v>
      </c>
      <c r="T26" s="774" t="s">
        <v>17</v>
      </c>
      <c r="U26" s="775">
        <f>H26</f>
        <v>100</v>
      </c>
      <c r="V26" s="774" t="s">
        <v>17</v>
      </c>
      <c r="W26" s="775">
        <f>J26</f>
        <v>100</v>
      </c>
      <c r="X26" s="1812"/>
      <c r="Y26" s="3175"/>
      <c r="Z26" s="1813" t="str">
        <f>Q26</f>
        <v>平面位置/可视性</v>
      </c>
      <c r="AA26" s="1810">
        <f t="shared" si="3"/>
        <v>1</v>
      </c>
      <c r="AB26" s="1810">
        <f t="shared" si="4"/>
        <v>1</v>
      </c>
      <c r="AC26" s="1810">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2"/>
      <c r="Q27" s="1794" t="str">
        <f t="shared" si="11"/>
        <v>人流量</v>
      </c>
      <c r="R27" s="770" t="s">
        <v>17</v>
      </c>
      <c r="S27" s="771">
        <f>F27</f>
        <v>100</v>
      </c>
      <c r="T27" s="770" t="s">
        <v>17</v>
      </c>
      <c r="U27" s="771">
        <f>H27</f>
        <v>100</v>
      </c>
      <c r="V27" s="770" t="s">
        <v>17</v>
      </c>
      <c r="W27" s="771">
        <f>J27</f>
        <v>100</v>
      </c>
      <c r="X27" s="772"/>
      <c r="Y27" s="3175"/>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5"/>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09">
        <f t="shared" si="11"/>
        <v>111</v>
      </c>
      <c r="R29" s="774" t="s">
        <v>17</v>
      </c>
      <c r="S29" s="775">
        <f t="shared" si="12"/>
        <v>100</v>
      </c>
      <c r="T29" s="774" t="s">
        <v>17</v>
      </c>
      <c r="U29" s="775">
        <f t="shared" si="13"/>
        <v>100</v>
      </c>
      <c r="V29" s="774" t="s">
        <v>17</v>
      </c>
      <c r="W29" s="775">
        <f t="shared" si="14"/>
        <v>100</v>
      </c>
      <c r="X29" s="1812"/>
      <c r="Y29" s="317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09">
        <f t="shared" si="11"/>
        <v>111</v>
      </c>
      <c r="R30" s="774" t="s">
        <v>17</v>
      </c>
      <c r="S30" s="775">
        <f t="shared" si="12"/>
        <v>100</v>
      </c>
      <c r="T30" s="774" t="s">
        <v>17</v>
      </c>
      <c r="U30" s="775">
        <f t="shared" si="13"/>
        <v>100</v>
      </c>
      <c r="V30" s="774" t="s">
        <v>17</v>
      </c>
      <c r="W30" s="775">
        <f t="shared" si="14"/>
        <v>100</v>
      </c>
      <c r="X30" s="1812"/>
      <c r="Y30" s="3175"/>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09">
        <f t="shared" si="11"/>
        <v>111</v>
      </c>
      <c r="R31" s="774" t="s">
        <v>17</v>
      </c>
      <c r="S31" s="775">
        <f t="shared" si="12"/>
        <v>100</v>
      </c>
      <c r="T31" s="774" t="s">
        <v>17</v>
      </c>
      <c r="U31" s="775">
        <f t="shared" si="13"/>
        <v>100</v>
      </c>
      <c r="V31" s="774" t="s">
        <v>17</v>
      </c>
      <c r="W31" s="775">
        <f t="shared" si="14"/>
        <v>100</v>
      </c>
      <c r="X31" s="1812"/>
      <c r="Y31" s="3175"/>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76" t="s">
        <v>2565</v>
      </c>
      <c r="Q32" s="1809" t="str">
        <f t="shared" si="11"/>
        <v>商业类型</v>
      </c>
      <c r="R32" s="774" t="s">
        <v>17</v>
      </c>
      <c r="S32" s="775">
        <f t="shared" si="12"/>
        <v>100</v>
      </c>
      <c r="T32" s="774" t="s">
        <v>17</v>
      </c>
      <c r="U32" s="775">
        <f t="shared" si="13"/>
        <v>100</v>
      </c>
      <c r="V32" s="774" t="s">
        <v>17</v>
      </c>
      <c r="W32" s="775">
        <f t="shared" si="14"/>
        <v>100</v>
      </c>
      <c r="X32" s="1812"/>
      <c r="Y32" s="3179"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0" t="e">
        <f t="shared" si="3"/>
        <v>#N/A</v>
      </c>
      <c r="AB33" s="1810" t="e">
        <f t="shared" si="4"/>
        <v>#N/A</v>
      </c>
      <c r="AC33" s="1810"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77"/>
      <c r="Q34" s="1809" t="str">
        <f t="shared" si="11"/>
        <v>建筑结构</v>
      </c>
      <c r="R34" s="774" t="s">
        <v>17</v>
      </c>
      <c r="S34" s="775">
        <f t="shared" si="12"/>
        <v>100</v>
      </c>
      <c r="T34" s="774" t="s">
        <v>17</v>
      </c>
      <c r="U34" s="775">
        <f t="shared" si="13"/>
        <v>100</v>
      </c>
      <c r="V34" s="774" t="s">
        <v>17</v>
      </c>
      <c r="W34" s="775">
        <f t="shared" si="14"/>
        <v>100</v>
      </c>
      <c r="X34" s="1812"/>
      <c r="Y34" s="3179"/>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77"/>
      <c r="Q35" s="1809" t="str">
        <f t="shared" si="11"/>
        <v>公共部分装修</v>
      </c>
      <c r="R35" s="774" t="s">
        <v>17</v>
      </c>
      <c r="S35" s="775">
        <f t="shared" si="12"/>
        <v>100</v>
      </c>
      <c r="T35" s="774" t="s">
        <v>17</v>
      </c>
      <c r="U35" s="775">
        <f t="shared" si="13"/>
        <v>100</v>
      </c>
      <c r="V35" s="774" t="s">
        <v>17</v>
      </c>
      <c r="W35" s="775">
        <f t="shared" si="14"/>
        <v>100</v>
      </c>
      <c r="X35" s="1812"/>
      <c r="Y35" s="3179"/>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7"/>
      <c r="Q36" s="1809" t="str">
        <f t="shared" si="11"/>
        <v>成新度</v>
      </c>
      <c r="R36" s="774" t="s">
        <v>17</v>
      </c>
      <c r="S36" s="775" t="e">
        <f t="shared" si="12"/>
        <v>#N/A</v>
      </c>
      <c r="T36" s="774" t="s">
        <v>17</v>
      </c>
      <c r="U36" s="775" t="e">
        <f t="shared" si="13"/>
        <v>#N/A</v>
      </c>
      <c r="V36" s="774" t="s">
        <v>17</v>
      </c>
      <c r="W36" s="775" t="e">
        <f t="shared" si="14"/>
        <v>#N/A</v>
      </c>
      <c r="X36" s="1812"/>
      <c r="Y36" s="3179"/>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7"/>
      <c r="Q37" s="1794"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7" t="s">
        <v>2565</v>
      </c>
      <c r="Q38" s="1809" t="str">
        <f t="shared" si="11"/>
        <v>业态</v>
      </c>
      <c r="R38" s="774" t="s">
        <v>17</v>
      </c>
      <c r="S38" s="775">
        <f t="shared" si="12"/>
        <v>100</v>
      </c>
      <c r="T38" s="774" t="s">
        <v>17</v>
      </c>
      <c r="U38" s="775">
        <f t="shared" si="13"/>
        <v>100</v>
      </c>
      <c r="V38" s="774" t="s">
        <v>17</v>
      </c>
      <c r="W38" s="775">
        <f t="shared" si="14"/>
        <v>100</v>
      </c>
      <c r="X38" s="1812"/>
      <c r="Y38" s="3179"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77"/>
      <c r="Q39" s="1809" t="str">
        <f t="shared" si="11"/>
        <v>层高</v>
      </c>
      <c r="R39" s="774" t="s">
        <v>17</v>
      </c>
      <c r="S39" s="775">
        <f t="shared" si="12"/>
        <v>100</v>
      </c>
      <c r="T39" s="774" t="s">
        <v>17</v>
      </c>
      <c r="U39" s="775">
        <f t="shared" si="13"/>
        <v>100</v>
      </c>
      <c r="V39" s="774" t="s">
        <v>17</v>
      </c>
      <c r="W39" s="775">
        <f t="shared" si="14"/>
        <v>100</v>
      </c>
      <c r="X39" s="1812"/>
      <c r="Y39" s="3179"/>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09" t="str">
        <f t="shared" si="11"/>
        <v>单套建筑面积</v>
      </c>
      <c r="R40" s="774" t="s">
        <v>17</v>
      </c>
      <c r="S40" s="775">
        <f t="shared" si="12"/>
        <v>100</v>
      </c>
      <c r="T40" s="774" t="s">
        <v>17</v>
      </c>
      <c r="U40" s="775">
        <f t="shared" si="13"/>
        <v>100</v>
      </c>
      <c r="V40" s="774" t="s">
        <v>17</v>
      </c>
      <c r="W40" s="775">
        <f t="shared" si="14"/>
        <v>100</v>
      </c>
      <c r="X40" s="1812"/>
      <c r="Y40" s="3179"/>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77"/>
      <c r="Q42" s="1809" t="str">
        <f t="shared" si="11"/>
        <v>内部装修</v>
      </c>
      <c r="R42" s="774" t="s">
        <v>17</v>
      </c>
      <c r="S42" s="775">
        <f t="shared" si="12"/>
        <v>100</v>
      </c>
      <c r="T42" s="774" t="s">
        <v>17</v>
      </c>
      <c r="U42" s="775">
        <f t="shared" si="13"/>
        <v>100</v>
      </c>
      <c r="V42" s="774" t="s">
        <v>17</v>
      </c>
      <c r="W42" s="775">
        <f t="shared" si="14"/>
        <v>100</v>
      </c>
      <c r="X42" s="1812"/>
      <c r="Y42" s="3179"/>
      <c r="Z42" s="1813" t="str">
        <f t="shared" si="15"/>
        <v>内部装修</v>
      </c>
      <c r="AA42" s="1810">
        <f t="shared" si="3"/>
        <v>1</v>
      </c>
      <c r="AB42" s="1810">
        <f t="shared" si="4"/>
        <v>1</v>
      </c>
      <c r="AC42" s="1810">
        <f t="shared" si="5"/>
        <v>1</v>
      </c>
    </row>
    <row r="43" spans="1:29" ht="28.8">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77"/>
      <c r="Q43" s="1809" t="str">
        <f t="shared" si="11"/>
        <v>内部装修维护情况</v>
      </c>
      <c r="R43" s="774" t="s">
        <v>17</v>
      </c>
      <c r="S43" s="775">
        <f t="shared" si="12"/>
        <v>100</v>
      </c>
      <c r="T43" s="774" t="s">
        <v>17</v>
      </c>
      <c r="U43" s="775">
        <f t="shared" si="13"/>
        <v>100</v>
      </c>
      <c r="V43" s="774" t="s">
        <v>17</v>
      </c>
      <c r="W43" s="775">
        <f t="shared" si="14"/>
        <v>100</v>
      </c>
      <c r="X43" s="1812"/>
      <c r="Y43" s="317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4">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09">
        <f t="shared" si="11"/>
        <v>111</v>
      </c>
      <c r="R45" s="774" t="s">
        <v>17</v>
      </c>
      <c r="S45" s="775">
        <f t="shared" si="12"/>
        <v>100</v>
      </c>
      <c r="T45" s="774" t="s">
        <v>17</v>
      </c>
      <c r="U45" s="775">
        <f t="shared" si="13"/>
        <v>100</v>
      </c>
      <c r="V45" s="774" t="s">
        <v>17</v>
      </c>
      <c r="W45" s="775">
        <f t="shared" si="14"/>
        <v>100</v>
      </c>
      <c r="X45" s="1812"/>
      <c r="Y45" s="3179"/>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09">
        <f t="shared" si="11"/>
        <v>111</v>
      </c>
      <c r="R46" s="774" t="s">
        <v>17</v>
      </c>
      <c r="S46" s="775">
        <f t="shared" si="12"/>
        <v>100</v>
      </c>
      <c r="T46" s="774" t="s">
        <v>17</v>
      </c>
      <c r="U46" s="775">
        <f t="shared" si="13"/>
        <v>100</v>
      </c>
      <c r="V46" s="774" t="s">
        <v>17</v>
      </c>
      <c r="W46" s="775">
        <f t="shared" si="14"/>
        <v>100</v>
      </c>
      <c r="X46" s="1812"/>
      <c r="Y46" s="3180"/>
      <c r="Z46" s="1813">
        <f t="shared" si="15"/>
        <v>111</v>
      </c>
      <c r="AA46" s="1810">
        <f t="shared" si="3"/>
        <v>1</v>
      </c>
      <c r="AB46" s="1810">
        <f t="shared" si="4"/>
        <v>1</v>
      </c>
      <c r="AC46" s="1810">
        <f t="shared" si="5"/>
        <v>1</v>
      </c>
    </row>
    <row r="47" spans="1:29" ht="14.4">
      <c r="A47" s="479" t="s">
        <v>2577</v>
      </c>
      <c r="B47" s="480"/>
      <c r="C47" s="1406" t="s">
        <v>1</v>
      </c>
      <c r="D47" s="1407"/>
      <c r="E47" s="1408"/>
      <c r="F47" s="1409"/>
      <c r="G47" s="1410"/>
      <c r="H47" s="1411"/>
      <c r="I47" s="1408"/>
      <c r="J47" s="1411"/>
      <c r="K47" s="783"/>
      <c r="L47" s="1143"/>
      <c r="M47" s="1144"/>
      <c r="N47" s="1131"/>
      <c r="O47" s="1144"/>
      <c r="P47" s="3172" t="str">
        <f>A47</f>
        <v>成交单价（元/平方米）</v>
      </c>
      <c r="Q47" s="3172"/>
      <c r="R47" s="3203">
        <f>E47</f>
        <v>0</v>
      </c>
      <c r="S47" s="3203"/>
      <c r="T47" s="3203">
        <f>G47</f>
        <v>0</v>
      </c>
      <c r="U47" s="3203"/>
      <c r="V47" s="3203">
        <f>I47</f>
        <v>0</v>
      </c>
      <c r="W47" s="3203"/>
      <c r="X47" s="759"/>
      <c r="Y47" s="781"/>
      <c r="Z47" s="759"/>
      <c r="AA47" s="759"/>
      <c r="AB47" s="759"/>
      <c r="AC47" s="759"/>
    </row>
    <row r="48" spans="1:29" ht="1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 thickBot="1">
      <c r="A49" s="492" t="s">
        <v>2670</v>
      </c>
      <c r="B49" s="493"/>
      <c r="C49" s="1416" t="e">
        <f>R49</f>
        <v>#DIV/0!</v>
      </c>
      <c r="D49" s="1416"/>
      <c r="E49" s="1416"/>
      <c r="F49" s="1416"/>
      <c r="G49" s="1416"/>
      <c r="H49" s="1416"/>
      <c r="I49" s="1416"/>
      <c r="J49" s="1416"/>
      <c r="K49" s="785"/>
      <c r="L49" s="1143"/>
      <c r="M49" s="1144"/>
      <c r="N49" s="1131"/>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4.4">
      <c r="A58" s="505" t="s">
        <v>2548</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c r="A59" s="509"/>
      <c r="B59" s="510"/>
      <c r="C59" s="1572">
        <v>100</v>
      </c>
      <c r="D59" s="512"/>
      <c r="E59" s="512"/>
      <c r="F59" s="512"/>
      <c r="G59" s="512"/>
      <c r="H59" s="512"/>
      <c r="I59" s="512"/>
      <c r="J59" s="512"/>
      <c r="K59" s="512"/>
      <c r="L59" s="512"/>
      <c r="M59" s="513"/>
      <c r="N59" s="512"/>
      <c r="O59" s="513"/>
      <c r="P59" s="2628"/>
    </row>
    <row r="60" spans="1:29" s="117" customFormat="1" ht="15" thickBot="1">
      <c r="A60" s="515" t="s">
        <v>2585</v>
      </c>
      <c r="B60" s="516"/>
      <c r="C60" s="517"/>
      <c r="D60" s="518"/>
      <c r="E60" s="518"/>
      <c r="F60" s="518"/>
      <c r="G60" s="518"/>
      <c r="H60" s="518"/>
      <c r="I60" s="518"/>
      <c r="J60" s="518"/>
      <c r="K60" s="518"/>
      <c r="L60" s="518"/>
      <c r="M60" s="519"/>
      <c r="N60" s="518"/>
      <c r="O60" s="519"/>
      <c r="P60" s="2628"/>
      <c r="Q60" s="504"/>
    </row>
    <row r="61" spans="1:29" s="117" customFormat="1" ht="14.4">
      <c r="A61" s="521" t="s">
        <v>2550</v>
      </c>
      <c r="B61" s="510"/>
      <c r="C61" s="522" t="s">
        <v>2652</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2588</v>
      </c>
      <c r="B63" s="528" t="s">
        <v>2554</v>
      </c>
      <c r="C63" s="529">
        <f>C9</f>
        <v>0</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36"/>
      <c r="E73" s="536"/>
      <c r="F73" s="536"/>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 thickTop="1">
      <c r="A82" s="534"/>
      <c r="B82" s="546" t="s">
        <v>2655</v>
      </c>
      <c r="C82" s="660" t="s">
        <v>2675</v>
      </c>
      <c r="D82" s="660" t="s">
        <v>2676</v>
      </c>
      <c r="E82" s="660" t="s">
        <v>2677</v>
      </c>
      <c r="F82" s="660" t="s">
        <v>2678</v>
      </c>
      <c r="G82" s="660" t="s">
        <v>2679</v>
      </c>
      <c r="H82" s="539"/>
      <c r="I82" s="539"/>
      <c r="J82" s="539"/>
      <c r="K82" s="539"/>
      <c r="L82" s="539"/>
      <c r="M82" s="1381"/>
      <c r="N82" s="1153"/>
      <c r="O82" s="1153"/>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2680</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4.4" thickBot="1">
      <c r="A89" s="579"/>
      <c r="B89" s="543"/>
      <c r="C89" s="560"/>
      <c r="D89" s="536"/>
      <c r="E89" s="536"/>
      <c r="F89" s="536"/>
      <c r="G89" s="536"/>
      <c r="H89" s="536"/>
      <c r="I89" s="536"/>
      <c r="J89" s="536"/>
      <c r="K89" s="536"/>
      <c r="L89" s="536"/>
      <c r="M89" s="536"/>
      <c r="N89" s="1153"/>
      <c r="O89" s="1153"/>
      <c r="P89" s="2630"/>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4.4" thickTop="1">
      <c r="A92" s="534"/>
      <c r="B92" s="538" t="str">
        <f>B28</f>
        <v>楼层</v>
      </c>
      <c r="C92" s="554"/>
      <c r="D92" s="554"/>
      <c r="E92" s="554"/>
      <c r="F92" s="554"/>
      <c r="G92" s="554"/>
      <c r="H92" s="554"/>
      <c r="I92" s="554"/>
      <c r="J92" s="554"/>
      <c r="K92" s="554"/>
      <c r="L92" s="580"/>
      <c r="M92" s="581"/>
      <c r="N92" s="1152"/>
      <c r="O92" s="1152"/>
      <c r="P92" s="2630"/>
      <c r="Q92" s="504"/>
    </row>
    <row r="93" spans="1:17" ht="14.4" thickBot="1">
      <c r="A93" s="534"/>
      <c r="B93" s="543"/>
      <c r="C93" s="536"/>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36"/>
      <c r="E95" s="536"/>
      <c r="F95" s="536"/>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60"/>
      <c r="D97" s="536"/>
      <c r="E97" s="536"/>
      <c r="F97" s="536"/>
      <c r="G97" s="536"/>
      <c r="H97" s="536"/>
      <c r="I97" s="536"/>
      <c r="J97" s="536"/>
      <c r="K97" s="536"/>
      <c r="L97" s="536"/>
      <c r="M97" s="537"/>
      <c r="N97" s="1153"/>
      <c r="O97" s="1153"/>
      <c r="P97" s="2630"/>
      <c r="Q97" s="504"/>
    </row>
    <row r="98" spans="1:17" ht="14.4" thickTop="1">
      <c r="A98" s="534"/>
      <c r="B98" s="546">
        <f>B31</f>
        <v>111</v>
      </c>
      <c r="C98" s="554"/>
      <c r="D98" s="554"/>
      <c r="E98" s="554"/>
      <c r="F98" s="554"/>
      <c r="G98" s="587"/>
      <c r="H98" s="587"/>
      <c r="I98" s="587"/>
      <c r="J98" s="587"/>
      <c r="K98" s="588"/>
      <c r="L98" s="589"/>
      <c r="M98" s="590"/>
      <c r="N98" s="1152"/>
      <c r="O98" s="1152"/>
      <c r="P98" s="2630"/>
      <c r="Q98" s="504"/>
    </row>
    <row r="99" spans="1:17" ht="14.4" thickBot="1">
      <c r="A99" s="2636"/>
      <c r="B99" s="569"/>
      <c r="C99" s="570"/>
      <c r="D99" s="570"/>
      <c r="E99" s="570"/>
      <c r="F99" s="570"/>
      <c r="G99" s="591"/>
      <c r="H99" s="591"/>
      <c r="I99" s="591"/>
      <c r="J99" s="591"/>
      <c r="K99" s="591"/>
      <c r="L99" s="591"/>
      <c r="M99" s="592"/>
      <c r="N99" s="1153"/>
      <c r="O99" s="1153"/>
      <c r="P99" s="2630"/>
      <c r="Q99" s="504"/>
    </row>
    <row r="100" spans="1:17" ht="14.4">
      <c r="A100" s="527" t="s">
        <v>2563</v>
      </c>
      <c r="B100" s="528" t="s">
        <v>2681</v>
      </c>
      <c r="C100" s="530"/>
      <c r="D100" s="530"/>
      <c r="E100" s="530"/>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2614</v>
      </c>
      <c r="C105" s="554"/>
      <c r="D105" s="554"/>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2616</v>
      </c>
      <c r="C107" s="554"/>
      <c r="D107" s="554"/>
      <c r="E107" s="554"/>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2682</v>
      </c>
      <c r="C114" s="554"/>
      <c r="D114" s="554"/>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2683</v>
      </c>
      <c r="C116" s="554"/>
      <c r="D116" s="554"/>
      <c r="E116" s="554"/>
      <c r="F116" s="554"/>
      <c r="G116" s="554"/>
      <c r="H116" s="583"/>
      <c r="I116" s="583"/>
      <c r="J116" s="583"/>
      <c r="K116" s="584"/>
      <c r="L116" s="585"/>
      <c r="M116" s="586"/>
      <c r="N116" s="1152"/>
      <c r="O116" s="1152"/>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2684</v>
      </c>
      <c r="C118" s="627"/>
      <c r="D118" s="627"/>
      <c r="E118" s="627"/>
      <c r="F118" s="627"/>
      <c r="G118" s="627"/>
      <c r="H118" s="555"/>
      <c r="I118" s="555"/>
      <c r="J118" s="555"/>
      <c r="K118" s="555"/>
      <c r="L118" s="556"/>
      <c r="M118" s="557"/>
      <c r="N118" s="1152"/>
      <c r="O118" s="1152"/>
      <c r="P118" s="2630"/>
      <c r="Q118" s="504"/>
    </row>
    <row r="119" spans="1:17" ht="14.4"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2620</v>
      </c>
      <c r="C122" s="554"/>
      <c r="D122" s="554"/>
      <c r="E122" s="554"/>
      <c r="F122" s="583"/>
      <c r="G122" s="583"/>
      <c r="H122" s="583"/>
      <c r="I122" s="583"/>
      <c r="J122" s="583"/>
      <c r="K122" s="584"/>
      <c r="L122" s="585"/>
      <c r="M122" s="586"/>
      <c r="N122" s="1152"/>
      <c r="O122" s="1152"/>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36"/>
      <c r="E129" s="536"/>
      <c r="F129" s="536"/>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69"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177.12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221" t="s">
        <v>2651</v>
      </c>
      <c r="Q4" s="3222"/>
      <c r="R4" s="3225" t="s">
        <v>2647</v>
      </c>
      <c r="S4" s="3226"/>
      <c r="T4" s="3225" t="s">
        <v>2648</v>
      </c>
      <c r="U4" s="3226"/>
      <c r="V4" s="3227" t="s">
        <v>2649</v>
      </c>
      <c r="W4" s="3227"/>
      <c r="X4" s="2670"/>
      <c r="Y4" s="3225" t="s">
        <v>2651</v>
      </c>
      <c r="Z4" s="3226"/>
      <c r="AA4" s="3229" t="s">
        <v>2647</v>
      </c>
      <c r="AB4" s="3229" t="s">
        <v>2648</v>
      </c>
      <c r="AC4" s="3218" t="s">
        <v>2649</v>
      </c>
    </row>
    <row r="5" spans="1:29">
      <c r="A5" s="404"/>
      <c r="B5" s="405"/>
      <c r="C5" s="3206" t="s">
        <v>2542</v>
      </c>
      <c r="D5" s="3207"/>
      <c r="E5" s="3213" t="s">
        <v>2543</v>
      </c>
      <c r="F5" s="3214"/>
      <c r="G5" s="3206" t="s">
        <v>2544</v>
      </c>
      <c r="H5" s="3207"/>
      <c r="I5" s="3206" t="s">
        <v>2545</v>
      </c>
      <c r="J5" s="3207"/>
      <c r="K5" s="610"/>
      <c r="L5" s="1130"/>
      <c r="M5" s="1131"/>
      <c r="N5" s="1131"/>
      <c r="O5" s="1131"/>
      <c r="P5" s="3223"/>
      <c r="Q5" s="3194"/>
      <c r="R5" s="3199"/>
      <c r="S5" s="3200"/>
      <c r="T5" s="3199"/>
      <c r="U5" s="3200"/>
      <c r="V5" s="3203"/>
      <c r="W5" s="3203"/>
      <c r="X5" s="1812"/>
      <c r="Y5" s="3199"/>
      <c r="Z5" s="3200"/>
      <c r="AA5" s="3185"/>
      <c r="AB5" s="3185"/>
      <c r="AC5" s="3219"/>
    </row>
    <row r="6" spans="1:29" ht="15" thickBot="1">
      <c r="A6" s="406"/>
      <c r="B6" s="407"/>
      <c r="C6" s="3204" t="s">
        <v>2546</v>
      </c>
      <c r="D6" s="3205"/>
      <c r="E6" s="3211" t="s">
        <v>2546</v>
      </c>
      <c r="F6" s="3212"/>
      <c r="G6" s="3204" t="s">
        <v>2546</v>
      </c>
      <c r="H6" s="3205"/>
      <c r="I6" s="3204" t="s">
        <v>2546</v>
      </c>
      <c r="J6" s="3205"/>
      <c r="K6" s="610" t="s">
        <v>2547</v>
      </c>
      <c r="L6" s="1130"/>
      <c r="M6" s="1131"/>
      <c r="N6" s="1131"/>
      <c r="O6" s="1131"/>
      <c r="P6" s="3224"/>
      <c r="Q6" s="3196"/>
      <c r="R6" s="3199"/>
      <c r="S6" s="3200"/>
      <c r="T6" s="3201"/>
      <c r="U6" s="3202"/>
      <c r="V6" s="3203"/>
      <c r="W6" s="3203"/>
      <c r="X6" s="1812"/>
      <c r="Y6" s="3201"/>
      <c r="Z6" s="3202"/>
      <c r="AA6" s="3186"/>
      <c r="AB6" s="3186"/>
      <c r="AC6" s="3220"/>
    </row>
    <row r="7" spans="1:29" s="117" customFormat="1" ht="15" thickBot="1">
      <c r="A7" s="408" t="s">
        <v>2548</v>
      </c>
      <c r="B7" s="409"/>
      <c r="C7" s="410">
        <f>'数据-取费表'!B2</f>
        <v>43689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2671"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2552</v>
      </c>
      <c r="Q8" s="3209"/>
      <c r="R8" s="770" t="s">
        <v>17</v>
      </c>
      <c r="S8" s="771">
        <f t="shared" si="0"/>
        <v>0</v>
      </c>
      <c r="T8" s="770" t="s">
        <v>17</v>
      </c>
      <c r="U8" s="771">
        <f t="shared" si="1"/>
        <v>0</v>
      </c>
      <c r="V8" s="770" t="s">
        <v>17</v>
      </c>
      <c r="W8" s="771">
        <f t="shared" si="2"/>
        <v>0</v>
      </c>
      <c r="X8" s="772"/>
      <c r="Y8" s="3208" t="s">
        <v>2552</v>
      </c>
      <c r="Z8" s="3209"/>
      <c r="AA8" s="773" t="e">
        <f t="shared" ref="AA8:AA47" si="3">D8/F8</f>
        <v>#DIV/0!</v>
      </c>
      <c r="AB8" s="773" t="e">
        <f t="shared" ref="AB8:AB47" si="4">D8/H8</f>
        <v>#DIV/0!</v>
      </c>
      <c r="AC8" s="2671"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2671">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1">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1">
        <f t="shared" si="5"/>
        <v>1</v>
      </c>
    </row>
    <row r="14" spans="1:29" ht="15.6"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1">
        <f t="shared" si="5"/>
        <v>1</v>
      </c>
    </row>
    <row r="15" spans="1:29" ht="69">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2560</v>
      </c>
      <c r="Q15" s="1809" t="str">
        <f t="shared" si="6"/>
        <v>办公集聚程度</v>
      </c>
      <c r="R15" s="774" t="s">
        <v>17</v>
      </c>
      <c r="S15" s="775">
        <f t="shared" si="0"/>
        <v>100</v>
      </c>
      <c r="T15" s="774" t="s">
        <v>17</v>
      </c>
      <c r="U15" s="775">
        <f t="shared" si="1"/>
        <v>100</v>
      </c>
      <c r="V15" s="774" t="s">
        <v>17</v>
      </c>
      <c r="W15" s="775">
        <f t="shared" si="2"/>
        <v>100</v>
      </c>
      <c r="X15" s="1812"/>
      <c r="Y15" s="3174" t="s">
        <v>2560</v>
      </c>
      <c r="Z15" s="1813" t="str">
        <f t="shared" si="7"/>
        <v>办公集聚程度</v>
      </c>
      <c r="AA15" s="1810">
        <f t="shared" si="3"/>
        <v>1</v>
      </c>
      <c r="AB15" s="1810">
        <f t="shared" si="4"/>
        <v>1</v>
      </c>
      <c r="AC15" s="2674">
        <f t="shared" si="5"/>
        <v>1</v>
      </c>
    </row>
    <row r="16" spans="1:29" ht="15">
      <c r="A16" s="428"/>
      <c r="B16" s="630"/>
      <c r="C16" s="2612"/>
      <c r="D16" s="448"/>
      <c r="E16" s="447"/>
      <c r="F16" s="448"/>
      <c r="G16" s="2612"/>
      <c r="H16" s="450"/>
      <c r="I16" s="447"/>
      <c r="J16" s="448"/>
      <c r="K16" s="615"/>
      <c r="L16" s="1140"/>
      <c r="M16" s="1131"/>
      <c r="N16" s="1131"/>
      <c r="O16" s="1131"/>
      <c r="P16" s="3182"/>
      <c r="Q16" s="1809"/>
      <c r="R16" s="774"/>
      <c r="S16" s="775"/>
      <c r="T16" s="774"/>
      <c r="U16" s="775"/>
      <c r="V16" s="774"/>
      <c r="W16" s="775"/>
      <c r="X16" s="1812"/>
      <c r="Y16" s="3175"/>
      <c r="Z16" s="1813"/>
      <c r="AA16" s="1810">
        <v>1</v>
      </c>
      <c r="AB16" s="1810">
        <v>1</v>
      </c>
      <c r="AC16" s="2674">
        <v>1</v>
      </c>
    </row>
    <row r="17" spans="1:29" ht="82.8">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2674">
        <f t="shared" si="5"/>
        <v>1</v>
      </c>
    </row>
    <row r="18" spans="1:29" ht="15">
      <c r="A18" s="428"/>
      <c r="B18" s="632"/>
      <c r="C18" s="2676"/>
      <c r="D18" s="450"/>
      <c r="E18" s="2610"/>
      <c r="F18" s="450"/>
      <c r="G18" s="2611"/>
      <c r="H18" s="448"/>
      <c r="I18" s="2611"/>
      <c r="J18" s="448"/>
      <c r="K18" s="615"/>
      <c r="L18" s="1140"/>
      <c r="M18" s="1131"/>
      <c r="N18" s="1131"/>
      <c r="O18" s="1131"/>
      <c r="P18" s="3182"/>
      <c r="Q18" s="1809"/>
      <c r="R18" s="774"/>
      <c r="S18" s="775"/>
      <c r="T18" s="774"/>
      <c r="U18" s="775"/>
      <c r="V18" s="774"/>
      <c r="W18" s="775"/>
      <c r="X18" s="1812"/>
      <c r="Y18" s="3175"/>
      <c r="Z18" s="1813"/>
      <c r="AA18" s="1810">
        <v>1</v>
      </c>
      <c r="AB18" s="1810">
        <v>1</v>
      </c>
      <c r="AC18" s="2674">
        <v>1</v>
      </c>
    </row>
    <row r="19" spans="1:29" ht="41.4">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2674">
        <f t="shared" si="5"/>
        <v>1</v>
      </c>
    </row>
    <row r="20" spans="1:29" ht="15">
      <c r="A20" s="428"/>
      <c r="B20" s="632"/>
      <c r="C20" s="2612"/>
      <c r="D20" s="448"/>
      <c r="E20" s="2605"/>
      <c r="F20" s="448"/>
      <c r="G20" s="2606"/>
      <c r="H20" s="448"/>
      <c r="I20" s="2606"/>
      <c r="J20" s="448"/>
      <c r="K20" s="615"/>
      <c r="L20" s="1140"/>
      <c r="M20" s="1131"/>
      <c r="N20" s="1131"/>
      <c r="O20" s="1131"/>
      <c r="P20" s="3182"/>
      <c r="Q20" s="1809"/>
      <c r="R20" s="774"/>
      <c r="S20" s="775"/>
      <c r="T20" s="774"/>
      <c r="U20" s="775"/>
      <c r="V20" s="774"/>
      <c r="W20" s="775"/>
      <c r="X20" s="1812"/>
      <c r="Y20" s="3175"/>
      <c r="Z20" s="1813"/>
      <c r="AA20" s="1810">
        <v>1</v>
      </c>
      <c r="AB20" s="1810">
        <v>1</v>
      </c>
      <c r="AC20" s="2674">
        <v>1</v>
      </c>
    </row>
    <row r="21" spans="1:29" ht="27.6">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2"/>
      <c r="H22" s="448"/>
      <c r="I22" s="2612"/>
      <c r="J22" s="448"/>
      <c r="K22" s="1382"/>
      <c r="L22" s="1140"/>
      <c r="M22" s="1131"/>
      <c r="N22" s="1131"/>
      <c r="O22" s="1131"/>
      <c r="P22" s="3182"/>
      <c r="Q22" s="1809"/>
      <c r="R22" s="774"/>
      <c r="S22" s="775"/>
      <c r="T22" s="774"/>
      <c r="U22" s="775"/>
      <c r="V22" s="774"/>
      <c r="W22" s="775"/>
      <c r="X22" s="1812"/>
      <c r="Y22" s="3175"/>
      <c r="Z22" s="1813"/>
      <c r="AA22" s="1810">
        <v>1</v>
      </c>
      <c r="AB22" s="1810">
        <v>1</v>
      </c>
      <c r="AC22" s="2674">
        <v>1</v>
      </c>
    </row>
    <row r="23" spans="1:29" ht="55.2">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09" t="str">
        <f>B23</f>
        <v>环境质量</v>
      </c>
      <c r="R23" s="774" t="s">
        <v>17</v>
      </c>
      <c r="S23" s="775">
        <f>F23</f>
        <v>100</v>
      </c>
      <c r="T23" s="774" t="s">
        <v>17</v>
      </c>
      <c r="U23" s="775">
        <f>H23</f>
        <v>100</v>
      </c>
      <c r="V23" s="774" t="s">
        <v>17</v>
      </c>
      <c r="W23" s="775">
        <f>J23</f>
        <v>100</v>
      </c>
      <c r="X23" s="1812"/>
      <c r="Y23" s="3175"/>
      <c r="Z23" s="1813" t="str">
        <f>Q23</f>
        <v>环境质量</v>
      </c>
      <c r="AA23" s="1810">
        <f t="shared" si="3"/>
        <v>1</v>
      </c>
      <c r="AB23" s="1810">
        <f t="shared" si="4"/>
        <v>1</v>
      </c>
      <c r="AC23" s="2674">
        <f t="shared" si="5"/>
        <v>1</v>
      </c>
    </row>
    <row r="24" spans="1:29" ht="15">
      <c r="A24" s="428"/>
      <c r="B24" s="633"/>
      <c r="C24" s="2612"/>
      <c r="D24" s="448"/>
      <c r="E24" s="2605"/>
      <c r="F24" s="448"/>
      <c r="G24" s="2606"/>
      <c r="H24" s="448"/>
      <c r="I24" s="2606"/>
      <c r="J24" s="448"/>
      <c r="K24" s="615"/>
      <c r="L24" s="1140"/>
      <c r="M24" s="1131"/>
      <c r="N24" s="1131"/>
      <c r="O24" s="1131"/>
      <c r="P24" s="3182"/>
      <c r="Q24" s="1809"/>
      <c r="R24" s="774"/>
      <c r="S24" s="775"/>
      <c r="T24" s="774"/>
      <c r="U24" s="775"/>
      <c r="V24" s="774"/>
      <c r="W24" s="775"/>
      <c r="X24" s="1812"/>
      <c r="Y24" s="3175"/>
      <c r="Z24" s="1813"/>
      <c r="AA24" s="1810">
        <v>1</v>
      </c>
      <c r="AB24" s="1810">
        <v>1</v>
      </c>
      <c r="AC24" s="2674">
        <v>1</v>
      </c>
    </row>
    <row r="25" spans="1:29" ht="28.8">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82"/>
      <c r="Q25" s="1809" t="str">
        <f>B25</f>
        <v>毗邻道路的类型与等级</v>
      </c>
      <c r="R25" s="774" t="s">
        <v>17</v>
      </c>
      <c r="S25" s="775">
        <f>F25</f>
        <v>100</v>
      </c>
      <c r="T25" s="774" t="s">
        <v>17</v>
      </c>
      <c r="U25" s="775">
        <f>H25</f>
        <v>100</v>
      </c>
      <c r="V25" s="774" t="s">
        <v>17</v>
      </c>
      <c r="W25" s="775">
        <f>J25</f>
        <v>100</v>
      </c>
      <c r="X25" s="1812"/>
      <c r="Y25" s="3175"/>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182"/>
      <c r="Q26" s="1809"/>
      <c r="R26" s="774"/>
      <c r="S26" s="775"/>
      <c r="T26" s="774"/>
      <c r="U26" s="775"/>
      <c r="V26" s="774"/>
      <c r="W26" s="775"/>
      <c r="X26" s="1812"/>
      <c r="Y26" s="3175"/>
      <c r="Z26" s="1813"/>
      <c r="AA26" s="1810">
        <v>1</v>
      </c>
      <c r="AB26" s="1810">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09" t="str">
        <f t="shared" ref="Q27:Q47" si="11">B27</f>
        <v>楼层</v>
      </c>
      <c r="R27" s="774" t="s">
        <v>17</v>
      </c>
      <c r="S27" s="775">
        <f>F27</f>
        <v>100</v>
      </c>
      <c r="T27" s="774" t="s">
        <v>17</v>
      </c>
      <c r="U27" s="775">
        <f>H27</f>
        <v>100</v>
      </c>
      <c r="V27" s="774" t="s">
        <v>17</v>
      </c>
      <c r="W27" s="775">
        <f>J27</f>
        <v>100</v>
      </c>
      <c r="X27" s="1812"/>
      <c r="Y27" s="3175"/>
      <c r="Z27" s="1813" t="str">
        <f>Q27</f>
        <v>楼层</v>
      </c>
      <c r="AA27" s="1810">
        <f t="shared" si="3"/>
        <v>1</v>
      </c>
      <c r="AB27" s="1810">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2"/>
      <c r="Q28" s="1794" t="str">
        <f t="shared" si="11"/>
        <v>朝向</v>
      </c>
      <c r="R28" s="770" t="s">
        <v>17</v>
      </c>
      <c r="S28" s="771">
        <f>F28</f>
        <v>100</v>
      </c>
      <c r="T28" s="770" t="s">
        <v>17</v>
      </c>
      <c r="U28" s="771">
        <f>H28</f>
        <v>100</v>
      </c>
      <c r="V28" s="770" t="s">
        <v>17</v>
      </c>
      <c r="W28" s="771">
        <f>J28</f>
        <v>100</v>
      </c>
      <c r="X28" s="772"/>
      <c r="Y28" s="3175"/>
      <c r="Z28" s="55" t="str">
        <f>Q28</f>
        <v>朝向</v>
      </c>
      <c r="AA28" s="1810">
        <f>D28/F28</f>
        <v>1</v>
      </c>
      <c r="AB28" s="1810">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2"/>
      <c r="Q29" s="1809">
        <f t="shared" si="11"/>
        <v>111</v>
      </c>
      <c r="R29" s="774" t="s">
        <v>17</v>
      </c>
      <c r="S29" s="775">
        <f t="shared" ref="S29:S47" si="12">F29</f>
        <v>100</v>
      </c>
      <c r="T29" s="774" t="s">
        <v>17</v>
      </c>
      <c r="U29" s="775">
        <f t="shared" ref="U29:U47" si="13">H29</f>
        <v>100</v>
      </c>
      <c r="V29" s="774" t="s">
        <v>17</v>
      </c>
      <c r="W29" s="775">
        <f t="shared" ref="W29:W47" si="14">J29</f>
        <v>100</v>
      </c>
      <c r="X29" s="1812"/>
      <c r="Y29" s="3175"/>
      <c r="Z29" s="1813">
        <f t="shared" ref="Z29:Z47" si="15">Q29</f>
        <v>111</v>
      </c>
      <c r="AA29" s="1810">
        <f t="shared" si="3"/>
        <v>1</v>
      </c>
      <c r="AB29" s="1810">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2"/>
      <c r="Q30" s="1809">
        <f t="shared" si="11"/>
        <v>111</v>
      </c>
      <c r="R30" s="774" t="s">
        <v>17</v>
      </c>
      <c r="S30" s="775">
        <f t="shared" si="12"/>
        <v>100</v>
      </c>
      <c r="T30" s="774" t="s">
        <v>17</v>
      </c>
      <c r="U30" s="775">
        <f t="shared" si="13"/>
        <v>100</v>
      </c>
      <c r="V30" s="774" t="s">
        <v>17</v>
      </c>
      <c r="W30" s="775">
        <f t="shared" si="14"/>
        <v>100</v>
      </c>
      <c r="X30" s="1812"/>
      <c r="Y30" s="3175"/>
      <c r="Z30" s="1813">
        <f t="shared" si="15"/>
        <v>111</v>
      </c>
      <c r="AA30" s="1810">
        <f t="shared" si="3"/>
        <v>1</v>
      </c>
      <c r="AB30" s="1810">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2"/>
      <c r="Q31" s="1809">
        <f t="shared" si="11"/>
        <v>111</v>
      </c>
      <c r="R31" s="774" t="s">
        <v>17</v>
      </c>
      <c r="S31" s="775">
        <f t="shared" si="12"/>
        <v>100</v>
      </c>
      <c r="T31" s="774" t="s">
        <v>17</v>
      </c>
      <c r="U31" s="775">
        <f t="shared" si="13"/>
        <v>100</v>
      </c>
      <c r="V31" s="774" t="s">
        <v>17</v>
      </c>
      <c r="W31" s="775">
        <f t="shared" si="14"/>
        <v>100</v>
      </c>
      <c r="X31" s="1812"/>
      <c r="Y31" s="3175"/>
      <c r="Z31" s="1813">
        <f t="shared" si="15"/>
        <v>111</v>
      </c>
      <c r="AA31" s="1810">
        <f t="shared" si="3"/>
        <v>1</v>
      </c>
      <c r="AB31" s="1810">
        <f t="shared" si="4"/>
        <v>1</v>
      </c>
      <c r="AC31" s="2674">
        <f t="shared" si="5"/>
        <v>1</v>
      </c>
    </row>
    <row r="32" spans="1:29" ht="15.6"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2"/>
      <c r="Q32" s="1809">
        <f t="shared" si="11"/>
        <v>111</v>
      </c>
      <c r="R32" s="774" t="s">
        <v>17</v>
      </c>
      <c r="S32" s="775">
        <f t="shared" si="12"/>
        <v>100</v>
      </c>
      <c r="T32" s="774" t="s">
        <v>17</v>
      </c>
      <c r="U32" s="775">
        <f t="shared" si="13"/>
        <v>100</v>
      </c>
      <c r="V32" s="774" t="s">
        <v>17</v>
      </c>
      <c r="W32" s="775">
        <f t="shared" si="14"/>
        <v>100</v>
      </c>
      <c r="X32" s="1812"/>
      <c r="Y32" s="3175"/>
      <c r="Z32" s="1813">
        <f t="shared" si="15"/>
        <v>111</v>
      </c>
      <c r="AA32" s="1810">
        <f t="shared" si="3"/>
        <v>1</v>
      </c>
      <c r="AB32" s="1810">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76" t="s">
        <v>2565</v>
      </c>
      <c r="Q33" s="1809" t="str">
        <f t="shared" si="11"/>
        <v>建筑类型</v>
      </c>
      <c r="R33" s="774" t="s">
        <v>17</v>
      </c>
      <c r="S33" s="775">
        <f t="shared" si="12"/>
        <v>100</v>
      </c>
      <c r="T33" s="774" t="s">
        <v>17</v>
      </c>
      <c r="U33" s="775">
        <f t="shared" si="13"/>
        <v>100</v>
      </c>
      <c r="V33" s="774" t="s">
        <v>17</v>
      </c>
      <c r="W33" s="775">
        <f t="shared" si="14"/>
        <v>100</v>
      </c>
      <c r="X33" s="1812"/>
      <c r="Y33" s="3179" t="s">
        <v>2565</v>
      </c>
      <c r="Z33" s="1813" t="str">
        <f t="shared" si="15"/>
        <v>建筑类型</v>
      </c>
      <c r="AA33" s="1810">
        <f t="shared" si="3"/>
        <v>1</v>
      </c>
      <c r="AB33" s="1810">
        <f t="shared" si="4"/>
        <v>1</v>
      </c>
      <c r="AC33" s="2674">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0" t="e">
        <f t="shared" si="3"/>
        <v>#N/A</v>
      </c>
      <c r="AB34" s="1810" t="e">
        <f t="shared" si="4"/>
        <v>#N/A</v>
      </c>
      <c r="AC34" s="2674"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09" t="str">
        <f t="shared" si="11"/>
        <v>建筑结构</v>
      </c>
      <c r="R35" s="774" t="s">
        <v>17</v>
      </c>
      <c r="S35" s="775">
        <f t="shared" si="12"/>
        <v>100</v>
      </c>
      <c r="T35" s="774" t="s">
        <v>17</v>
      </c>
      <c r="U35" s="775">
        <f t="shared" si="13"/>
        <v>100</v>
      </c>
      <c r="V35" s="774" t="s">
        <v>17</v>
      </c>
      <c r="W35" s="775">
        <f t="shared" si="14"/>
        <v>100</v>
      </c>
      <c r="X35" s="1812"/>
      <c r="Y35" s="3179"/>
      <c r="Z35" s="1813" t="str">
        <f t="shared" si="15"/>
        <v>建筑结构</v>
      </c>
      <c r="AA35" s="1810">
        <f t="shared" si="3"/>
        <v>1</v>
      </c>
      <c r="AB35" s="1810">
        <f t="shared" si="4"/>
        <v>1</v>
      </c>
      <c r="AC35" s="2674">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09" t="str">
        <f t="shared" si="11"/>
        <v>公共部分装修</v>
      </c>
      <c r="R36" s="774" t="s">
        <v>17</v>
      </c>
      <c r="S36" s="775">
        <f t="shared" si="12"/>
        <v>100</v>
      </c>
      <c r="T36" s="774" t="s">
        <v>17</v>
      </c>
      <c r="U36" s="775">
        <f t="shared" si="13"/>
        <v>100</v>
      </c>
      <c r="V36" s="774" t="s">
        <v>17</v>
      </c>
      <c r="W36" s="775">
        <f t="shared" si="14"/>
        <v>100</v>
      </c>
      <c r="X36" s="1812"/>
      <c r="Y36" s="3179"/>
      <c r="Z36" s="1813" t="str">
        <f t="shared" si="15"/>
        <v>公共部分装修</v>
      </c>
      <c r="AA36" s="1810">
        <f t="shared" si="3"/>
        <v>1</v>
      </c>
      <c r="AB36" s="1810">
        <f t="shared" si="4"/>
        <v>1</v>
      </c>
      <c r="AC36" s="2674">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09" t="str">
        <f t="shared" si="11"/>
        <v>成新度</v>
      </c>
      <c r="R37" s="774" t="s">
        <v>17</v>
      </c>
      <c r="S37" s="775" t="e">
        <f t="shared" si="12"/>
        <v>#N/A</v>
      </c>
      <c r="T37" s="774" t="s">
        <v>17</v>
      </c>
      <c r="U37" s="775" t="e">
        <f t="shared" si="13"/>
        <v>#N/A</v>
      </c>
      <c r="V37" s="774" t="s">
        <v>17</v>
      </c>
      <c r="W37" s="775" t="e">
        <f t="shared" si="14"/>
        <v>#N/A</v>
      </c>
      <c r="X37" s="1812"/>
      <c r="Y37" s="3179"/>
      <c r="Z37" s="1813" t="str">
        <f t="shared" si="15"/>
        <v>成新度</v>
      </c>
      <c r="AA37" s="1810" t="e">
        <f t="shared" si="3"/>
        <v>#N/A</v>
      </c>
      <c r="AB37" s="1810" t="e">
        <f t="shared" si="4"/>
        <v>#N/A</v>
      </c>
      <c r="AC37" s="2674"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4"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2565</v>
      </c>
      <c r="Q39" s="1809" t="str">
        <f t="shared" si="11"/>
        <v>物业管理</v>
      </c>
      <c r="R39" s="774" t="s">
        <v>17</v>
      </c>
      <c r="S39" s="775">
        <f t="shared" si="12"/>
        <v>100</v>
      </c>
      <c r="T39" s="774" t="s">
        <v>17</v>
      </c>
      <c r="U39" s="775">
        <f t="shared" si="13"/>
        <v>100</v>
      </c>
      <c r="V39" s="774" t="s">
        <v>17</v>
      </c>
      <c r="W39" s="775">
        <f t="shared" si="14"/>
        <v>100</v>
      </c>
      <c r="X39" s="1812"/>
      <c r="Y39" s="3179" t="s">
        <v>2565</v>
      </c>
      <c r="Z39" s="1813" t="str">
        <f t="shared" si="15"/>
        <v>物业管理</v>
      </c>
      <c r="AA39" s="1810">
        <f t="shared" si="3"/>
        <v>1</v>
      </c>
      <c r="AB39" s="1810">
        <f t="shared" si="4"/>
        <v>1</v>
      </c>
      <c r="AC39" s="2674">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09" t="str">
        <f t="shared" si="11"/>
        <v>市政基础设施</v>
      </c>
      <c r="R40" s="774" t="s">
        <v>17</v>
      </c>
      <c r="S40" s="775">
        <f t="shared" si="12"/>
        <v>100</v>
      </c>
      <c r="T40" s="774" t="s">
        <v>17</v>
      </c>
      <c r="U40" s="775">
        <f t="shared" si="13"/>
        <v>100</v>
      </c>
      <c r="V40" s="774" t="s">
        <v>17</v>
      </c>
      <c r="W40" s="775">
        <f t="shared" si="14"/>
        <v>100</v>
      </c>
      <c r="X40" s="1812"/>
      <c r="Y40" s="3179"/>
      <c r="Z40" s="1813" t="str">
        <f t="shared" si="15"/>
        <v>市政基础设施</v>
      </c>
      <c r="AA40" s="1810">
        <f t="shared" si="3"/>
        <v>1</v>
      </c>
      <c r="AB40" s="1810">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09" t="str">
        <f t="shared" si="11"/>
        <v>层高</v>
      </c>
      <c r="R41" s="774" t="s">
        <v>17</v>
      </c>
      <c r="S41" s="775">
        <f t="shared" si="12"/>
        <v>100</v>
      </c>
      <c r="T41" s="774" t="s">
        <v>17</v>
      </c>
      <c r="U41" s="775">
        <f t="shared" si="13"/>
        <v>100</v>
      </c>
      <c r="V41" s="774" t="s">
        <v>17</v>
      </c>
      <c r="W41" s="775">
        <f t="shared" si="14"/>
        <v>100</v>
      </c>
      <c r="X41" s="1812"/>
      <c r="Y41" s="3179"/>
      <c r="Z41" s="1813" t="str">
        <f t="shared" si="15"/>
        <v>层高</v>
      </c>
      <c r="AA41" s="1810">
        <f t="shared" si="3"/>
        <v>1</v>
      </c>
      <c r="AB41" s="1810">
        <f t="shared" si="4"/>
        <v>1</v>
      </c>
      <c r="AC41" s="2674">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0">
        <f t="shared" si="3"/>
        <v>1</v>
      </c>
      <c r="AB42" s="1810">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09" t="str">
        <f t="shared" si="11"/>
        <v>内部装修</v>
      </c>
      <c r="R43" s="774" t="s">
        <v>17</v>
      </c>
      <c r="S43" s="775">
        <f t="shared" si="12"/>
        <v>100</v>
      </c>
      <c r="T43" s="774" t="s">
        <v>17</v>
      </c>
      <c r="U43" s="775">
        <f t="shared" si="13"/>
        <v>100</v>
      </c>
      <c r="V43" s="774" t="s">
        <v>17</v>
      </c>
      <c r="W43" s="775">
        <f t="shared" si="14"/>
        <v>100</v>
      </c>
      <c r="X43" s="1812"/>
      <c r="Y43" s="3179"/>
      <c r="Z43" s="1813" t="str">
        <f t="shared" si="15"/>
        <v>内部装修</v>
      </c>
      <c r="AA43" s="1810">
        <f t="shared" si="3"/>
        <v>1</v>
      </c>
      <c r="AB43" s="1810">
        <f t="shared" si="4"/>
        <v>1</v>
      </c>
      <c r="AC43" s="2674">
        <f t="shared" si="5"/>
        <v>1</v>
      </c>
    </row>
    <row r="44" spans="1:29" ht="28.8">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77"/>
      <c r="Q44" s="1809" t="str">
        <f t="shared" si="11"/>
        <v>内部装修维护情况</v>
      </c>
      <c r="R44" s="774" t="s">
        <v>17</v>
      </c>
      <c r="S44" s="775">
        <f t="shared" si="12"/>
        <v>100</v>
      </c>
      <c r="T44" s="774" t="s">
        <v>17</v>
      </c>
      <c r="U44" s="775">
        <f t="shared" si="13"/>
        <v>100</v>
      </c>
      <c r="V44" s="774" t="s">
        <v>17</v>
      </c>
      <c r="W44" s="775">
        <f t="shared" si="14"/>
        <v>100</v>
      </c>
      <c r="X44" s="1812"/>
      <c r="Y44" s="3179"/>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4">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09">
        <f t="shared" si="11"/>
        <v>111</v>
      </c>
      <c r="R46" s="774" t="s">
        <v>17</v>
      </c>
      <c r="S46" s="775">
        <f t="shared" si="12"/>
        <v>100</v>
      </c>
      <c r="T46" s="774" t="s">
        <v>17</v>
      </c>
      <c r="U46" s="775">
        <f t="shared" si="13"/>
        <v>100</v>
      </c>
      <c r="V46" s="774" t="s">
        <v>17</v>
      </c>
      <c r="W46" s="775">
        <f t="shared" si="14"/>
        <v>100</v>
      </c>
      <c r="X46" s="1812"/>
      <c r="Y46" s="3179"/>
      <c r="Z46" s="1813">
        <f t="shared" si="15"/>
        <v>111</v>
      </c>
      <c r="AA46" s="1810">
        <f t="shared" si="3"/>
        <v>1</v>
      </c>
      <c r="AB46" s="1810">
        <f t="shared" si="4"/>
        <v>1</v>
      </c>
      <c r="AC46" s="2674">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09">
        <f t="shared" si="11"/>
        <v>111</v>
      </c>
      <c r="R47" s="774" t="s">
        <v>17</v>
      </c>
      <c r="S47" s="775">
        <f t="shared" si="12"/>
        <v>100</v>
      </c>
      <c r="T47" s="774" t="s">
        <v>17</v>
      </c>
      <c r="U47" s="775">
        <f t="shared" si="13"/>
        <v>100</v>
      </c>
      <c r="V47" s="774" t="s">
        <v>17</v>
      </c>
      <c r="W47" s="775">
        <f t="shared" si="14"/>
        <v>100</v>
      </c>
      <c r="X47" s="1812"/>
      <c r="Y47" s="3180"/>
      <c r="Z47" s="1813">
        <f t="shared" si="15"/>
        <v>111</v>
      </c>
      <c r="AA47" s="1810">
        <f t="shared" si="3"/>
        <v>1</v>
      </c>
      <c r="AB47" s="1810">
        <f t="shared" si="4"/>
        <v>1</v>
      </c>
      <c r="AC47" s="2674">
        <f t="shared" si="5"/>
        <v>1</v>
      </c>
    </row>
    <row r="48" spans="1:29" ht="14.4">
      <c r="A48" s="479" t="s">
        <v>2577</v>
      </c>
      <c r="B48" s="480"/>
      <c r="C48" s="1406" t="s">
        <v>1</v>
      </c>
      <c r="D48" s="1407"/>
      <c r="E48" s="1408"/>
      <c r="F48" s="1409"/>
      <c r="G48" s="1410"/>
      <c r="H48" s="1411"/>
      <c r="I48" s="1408"/>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 thickBot="1">
      <c r="A50" s="492" t="s">
        <v>2670</v>
      </c>
      <c r="B50" s="493"/>
      <c r="C50" s="1416" t="e">
        <f>R50</f>
        <v>#DIV/0!</v>
      </c>
      <c r="D50" s="1416"/>
      <c r="E50" s="1416"/>
      <c r="F50" s="1416"/>
      <c r="G50" s="1416"/>
      <c r="H50" s="1416"/>
      <c r="I50" s="1416"/>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2674</v>
      </c>
      <c r="B58" s="759"/>
      <c r="C58" s="764"/>
      <c r="D58" s="764"/>
      <c r="E58" s="764"/>
      <c r="F58" s="765"/>
      <c r="G58" s="765"/>
      <c r="H58" s="764"/>
      <c r="I58" s="764"/>
      <c r="J58" s="764"/>
      <c r="K58" s="766"/>
      <c r="L58" s="1161"/>
      <c r="M58" s="1159"/>
      <c r="N58" s="1159"/>
      <c r="O58" s="1159"/>
      <c r="P58" s="2681"/>
      <c r="Q58" s="504"/>
    </row>
    <row r="59" spans="1:29" s="508" customFormat="1" ht="14.4">
      <c r="A59" s="505" t="s">
        <v>2548</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2585</v>
      </c>
      <c r="B61" s="516"/>
      <c r="C61" s="517"/>
      <c r="D61" s="518"/>
      <c r="E61" s="518"/>
      <c r="F61" s="518"/>
      <c r="G61" s="518"/>
      <c r="H61" s="518"/>
      <c r="I61" s="518"/>
      <c r="J61" s="518"/>
      <c r="K61" s="518"/>
      <c r="L61" s="518"/>
      <c r="M61" s="519"/>
      <c r="N61" s="518"/>
      <c r="O61" s="519"/>
      <c r="P61" s="2682"/>
      <c r="Q61" s="504"/>
    </row>
    <row r="62" spans="1:29" s="117" customFormat="1" ht="14.4">
      <c r="A62" s="521" t="s">
        <v>2550</v>
      </c>
      <c r="B62" s="510"/>
      <c r="C62" s="522" t="s">
        <v>2652</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2588</v>
      </c>
      <c r="B64" s="528" t="s">
        <v>2554</v>
      </c>
      <c r="C64" s="529">
        <f>C9</f>
        <v>0</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2689</v>
      </c>
      <c r="C83" s="660" t="s">
        <v>2675</v>
      </c>
      <c r="D83" s="660" t="s">
        <v>2676</v>
      </c>
      <c r="E83" s="660" t="s">
        <v>2677</v>
      </c>
      <c r="F83" s="660" t="s">
        <v>2678</v>
      </c>
      <c r="G83" s="660" t="s">
        <v>2679</v>
      </c>
      <c r="H83" s="539"/>
      <c r="I83" s="539"/>
      <c r="J83" s="539"/>
      <c r="K83" s="539"/>
      <c r="L83" s="539"/>
      <c r="M83" s="1381"/>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2699</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4.4"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6"/>
      <c r="B100" s="569"/>
      <c r="C100" s="570"/>
      <c r="D100" s="570"/>
      <c r="E100" s="570"/>
      <c r="F100" s="570"/>
      <c r="G100" s="591"/>
      <c r="H100" s="591"/>
      <c r="I100" s="591"/>
      <c r="J100" s="591"/>
      <c r="K100" s="591"/>
      <c r="L100" s="591"/>
      <c r="M100" s="592"/>
      <c r="N100" s="1153"/>
      <c r="O100" s="1153"/>
      <c r="P100" s="2684"/>
      <c r="Q100" s="504"/>
    </row>
    <row r="101" spans="1:17" ht="14.4">
      <c r="A101" s="527" t="s">
        <v>2563</v>
      </c>
      <c r="B101" s="528" t="s">
        <v>2612</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受贵公司委托，我公司对房地产抵押价值进行了预评估。</v>
      </c>
    </row>
    <row r="5" spans="1:1" ht="17.399999999999999">
      <c r="A5" s="1947" t="s">
        <v>1607</v>
      </c>
    </row>
    <row r="6" spans="1:1" ht="17.399999999999999">
      <c r="A6" s="1948" t="s">
        <v>1608</v>
      </c>
    </row>
    <row r="7" spans="1:1" ht="17.399999999999999">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估价对象为房地产，为所有。根据《国有土地使用证》[]，估价对象（分摊）出让国有建设用地使用权面积为7.71平方米，建筑面积为177.12平方米。</v>
      </c>
    </row>
    <row r="8" spans="1:1" ht="54.6">
      <c r="A8" s="1949" t="s">
        <v>1609</v>
      </c>
    </row>
    <row r="9" spans="1:1" ht="17.399999999999999">
      <c r="A9" s="1948" t="s">
        <v>1610</v>
      </c>
    </row>
    <row r="10" spans="1:1" ht="17.399999999999999">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估价对象为房地产,属开发建设的居住项目，该项目尚在开发建设中。根据《国有土地使用证》[]，估价对象（分摊）出让国有建设用地使用权面积为7.71平方米，规划建筑面积为177.12平方米。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2019年8月12日（评估专业人员实地查勘之日）</v>
      </c>
    </row>
    <row r="16" spans="1:1" ht="17.399999999999999">
      <c r="A16" s="1951" t="s">
        <v>1614</v>
      </c>
    </row>
    <row r="17" spans="1:1" ht="69.599999999999994">
      <c r="A17" s="1946" t="s">
        <v>1615</v>
      </c>
    </row>
    <row r="18" spans="1:1" ht="52.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本次评估采用的主估价方法为比较法和收益法。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69"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177.12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185" t="s">
        <v>2648</v>
      </c>
      <c r="AC4" s="3184" t="s">
        <v>2649</v>
      </c>
    </row>
    <row r="5" spans="1:29">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185"/>
      <c r="AC5" s="3185"/>
    </row>
    <row r="6" spans="1:29" ht="1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2"/>
      <c r="Y6" s="3201"/>
      <c r="Z6" s="3202"/>
      <c r="AA6" s="3186"/>
      <c r="AB6" s="3186"/>
      <c r="AC6" s="3186"/>
    </row>
    <row r="7" spans="1:29" s="117" customFormat="1" ht="15" thickBot="1">
      <c r="A7" s="408" t="s">
        <v>2548</v>
      </c>
      <c r="B7" s="409"/>
      <c r="C7" s="410">
        <f>'数据-取费表'!B2</f>
        <v>43689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69">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2560</v>
      </c>
      <c r="Q15" s="1809" t="str">
        <f t="shared" si="6"/>
        <v>产业集聚程度</v>
      </c>
      <c r="R15" s="774" t="s">
        <v>17</v>
      </c>
      <c r="S15" s="775">
        <f t="shared" si="0"/>
        <v>100</v>
      </c>
      <c r="T15" s="774" t="s">
        <v>17</v>
      </c>
      <c r="U15" s="775">
        <f t="shared" si="1"/>
        <v>100</v>
      </c>
      <c r="V15" s="774" t="s">
        <v>17</v>
      </c>
      <c r="W15" s="775">
        <f t="shared" si="2"/>
        <v>100</v>
      </c>
      <c r="X15" s="1812"/>
      <c r="Y15" s="3174"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5"/>
      <c r="Q16" s="1809"/>
      <c r="R16" s="774"/>
      <c r="S16" s="775"/>
      <c r="T16" s="774"/>
      <c r="U16" s="775"/>
      <c r="V16" s="774"/>
      <c r="W16" s="775"/>
      <c r="X16" s="1812"/>
      <c r="Y16" s="3175"/>
      <c r="Z16" s="1813"/>
      <c r="AA16" s="1810">
        <v>1</v>
      </c>
      <c r="AB16" s="1810">
        <v>1</v>
      </c>
      <c r="AC16" s="1810">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175"/>
      <c r="Q18" s="1809"/>
      <c r="R18" s="774"/>
      <c r="S18" s="775"/>
      <c r="T18" s="774"/>
      <c r="U18" s="775"/>
      <c r="V18" s="774"/>
      <c r="W18" s="775"/>
      <c r="X18" s="1812"/>
      <c r="Y18" s="3175"/>
      <c r="Z18" s="1813"/>
      <c r="AA18" s="1810">
        <v>1</v>
      </c>
      <c r="AB18" s="1810">
        <v>1</v>
      </c>
      <c r="AC18" s="1810">
        <v>1</v>
      </c>
    </row>
    <row r="19" spans="1:29" ht="41.4">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175"/>
      <c r="Q20" s="1809"/>
      <c r="R20" s="774"/>
      <c r="S20" s="775"/>
      <c r="T20" s="774"/>
      <c r="U20" s="775"/>
      <c r="V20" s="774"/>
      <c r="W20" s="775"/>
      <c r="X20" s="1812"/>
      <c r="Y20" s="3175"/>
      <c r="Z20" s="1813"/>
      <c r="AA20" s="1810">
        <v>1</v>
      </c>
      <c r="AB20" s="1810">
        <v>1</v>
      </c>
      <c r="AC20" s="1810">
        <v>1</v>
      </c>
    </row>
    <row r="21" spans="1:29" ht="41.4">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175"/>
      <c r="Q22" s="1809"/>
      <c r="R22" s="774"/>
      <c r="S22" s="775"/>
      <c r="T22" s="774"/>
      <c r="U22" s="775"/>
      <c r="V22" s="774"/>
      <c r="W22" s="775"/>
      <c r="X22" s="1812"/>
      <c r="Y22" s="3175"/>
      <c r="Z22" s="1813"/>
      <c r="AA22" s="1810">
        <v>1</v>
      </c>
      <c r="AB22" s="1810">
        <v>1</v>
      </c>
      <c r="AC22" s="1810">
        <v>1</v>
      </c>
    </row>
    <row r="23" spans="1:29" ht="82.8">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09" t="str">
        <f>B23</f>
        <v>环境质量</v>
      </c>
      <c r="R23" s="774" t="s">
        <v>17</v>
      </c>
      <c r="S23" s="775">
        <f>F23</f>
        <v>100</v>
      </c>
      <c r="T23" s="774" t="s">
        <v>17</v>
      </c>
      <c r="U23" s="775">
        <f>H23</f>
        <v>100</v>
      </c>
      <c r="V23" s="774" t="s">
        <v>17</v>
      </c>
      <c r="W23" s="775">
        <f>J23</f>
        <v>100</v>
      </c>
      <c r="X23" s="1812"/>
      <c r="Y23" s="3175"/>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175"/>
      <c r="Q24" s="1809"/>
      <c r="R24" s="774"/>
      <c r="S24" s="775"/>
      <c r="T24" s="774"/>
      <c r="U24" s="775"/>
      <c r="V24" s="774"/>
      <c r="W24" s="775"/>
      <c r="X24" s="1812"/>
      <c r="Y24" s="317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09">
        <f>B25</f>
        <v>111</v>
      </c>
      <c r="R25" s="774" t="s">
        <v>17</v>
      </c>
      <c r="S25" s="775">
        <f>F25</f>
        <v>100</v>
      </c>
      <c r="T25" s="774" t="s">
        <v>17</v>
      </c>
      <c r="U25" s="775">
        <f>H25</f>
        <v>100</v>
      </c>
      <c r="V25" s="774" t="s">
        <v>17</v>
      </c>
      <c r="W25" s="775">
        <f>J25</f>
        <v>100</v>
      </c>
      <c r="X25" s="1812"/>
      <c r="Y25" s="317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09">
        <f t="shared" ref="Q26:Q40" si="11">B26</f>
        <v>111</v>
      </c>
      <c r="R26" s="774" t="s">
        <v>17</v>
      </c>
      <c r="S26" s="775">
        <f>F26</f>
        <v>100</v>
      </c>
      <c r="T26" s="774" t="s">
        <v>17</v>
      </c>
      <c r="U26" s="775">
        <f>H26</f>
        <v>100</v>
      </c>
      <c r="V26" s="774" t="s">
        <v>17</v>
      </c>
      <c r="W26" s="775">
        <f>J26</f>
        <v>100</v>
      </c>
      <c r="X26" s="1812"/>
      <c r="Y26" s="317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4">
        <f t="shared" si="11"/>
        <v>111</v>
      </c>
      <c r="R27" s="770" t="s">
        <v>17</v>
      </c>
      <c r="S27" s="771">
        <f>F27</f>
        <v>100</v>
      </c>
      <c r="T27" s="770" t="s">
        <v>17</v>
      </c>
      <c r="U27" s="771">
        <f>H27</f>
        <v>100</v>
      </c>
      <c r="V27" s="770" t="s">
        <v>17</v>
      </c>
      <c r="W27" s="771">
        <f>J27</f>
        <v>100</v>
      </c>
      <c r="X27" s="772"/>
      <c r="Y27" s="3175"/>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09">
        <f t="shared" si="11"/>
        <v>111</v>
      </c>
      <c r="R28" s="774" t="s">
        <v>17</v>
      </c>
      <c r="S28" s="775">
        <f t="shared" ref="S28:S40" si="12">F28</f>
        <v>100</v>
      </c>
      <c r="T28" s="774" t="s">
        <v>17</v>
      </c>
      <c r="U28" s="775">
        <f t="shared" ref="U28:U40" si="13">H28</f>
        <v>100</v>
      </c>
      <c r="V28" s="774" t="s">
        <v>17</v>
      </c>
      <c r="W28" s="775">
        <f t="shared" ref="W28:W40" si="14">J28</f>
        <v>100</v>
      </c>
      <c r="X28" s="1812"/>
      <c r="Y28" s="3175"/>
      <c r="Z28" s="1813">
        <f t="shared" ref="Z28:Z40" si="15">Q28</f>
        <v>111</v>
      </c>
      <c r="AA28" s="1810">
        <f t="shared" si="3"/>
        <v>1</v>
      </c>
      <c r="AB28" s="1810">
        <f t="shared" si="4"/>
        <v>1</v>
      </c>
      <c r="AC28" s="1810">
        <f t="shared" si="5"/>
        <v>1</v>
      </c>
    </row>
    <row r="29" spans="1:29" ht="30">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0" t="s">
        <v>2565</v>
      </c>
      <c r="Q29" s="1809" t="str">
        <f t="shared" si="11"/>
        <v>建筑类型</v>
      </c>
      <c r="R29" s="774" t="s">
        <v>17</v>
      </c>
      <c r="S29" s="775">
        <f t="shared" si="12"/>
        <v>100</v>
      </c>
      <c r="T29" s="774" t="s">
        <v>17</v>
      </c>
      <c r="U29" s="775">
        <f t="shared" si="13"/>
        <v>100</v>
      </c>
      <c r="V29" s="774" t="s">
        <v>17</v>
      </c>
      <c r="W29" s="775">
        <f t="shared" si="14"/>
        <v>100</v>
      </c>
      <c r="X29" s="1812"/>
      <c r="Y29" s="3179"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09" t="str">
        <f t="shared" si="11"/>
        <v>建筑结构</v>
      </c>
      <c r="R31" s="774" t="s">
        <v>17</v>
      </c>
      <c r="S31" s="775">
        <f t="shared" si="12"/>
        <v>100</v>
      </c>
      <c r="T31" s="774" t="s">
        <v>17</v>
      </c>
      <c r="U31" s="775">
        <f t="shared" si="13"/>
        <v>100</v>
      </c>
      <c r="V31" s="774" t="s">
        <v>17</v>
      </c>
      <c r="W31" s="775">
        <f t="shared" si="14"/>
        <v>100</v>
      </c>
      <c r="X31" s="1812"/>
      <c r="Y31" s="3179"/>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09" t="str">
        <f t="shared" si="11"/>
        <v>公共部分装修</v>
      </c>
      <c r="R32" s="774" t="s">
        <v>17</v>
      </c>
      <c r="S32" s="775">
        <f t="shared" si="12"/>
        <v>100</v>
      </c>
      <c r="T32" s="774" t="s">
        <v>17</v>
      </c>
      <c r="U32" s="775">
        <f t="shared" si="13"/>
        <v>100</v>
      </c>
      <c r="V32" s="774" t="s">
        <v>17</v>
      </c>
      <c r="W32" s="775">
        <f t="shared" si="14"/>
        <v>100</v>
      </c>
      <c r="X32" s="1812"/>
      <c r="Y32" s="3179"/>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09" t="str">
        <f t="shared" si="11"/>
        <v>成新度</v>
      </c>
      <c r="R33" s="774" t="s">
        <v>17</v>
      </c>
      <c r="S33" s="775" t="e">
        <f t="shared" si="12"/>
        <v>#N/A</v>
      </c>
      <c r="T33" s="774" t="s">
        <v>17</v>
      </c>
      <c r="U33" s="775" t="e">
        <f t="shared" si="13"/>
        <v>#N/A</v>
      </c>
      <c r="V33" s="774" t="s">
        <v>17</v>
      </c>
      <c r="W33" s="775" t="e">
        <f t="shared" si="14"/>
        <v>#N/A</v>
      </c>
      <c r="X33" s="1812"/>
      <c r="Y33" s="3179"/>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4"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2565</v>
      </c>
      <c r="Q35" s="1809" t="str">
        <f t="shared" si="11"/>
        <v>市政基础设施</v>
      </c>
      <c r="R35" s="774" t="s">
        <v>17</v>
      </c>
      <c r="S35" s="775">
        <f t="shared" si="12"/>
        <v>100</v>
      </c>
      <c r="T35" s="774" t="s">
        <v>17</v>
      </c>
      <c r="U35" s="775">
        <f t="shared" si="13"/>
        <v>100</v>
      </c>
      <c r="V35" s="774" t="s">
        <v>17</v>
      </c>
      <c r="W35" s="775">
        <f t="shared" si="14"/>
        <v>100</v>
      </c>
      <c r="X35" s="1812"/>
      <c r="Y35" s="3179"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09" t="str">
        <f t="shared" si="11"/>
        <v>内部装修</v>
      </c>
      <c r="R36" s="774" t="s">
        <v>17</v>
      </c>
      <c r="S36" s="775">
        <f t="shared" si="12"/>
        <v>100</v>
      </c>
      <c r="T36" s="774" t="s">
        <v>17</v>
      </c>
      <c r="U36" s="775">
        <f t="shared" si="13"/>
        <v>100</v>
      </c>
      <c r="V36" s="774" t="s">
        <v>17</v>
      </c>
      <c r="W36" s="775">
        <f t="shared" si="14"/>
        <v>100</v>
      </c>
      <c r="X36" s="1812"/>
      <c r="Y36" s="3179"/>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09" t="str">
        <f t="shared" si="11"/>
        <v>内部装修状况</v>
      </c>
      <c r="R37" s="774" t="s">
        <v>17</v>
      </c>
      <c r="S37" s="775">
        <f t="shared" si="12"/>
        <v>100</v>
      </c>
      <c r="T37" s="774" t="s">
        <v>17</v>
      </c>
      <c r="U37" s="775">
        <f t="shared" si="13"/>
        <v>100</v>
      </c>
      <c r="V37" s="774" t="s">
        <v>17</v>
      </c>
      <c r="W37" s="775">
        <f t="shared" si="14"/>
        <v>100</v>
      </c>
      <c r="X37" s="1812"/>
      <c r="Y37" s="317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09">
        <f t="shared" si="11"/>
        <v>111</v>
      </c>
      <c r="R39" s="774" t="s">
        <v>17</v>
      </c>
      <c r="S39" s="775">
        <f t="shared" si="12"/>
        <v>100</v>
      </c>
      <c r="T39" s="774" t="s">
        <v>17</v>
      </c>
      <c r="U39" s="775">
        <f t="shared" si="13"/>
        <v>100</v>
      </c>
      <c r="V39" s="774" t="s">
        <v>17</v>
      </c>
      <c r="W39" s="775">
        <f t="shared" si="14"/>
        <v>100</v>
      </c>
      <c r="X39" s="1812"/>
      <c r="Y39" s="3179"/>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09">
        <f t="shared" si="11"/>
        <v>111</v>
      </c>
      <c r="R40" s="774" t="s">
        <v>17</v>
      </c>
      <c r="S40" s="775">
        <f t="shared" si="12"/>
        <v>100</v>
      </c>
      <c r="T40" s="774" t="s">
        <v>17</v>
      </c>
      <c r="U40" s="775">
        <f t="shared" si="13"/>
        <v>100</v>
      </c>
      <c r="V40" s="774" t="s">
        <v>17</v>
      </c>
      <c r="W40" s="775">
        <f t="shared" si="14"/>
        <v>100</v>
      </c>
      <c r="X40" s="1812"/>
      <c r="Y40" s="3180"/>
      <c r="Z40" s="1813">
        <f t="shared" si="15"/>
        <v>111</v>
      </c>
      <c r="AA40" s="1810">
        <f t="shared" si="3"/>
        <v>1</v>
      </c>
      <c r="AB40" s="1810">
        <f t="shared" si="4"/>
        <v>1</v>
      </c>
      <c r="AC40" s="1810">
        <f t="shared" si="5"/>
        <v>1</v>
      </c>
    </row>
    <row r="41" spans="1:29" ht="14.4">
      <c r="A41" s="479" t="s">
        <v>2577</v>
      </c>
      <c r="B41" s="480"/>
      <c r="C41" s="1406" t="s">
        <v>1</v>
      </c>
      <c r="D41" s="1407"/>
      <c r="E41" s="1408"/>
      <c r="F41" s="1409"/>
      <c r="G41" s="1410"/>
      <c r="H41" s="1411"/>
      <c r="I41" s="1408"/>
      <c r="J41" s="1411"/>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 thickBot="1">
      <c r="A43" s="492" t="s">
        <v>2670</v>
      </c>
      <c r="B43" s="493"/>
      <c r="C43" s="1416" t="e">
        <f>R43</f>
        <v>#DIV/0!</v>
      </c>
      <c r="D43" s="1416"/>
      <c r="E43" s="1416"/>
      <c r="F43" s="1416"/>
      <c r="G43" s="1416"/>
      <c r="H43" s="1416"/>
      <c r="I43" s="1416"/>
      <c r="J43" s="1416"/>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2674</v>
      </c>
      <c r="B51" s="759"/>
      <c r="C51" s="764"/>
      <c r="D51" s="764"/>
      <c r="E51" s="764"/>
      <c r="F51" s="765"/>
      <c r="G51" s="765"/>
      <c r="H51" s="764"/>
      <c r="I51" s="764"/>
      <c r="J51" s="764"/>
      <c r="K51" s="1160"/>
      <c r="L51" s="1161"/>
      <c r="M51" s="1159"/>
      <c r="N51" s="1159"/>
      <c r="O51" s="1159"/>
      <c r="P51" s="503"/>
      <c r="Q51" s="504"/>
    </row>
    <row r="52" spans="1:17" s="508" customFormat="1" ht="14.4">
      <c r="A52" s="505" t="s">
        <v>2548</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2588</v>
      </c>
      <c r="B57" s="528" t="s">
        <v>2554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6"/>
      <c r="B87" s="569"/>
      <c r="C87" s="570"/>
      <c r="D87" s="570"/>
      <c r="E87" s="570"/>
      <c r="F87" s="570"/>
      <c r="G87" s="591"/>
      <c r="H87" s="591"/>
      <c r="I87" s="591"/>
      <c r="J87" s="591"/>
      <c r="K87" s="591"/>
      <c r="L87" s="591"/>
      <c r="M87" s="592"/>
      <c r="N87" s="1153"/>
      <c r="O87" s="1153"/>
      <c r="P87" s="45"/>
      <c r="Q87" s="504"/>
    </row>
    <row r="88" spans="1:17" ht="14.4">
      <c r="A88" s="527" t="s">
        <v>2563</v>
      </c>
      <c r="B88" s="528" t="s">
        <v>2612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185" t="s">
        <v>2648</v>
      </c>
      <c r="AC4" s="3184" t="s">
        <v>2649</v>
      </c>
    </row>
    <row r="5" spans="1:29">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185"/>
      <c r="AC5" s="3185"/>
    </row>
    <row r="6" spans="1:29" ht="1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2"/>
      <c r="Y6" s="3201"/>
      <c r="Z6" s="3202"/>
      <c r="AA6" s="3186"/>
      <c r="AB6" s="3186"/>
      <c r="AC6" s="3186"/>
    </row>
    <row r="7" spans="1:29" s="117" customFormat="1" ht="15" thickBot="1">
      <c r="A7" s="408" t="s">
        <v>2548</v>
      </c>
      <c r="B7" s="409"/>
      <c r="C7" s="410">
        <f>'数据-取费表'!B2</f>
        <v>43689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2549</v>
      </c>
      <c r="Q7" s="3210"/>
      <c r="R7" s="770" t="s">
        <v>17</v>
      </c>
      <c r="S7" s="771">
        <f t="shared" ref="S7:S14" si="0">F7</f>
        <v>0</v>
      </c>
      <c r="T7" s="770" t="s">
        <v>17</v>
      </c>
      <c r="U7" s="771">
        <f t="shared" ref="U7:U14" si="1">H7</f>
        <v>0</v>
      </c>
      <c r="V7" s="770" t="s">
        <v>17</v>
      </c>
      <c r="W7" s="771">
        <f t="shared" ref="W7:W14" si="2">J7</f>
        <v>0</v>
      </c>
      <c r="X7" s="772"/>
      <c r="Y7" s="3208" t="s">
        <v>2549</v>
      </c>
      <c r="Z7" s="3209"/>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2555</v>
      </c>
      <c r="Q9" s="1794" t="str">
        <f t="shared" ref="Q9:Q14" si="6">B9</f>
        <v>用途</v>
      </c>
      <c r="R9" s="770" t="s">
        <v>17</v>
      </c>
      <c r="S9" s="771">
        <f t="shared" si="0"/>
        <v>100</v>
      </c>
      <c r="T9" s="770" t="s">
        <v>17</v>
      </c>
      <c r="U9" s="771">
        <f t="shared" si="1"/>
        <v>100</v>
      </c>
      <c r="V9" s="770" t="s">
        <v>17</v>
      </c>
      <c r="W9" s="771">
        <f t="shared" si="2"/>
        <v>100</v>
      </c>
      <c r="X9" s="772"/>
      <c r="Y9" s="2997"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96.6">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2560</v>
      </c>
      <c r="Q14" s="1809" t="str">
        <f t="shared" si="6"/>
        <v>交通便捷度</v>
      </c>
      <c r="R14" s="774" t="s">
        <v>17</v>
      </c>
      <c r="S14" s="775">
        <f t="shared" si="0"/>
        <v>100</v>
      </c>
      <c r="T14" s="774" t="s">
        <v>17</v>
      </c>
      <c r="U14" s="775">
        <f t="shared" si="1"/>
        <v>100</v>
      </c>
      <c r="V14" s="774" t="s">
        <v>17</v>
      </c>
      <c r="W14" s="775">
        <f t="shared" si="2"/>
        <v>100</v>
      </c>
      <c r="X14" s="1812"/>
      <c r="Y14" s="3174"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5"/>
      <c r="Q15" s="1809"/>
      <c r="R15" s="774"/>
      <c r="S15" s="775"/>
      <c r="T15" s="774"/>
      <c r="U15" s="775"/>
      <c r="V15" s="774"/>
      <c r="W15" s="775"/>
      <c r="X15" s="1812"/>
      <c r="Y15" s="3175"/>
      <c r="Z15" s="1813"/>
      <c r="AA15" s="1810">
        <v>1</v>
      </c>
      <c r="AB15" s="1810">
        <v>1</v>
      </c>
      <c r="AC15" s="1810">
        <v>1</v>
      </c>
    </row>
    <row r="16" spans="1:29" ht="41.4">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09" t="str">
        <f>B16</f>
        <v>公共配套设施</v>
      </c>
      <c r="R16" s="774" t="s">
        <v>17</v>
      </c>
      <c r="S16" s="775">
        <f>F16</f>
        <v>100</v>
      </c>
      <c r="T16" s="774" t="s">
        <v>17</v>
      </c>
      <c r="U16" s="775">
        <f>H16</f>
        <v>100</v>
      </c>
      <c r="V16" s="774" t="s">
        <v>17</v>
      </c>
      <c r="W16" s="775">
        <f>J16</f>
        <v>100</v>
      </c>
      <c r="X16" s="1812"/>
      <c r="Y16" s="3175"/>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175"/>
      <c r="Q17" s="1809"/>
      <c r="R17" s="774"/>
      <c r="S17" s="775"/>
      <c r="T17" s="774"/>
      <c r="U17" s="775"/>
      <c r="V17" s="774"/>
      <c r="W17" s="775"/>
      <c r="X17" s="1812"/>
      <c r="Y17" s="3175"/>
      <c r="Z17" s="1813"/>
      <c r="AA17" s="1810">
        <v>1</v>
      </c>
      <c r="AB17" s="1810">
        <v>1</v>
      </c>
      <c r="AC17" s="1810">
        <v>1</v>
      </c>
    </row>
    <row r="18" spans="1:29" ht="41.4">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09" t="str">
        <f>B18</f>
        <v>基础设施水平</v>
      </c>
      <c r="R18" s="774" t="s">
        <v>17</v>
      </c>
      <c r="S18" s="775">
        <f>F18</f>
        <v>100</v>
      </c>
      <c r="T18" s="774" t="s">
        <v>17</v>
      </c>
      <c r="U18" s="775">
        <f>H18</f>
        <v>100</v>
      </c>
      <c r="V18" s="774" t="s">
        <v>17</v>
      </c>
      <c r="W18" s="775">
        <f>J18</f>
        <v>100</v>
      </c>
      <c r="X18" s="1812"/>
      <c r="Y18" s="3175"/>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175"/>
      <c r="Q19" s="1809"/>
      <c r="R19" s="774"/>
      <c r="S19" s="775"/>
      <c r="T19" s="774"/>
      <c r="U19" s="775"/>
      <c r="V19" s="774"/>
      <c r="W19" s="775"/>
      <c r="X19" s="1812"/>
      <c r="Y19" s="3175"/>
      <c r="Z19" s="1813"/>
      <c r="AA19" s="1810">
        <v>1</v>
      </c>
      <c r="AB19" s="1810">
        <v>1</v>
      </c>
      <c r="AC19" s="1810">
        <v>1</v>
      </c>
    </row>
    <row r="20" spans="1:29" ht="55.2">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09" t="str">
        <f>B20</f>
        <v>自然及人文环境</v>
      </c>
      <c r="R20" s="774" t="s">
        <v>17</v>
      </c>
      <c r="S20" s="775">
        <f>F20</f>
        <v>100</v>
      </c>
      <c r="T20" s="774" t="s">
        <v>17</v>
      </c>
      <c r="U20" s="775">
        <f>H20</f>
        <v>100</v>
      </c>
      <c r="V20" s="774" t="s">
        <v>17</v>
      </c>
      <c r="W20" s="775">
        <f>J20</f>
        <v>100</v>
      </c>
      <c r="X20" s="1812"/>
      <c r="Y20" s="317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5"/>
      <c r="Q21" s="1809"/>
      <c r="R21" s="774"/>
      <c r="S21" s="775"/>
      <c r="T21" s="774"/>
      <c r="U21" s="775"/>
      <c r="V21" s="774"/>
      <c r="W21" s="775"/>
      <c r="X21" s="1812"/>
      <c r="Y21" s="3175"/>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09" t="str">
        <f>B22</f>
        <v>楼层</v>
      </c>
      <c r="R22" s="774" t="s">
        <v>17</v>
      </c>
      <c r="S22" s="775">
        <f>F22</f>
        <v>100</v>
      </c>
      <c r="T22" s="774" t="s">
        <v>17</v>
      </c>
      <c r="U22" s="775">
        <f>H22</f>
        <v>100</v>
      </c>
      <c r="V22" s="774" t="s">
        <v>17</v>
      </c>
      <c r="W22" s="775">
        <f>J22</f>
        <v>100</v>
      </c>
      <c r="X22" s="1812"/>
      <c r="Y22" s="317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09">
        <f>B23</f>
        <v>111</v>
      </c>
      <c r="R23" s="774" t="s">
        <v>17</v>
      </c>
      <c r="S23" s="775">
        <f>F23</f>
        <v>100</v>
      </c>
      <c r="T23" s="774" t="s">
        <v>17</v>
      </c>
      <c r="U23" s="775">
        <f>H23</f>
        <v>100</v>
      </c>
      <c r="V23" s="774" t="s">
        <v>17</v>
      </c>
      <c r="W23" s="775">
        <f>J23</f>
        <v>100</v>
      </c>
      <c r="X23" s="1812"/>
      <c r="Y23" s="317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09">
        <f t="shared" ref="Q24:Q36" si="11">B24</f>
        <v>111</v>
      </c>
      <c r="R24" s="774" t="s">
        <v>17</v>
      </c>
      <c r="S24" s="775">
        <f>F24</f>
        <v>100</v>
      </c>
      <c r="T24" s="774" t="s">
        <v>17</v>
      </c>
      <c r="U24" s="775">
        <f>H24</f>
        <v>100</v>
      </c>
      <c r="V24" s="774" t="s">
        <v>17</v>
      </c>
      <c r="W24" s="775">
        <f>J24</f>
        <v>100</v>
      </c>
      <c r="X24" s="1812"/>
      <c r="Y24" s="317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4">
        <f t="shared" si="11"/>
        <v>111</v>
      </c>
      <c r="R25" s="770" t="s">
        <v>17</v>
      </c>
      <c r="S25" s="771">
        <f>F25</f>
        <v>100</v>
      </c>
      <c r="T25" s="770" t="s">
        <v>17</v>
      </c>
      <c r="U25" s="771">
        <f>H25</f>
        <v>100</v>
      </c>
      <c r="V25" s="770" t="s">
        <v>17</v>
      </c>
      <c r="W25" s="771">
        <f>J25</f>
        <v>100</v>
      </c>
      <c r="X25" s="772"/>
      <c r="Y25" s="3175"/>
      <c r="Z25" s="55">
        <f>Q25</f>
        <v>111</v>
      </c>
      <c r="AA25" s="1810">
        <f>D25/F25</f>
        <v>1</v>
      </c>
      <c r="AB25" s="1810">
        <f>D25/H25</f>
        <v>1</v>
      </c>
      <c r="AC25" s="1810">
        <f>D25/J25</f>
        <v>1</v>
      </c>
    </row>
    <row r="26" spans="1:29" ht="30">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9"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09" t="str">
        <f t="shared" si="11"/>
        <v>公共部分装修</v>
      </c>
      <c r="R28" s="774" t="s">
        <v>17</v>
      </c>
      <c r="S28" s="775">
        <f t="shared" si="12"/>
        <v>100</v>
      </c>
      <c r="T28" s="774" t="s">
        <v>17</v>
      </c>
      <c r="U28" s="775">
        <f t="shared" si="13"/>
        <v>100</v>
      </c>
      <c r="V28" s="774" t="s">
        <v>17</v>
      </c>
      <c r="W28" s="775">
        <f t="shared" si="14"/>
        <v>100</v>
      </c>
      <c r="X28" s="1812"/>
      <c r="Y28" s="3179"/>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09" t="str">
        <f t="shared" si="11"/>
        <v>成新率</v>
      </c>
      <c r="R29" s="774" t="s">
        <v>17</v>
      </c>
      <c r="S29" s="775" t="e">
        <f t="shared" si="12"/>
        <v>#N/A</v>
      </c>
      <c r="T29" s="774" t="s">
        <v>17</v>
      </c>
      <c r="U29" s="775" t="e">
        <f t="shared" si="13"/>
        <v>#N/A</v>
      </c>
      <c r="V29" s="774" t="s">
        <v>17</v>
      </c>
      <c r="W29" s="775" t="e">
        <f t="shared" si="14"/>
        <v>#N/A</v>
      </c>
      <c r="X29" s="1812"/>
      <c r="Y29" s="3179"/>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09" t="str">
        <f t="shared" si="11"/>
        <v>物业等级</v>
      </c>
      <c r="R30" s="774" t="s">
        <v>17</v>
      </c>
      <c r="S30" s="775">
        <f t="shared" si="12"/>
        <v>100</v>
      </c>
      <c r="T30" s="774" t="s">
        <v>17</v>
      </c>
      <c r="U30" s="775">
        <f t="shared" si="13"/>
        <v>100</v>
      </c>
      <c r="V30" s="774" t="s">
        <v>17</v>
      </c>
      <c r="W30" s="775">
        <f t="shared" si="14"/>
        <v>100</v>
      </c>
      <c r="X30" s="1812"/>
      <c r="Y30" s="3179"/>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4"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2565</v>
      </c>
      <c r="Q32" s="1809" t="str">
        <f t="shared" si="11"/>
        <v>车位类型</v>
      </c>
      <c r="R32" s="774" t="s">
        <v>17</v>
      </c>
      <c r="S32" s="775">
        <f t="shared" si="12"/>
        <v>100</v>
      </c>
      <c r="T32" s="774" t="s">
        <v>17</v>
      </c>
      <c r="U32" s="775">
        <f t="shared" si="13"/>
        <v>100</v>
      </c>
      <c r="V32" s="774" t="s">
        <v>17</v>
      </c>
      <c r="W32" s="775">
        <f t="shared" si="14"/>
        <v>100</v>
      </c>
      <c r="X32" s="1812"/>
      <c r="Y32" s="3179"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09" t="str">
        <f t="shared" si="11"/>
        <v>是否直接入户</v>
      </c>
      <c r="R33" s="774" t="s">
        <v>17</v>
      </c>
      <c r="S33" s="775">
        <f t="shared" si="12"/>
        <v>100</v>
      </c>
      <c r="T33" s="774" t="s">
        <v>17</v>
      </c>
      <c r="U33" s="775">
        <f t="shared" si="13"/>
        <v>100</v>
      </c>
      <c r="V33" s="774" t="s">
        <v>17</v>
      </c>
      <c r="W33" s="775">
        <f t="shared" si="14"/>
        <v>100</v>
      </c>
      <c r="X33" s="1812"/>
      <c r="Y33" s="317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09">
        <f t="shared" si="11"/>
        <v>111</v>
      </c>
      <c r="R34" s="774" t="s">
        <v>17</v>
      </c>
      <c r="S34" s="775">
        <f t="shared" si="12"/>
        <v>100</v>
      </c>
      <c r="T34" s="774" t="s">
        <v>17</v>
      </c>
      <c r="U34" s="775">
        <f t="shared" si="13"/>
        <v>100</v>
      </c>
      <c r="V34" s="774" t="s">
        <v>17</v>
      </c>
      <c r="W34" s="775">
        <f t="shared" si="14"/>
        <v>100</v>
      </c>
      <c r="X34" s="1812"/>
      <c r="Y34" s="317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09">
        <f t="shared" si="11"/>
        <v>111</v>
      </c>
      <c r="R36" s="774" t="s">
        <v>17</v>
      </c>
      <c r="S36" s="775">
        <f t="shared" si="12"/>
        <v>100</v>
      </c>
      <c r="T36" s="774" t="s">
        <v>17</v>
      </c>
      <c r="U36" s="775">
        <f t="shared" si="13"/>
        <v>100</v>
      </c>
      <c r="V36" s="774" t="s">
        <v>17</v>
      </c>
      <c r="W36" s="775">
        <f t="shared" si="14"/>
        <v>100</v>
      </c>
      <c r="X36" s="1812"/>
      <c r="Y36" s="3179"/>
      <c r="Z36" s="1813">
        <f t="shared" si="15"/>
        <v>111</v>
      </c>
      <c r="AA36" s="1810">
        <f t="shared" si="3"/>
        <v>1</v>
      </c>
      <c r="AB36" s="1810">
        <f t="shared" si="4"/>
        <v>1</v>
      </c>
      <c r="AC36" s="1810">
        <f t="shared" si="5"/>
        <v>1</v>
      </c>
    </row>
    <row r="37" spans="1:29" ht="14.4">
      <c r="A37" s="479" t="s">
        <v>2720</v>
      </c>
      <c r="B37" s="2695" t="s">
        <v>2721</v>
      </c>
      <c r="C37" s="1406" t="s">
        <v>1</v>
      </c>
      <c r="D37" s="1407"/>
      <c r="E37" s="1408"/>
      <c r="F37" s="1409"/>
      <c r="G37" s="1410"/>
      <c r="H37" s="1411"/>
      <c r="I37" s="1408"/>
      <c r="J37" s="1411"/>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 thickBot="1">
      <c r="A39" s="492" t="s">
        <v>2723</v>
      </c>
      <c r="B39" s="493"/>
      <c r="C39" s="1416" t="e">
        <f>R39</f>
        <v>#DIV/0!</v>
      </c>
      <c r="D39" s="1416"/>
      <c r="E39" s="1416"/>
      <c r="F39" s="1416"/>
      <c r="G39" s="1416"/>
      <c r="H39" s="1416"/>
      <c r="I39" s="1416"/>
      <c r="J39" s="1416"/>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2728</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185" t="s">
        <v>2648</v>
      </c>
      <c r="AC4" s="3184" t="s">
        <v>2649</v>
      </c>
    </row>
    <row r="5" spans="1:29">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185"/>
      <c r="AC5" s="3185"/>
    </row>
    <row r="6" spans="1:29" ht="1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2"/>
      <c r="Y6" s="3201"/>
      <c r="Z6" s="3202"/>
      <c r="AA6" s="3186"/>
      <c r="AB6" s="3186"/>
      <c r="AC6" s="3186"/>
    </row>
    <row r="7" spans="1:29" s="117" customFormat="1" ht="15" thickBot="1">
      <c r="A7" s="408" t="s">
        <v>2548</v>
      </c>
      <c r="B7" s="409"/>
      <c r="C7" s="410">
        <f>'数据-取费表'!B2</f>
        <v>43689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8" t="s">
        <v>2549</v>
      </c>
      <c r="Q7" s="3210"/>
      <c r="R7" s="770" t="s">
        <v>17</v>
      </c>
      <c r="S7" s="771">
        <f t="shared" ref="S7:S14" si="0">F7</f>
        <v>0</v>
      </c>
      <c r="T7" s="770" t="s">
        <v>17</v>
      </c>
      <c r="U7" s="771">
        <f t="shared" ref="U7:U14" si="1">H7</f>
        <v>0</v>
      </c>
      <c r="V7" s="770" t="s">
        <v>17</v>
      </c>
      <c r="W7" s="771">
        <f t="shared" ref="W7:W14" si="2">J7</f>
        <v>0</v>
      </c>
      <c r="X7" s="772"/>
      <c r="Y7" s="3208" t="s">
        <v>2549</v>
      </c>
      <c r="Z7" s="3209"/>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2555</v>
      </c>
      <c r="Q9" s="1794" t="str">
        <f t="shared" ref="Q9:Q14" si="6">B9</f>
        <v>用途</v>
      </c>
      <c r="R9" s="770" t="s">
        <v>17</v>
      </c>
      <c r="S9" s="771">
        <f t="shared" si="0"/>
        <v>100</v>
      </c>
      <c r="T9" s="770" t="s">
        <v>17</v>
      </c>
      <c r="U9" s="771">
        <f t="shared" si="1"/>
        <v>100</v>
      </c>
      <c r="V9" s="770" t="s">
        <v>17</v>
      </c>
      <c r="W9" s="771">
        <f t="shared" si="2"/>
        <v>100</v>
      </c>
      <c r="X9" s="772"/>
      <c r="Y9" s="2997"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96.6">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2560</v>
      </c>
      <c r="Q14" s="1809" t="str">
        <f t="shared" si="6"/>
        <v>交通便捷度</v>
      </c>
      <c r="R14" s="774" t="s">
        <v>17</v>
      </c>
      <c r="S14" s="775">
        <f t="shared" si="0"/>
        <v>100</v>
      </c>
      <c r="T14" s="774" t="s">
        <v>17</v>
      </c>
      <c r="U14" s="775">
        <f t="shared" si="1"/>
        <v>100</v>
      </c>
      <c r="V14" s="774" t="s">
        <v>17</v>
      </c>
      <c r="W14" s="775">
        <f t="shared" si="2"/>
        <v>100</v>
      </c>
      <c r="X14" s="1812"/>
      <c r="Y14" s="3174"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5"/>
      <c r="Q15" s="1809"/>
      <c r="R15" s="774"/>
      <c r="S15" s="775"/>
      <c r="T15" s="774"/>
      <c r="U15" s="775"/>
      <c r="V15" s="774"/>
      <c r="W15" s="775"/>
      <c r="X15" s="1812"/>
      <c r="Y15" s="3175"/>
      <c r="Z15" s="1813"/>
      <c r="AA15" s="1810">
        <v>1</v>
      </c>
      <c r="AB15" s="1810">
        <v>1</v>
      </c>
      <c r="AC15" s="1810">
        <v>1</v>
      </c>
    </row>
    <row r="16" spans="1:29" ht="41.4">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09" t="str">
        <f>B16</f>
        <v>公共配套设施</v>
      </c>
      <c r="R16" s="774" t="s">
        <v>17</v>
      </c>
      <c r="S16" s="775">
        <f>F16</f>
        <v>100</v>
      </c>
      <c r="T16" s="774" t="s">
        <v>17</v>
      </c>
      <c r="U16" s="775">
        <f>H16</f>
        <v>100</v>
      </c>
      <c r="V16" s="774" t="s">
        <v>17</v>
      </c>
      <c r="W16" s="775">
        <f>J16</f>
        <v>100</v>
      </c>
      <c r="X16" s="1812"/>
      <c r="Y16" s="3175"/>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175"/>
      <c r="Q17" s="1809"/>
      <c r="R17" s="774"/>
      <c r="S17" s="775"/>
      <c r="T17" s="774"/>
      <c r="U17" s="775"/>
      <c r="V17" s="774"/>
      <c r="W17" s="775"/>
      <c r="X17" s="1812"/>
      <c r="Y17" s="3175"/>
      <c r="Z17" s="1813"/>
      <c r="AA17" s="1810">
        <v>1</v>
      </c>
      <c r="AB17" s="1810">
        <v>1</v>
      </c>
      <c r="AC17" s="1810">
        <v>1</v>
      </c>
    </row>
    <row r="18" spans="1:29" ht="41.4">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09" t="str">
        <f>B18</f>
        <v>基础设施水平</v>
      </c>
      <c r="R18" s="774" t="s">
        <v>17</v>
      </c>
      <c r="S18" s="775">
        <f>F18</f>
        <v>100</v>
      </c>
      <c r="T18" s="774" t="s">
        <v>17</v>
      </c>
      <c r="U18" s="775">
        <f>H18</f>
        <v>100</v>
      </c>
      <c r="V18" s="774" t="s">
        <v>17</v>
      </c>
      <c r="W18" s="775">
        <f>J18</f>
        <v>100</v>
      </c>
      <c r="X18" s="1812"/>
      <c r="Y18" s="3175"/>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175"/>
      <c r="Q19" s="1809"/>
      <c r="R19" s="774"/>
      <c r="S19" s="775"/>
      <c r="T19" s="774"/>
      <c r="U19" s="775"/>
      <c r="V19" s="774"/>
      <c r="W19" s="775"/>
      <c r="X19" s="1812"/>
      <c r="Y19" s="3175"/>
      <c r="Z19" s="1813"/>
      <c r="AA19" s="1810">
        <v>1</v>
      </c>
      <c r="AB19" s="1810">
        <v>1</v>
      </c>
      <c r="AC19" s="1810">
        <v>1</v>
      </c>
    </row>
    <row r="20" spans="1:29" ht="55.2">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09" t="str">
        <f>B20</f>
        <v>自然及人文环境</v>
      </c>
      <c r="R20" s="774" t="s">
        <v>17</v>
      </c>
      <c r="S20" s="775">
        <f>F20</f>
        <v>100</v>
      </c>
      <c r="T20" s="774" t="s">
        <v>17</v>
      </c>
      <c r="U20" s="775">
        <f>H20</f>
        <v>100</v>
      </c>
      <c r="V20" s="774" t="s">
        <v>17</v>
      </c>
      <c r="W20" s="775">
        <f>J20</f>
        <v>100</v>
      </c>
      <c r="X20" s="1812"/>
      <c r="Y20" s="317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5"/>
      <c r="Q21" s="1809"/>
      <c r="R21" s="774"/>
      <c r="S21" s="775"/>
      <c r="T21" s="774"/>
      <c r="U21" s="775"/>
      <c r="V21" s="774"/>
      <c r="W21" s="775"/>
      <c r="X21" s="1812"/>
      <c r="Y21" s="3175"/>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09" t="str">
        <f>B22</f>
        <v>楼层</v>
      </c>
      <c r="R22" s="774" t="s">
        <v>17</v>
      </c>
      <c r="S22" s="775">
        <f>F22</f>
        <v>100</v>
      </c>
      <c r="T22" s="774" t="s">
        <v>17</v>
      </c>
      <c r="U22" s="775">
        <f>H22</f>
        <v>100</v>
      </c>
      <c r="V22" s="774" t="s">
        <v>17</v>
      </c>
      <c r="W22" s="775">
        <f>J22</f>
        <v>100</v>
      </c>
      <c r="X22" s="1812"/>
      <c r="Y22" s="3175"/>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09">
        <f>B23</f>
        <v>111</v>
      </c>
      <c r="R23" s="774" t="s">
        <v>17</v>
      </c>
      <c r="S23" s="775">
        <f>F23</f>
        <v>100</v>
      </c>
      <c r="T23" s="774" t="s">
        <v>17</v>
      </c>
      <c r="U23" s="775">
        <f>H23</f>
        <v>100</v>
      </c>
      <c r="V23" s="774" t="s">
        <v>17</v>
      </c>
      <c r="W23" s="775">
        <f>J23</f>
        <v>100</v>
      </c>
      <c r="X23" s="1812"/>
      <c r="Y23" s="3175"/>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09">
        <f t="shared" ref="Q24:Q34" si="11">B24</f>
        <v>111</v>
      </c>
      <c r="R24" s="774" t="s">
        <v>17</v>
      </c>
      <c r="S24" s="775">
        <f>F24</f>
        <v>100</v>
      </c>
      <c r="T24" s="774" t="s">
        <v>17</v>
      </c>
      <c r="U24" s="775">
        <f>H24</f>
        <v>100</v>
      </c>
      <c r="V24" s="774" t="s">
        <v>17</v>
      </c>
      <c r="W24" s="775">
        <f>J24</f>
        <v>100</v>
      </c>
      <c r="X24" s="1812"/>
      <c r="Y24" s="3175"/>
      <c r="Z24" s="1813">
        <f>Q24</f>
        <v>111</v>
      </c>
      <c r="AA24" s="1810">
        <f t="shared" si="3"/>
        <v>1</v>
      </c>
      <c r="AB24" s="1810">
        <f t="shared" si="4"/>
        <v>1</v>
      </c>
      <c r="AC24" s="1810">
        <f t="shared" si="5"/>
        <v>1</v>
      </c>
    </row>
    <row r="25" spans="1:29" s="117" customFormat="1" ht="15.6"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5"/>
      <c r="Q25" s="1794">
        <f t="shared" si="11"/>
        <v>111</v>
      </c>
      <c r="R25" s="770" t="s">
        <v>17</v>
      </c>
      <c r="S25" s="771">
        <f>F25</f>
        <v>100</v>
      </c>
      <c r="T25" s="770" t="s">
        <v>17</v>
      </c>
      <c r="U25" s="771">
        <f>H25</f>
        <v>100</v>
      </c>
      <c r="V25" s="770" t="s">
        <v>17</v>
      </c>
      <c r="W25" s="771">
        <f>J25</f>
        <v>100</v>
      </c>
      <c r="X25" s="772"/>
      <c r="Y25" s="3175"/>
      <c r="Z25" s="55">
        <f>Q25</f>
        <v>111</v>
      </c>
      <c r="AA25" s="1810">
        <f>D25/F25</f>
        <v>1</v>
      </c>
      <c r="AB25" s="1810">
        <f>D25/H25</f>
        <v>1</v>
      </c>
      <c r="AC25" s="1810">
        <f>D25/J25</f>
        <v>1</v>
      </c>
    </row>
    <row r="26" spans="1:29" ht="30">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0"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9"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09" t="str">
        <f t="shared" si="11"/>
        <v>物业等级</v>
      </c>
      <c r="R28" s="774" t="s">
        <v>17</v>
      </c>
      <c r="S28" s="775">
        <f t="shared" si="12"/>
        <v>100</v>
      </c>
      <c r="T28" s="774" t="s">
        <v>17</v>
      </c>
      <c r="U28" s="775">
        <f t="shared" si="13"/>
        <v>100</v>
      </c>
      <c r="V28" s="774" t="s">
        <v>17</v>
      </c>
      <c r="W28" s="775">
        <f t="shared" si="14"/>
        <v>100</v>
      </c>
      <c r="X28" s="1812"/>
      <c r="Y28" s="3179"/>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09" t="str">
        <f t="shared" si="11"/>
        <v>有无电梯</v>
      </c>
      <c r="R29" s="774" t="s">
        <v>17</v>
      </c>
      <c r="S29" s="775">
        <f t="shared" si="12"/>
        <v>100</v>
      </c>
      <c r="T29" s="774" t="s">
        <v>17</v>
      </c>
      <c r="U29" s="775">
        <f t="shared" si="13"/>
        <v>100</v>
      </c>
      <c r="V29" s="774" t="s">
        <v>17</v>
      </c>
      <c r="W29" s="775">
        <f t="shared" si="14"/>
        <v>100</v>
      </c>
      <c r="X29" s="1812"/>
      <c r="Y29" s="3179"/>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09" t="str">
        <f t="shared" si="11"/>
        <v>建筑面积</v>
      </c>
      <c r="R30" s="774" t="s">
        <v>17</v>
      </c>
      <c r="S30" s="775" t="e">
        <f t="shared" si="12"/>
        <v>#N/A</v>
      </c>
      <c r="T30" s="774" t="s">
        <v>17</v>
      </c>
      <c r="U30" s="775" t="e">
        <f t="shared" si="13"/>
        <v>#N/A</v>
      </c>
      <c r="V30" s="774" t="s">
        <v>17</v>
      </c>
      <c r="W30" s="775" t="e">
        <f t="shared" si="14"/>
        <v>#N/A</v>
      </c>
      <c r="X30" s="1812"/>
      <c r="Y30" s="3179"/>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4"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2565</v>
      </c>
      <c r="Q32" s="1809">
        <f t="shared" si="11"/>
        <v>111</v>
      </c>
      <c r="R32" s="774" t="s">
        <v>17</v>
      </c>
      <c r="S32" s="775">
        <f t="shared" si="12"/>
        <v>100</v>
      </c>
      <c r="T32" s="774" t="s">
        <v>17</v>
      </c>
      <c r="U32" s="775">
        <f t="shared" si="13"/>
        <v>100</v>
      </c>
      <c r="V32" s="774" t="s">
        <v>17</v>
      </c>
      <c r="W32" s="775">
        <f t="shared" si="14"/>
        <v>100</v>
      </c>
      <c r="X32" s="1812"/>
      <c r="Y32" s="3179"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09">
        <f t="shared" si="11"/>
        <v>111</v>
      </c>
      <c r="R33" s="774" t="s">
        <v>17</v>
      </c>
      <c r="S33" s="775">
        <f t="shared" si="12"/>
        <v>100</v>
      </c>
      <c r="T33" s="774" t="s">
        <v>17</v>
      </c>
      <c r="U33" s="775">
        <f t="shared" si="13"/>
        <v>100</v>
      </c>
      <c r="V33" s="774" t="s">
        <v>17</v>
      </c>
      <c r="W33" s="775">
        <f t="shared" si="14"/>
        <v>100</v>
      </c>
      <c r="X33" s="1812"/>
      <c r="Y33" s="3179"/>
      <c r="Z33" s="1813">
        <f t="shared" si="15"/>
        <v>111</v>
      </c>
      <c r="AA33" s="1810">
        <f t="shared" si="3"/>
        <v>1</v>
      </c>
      <c r="AB33" s="1810">
        <f t="shared" si="4"/>
        <v>1</v>
      </c>
      <c r="AC33" s="1810">
        <f t="shared" si="5"/>
        <v>1</v>
      </c>
    </row>
    <row r="34" spans="1:29" ht="15.6"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79"/>
      <c r="Q34" s="1809">
        <f t="shared" si="11"/>
        <v>111</v>
      </c>
      <c r="R34" s="774" t="s">
        <v>17</v>
      </c>
      <c r="S34" s="775">
        <f t="shared" si="12"/>
        <v>100</v>
      </c>
      <c r="T34" s="774" t="s">
        <v>17</v>
      </c>
      <c r="U34" s="775">
        <f t="shared" si="13"/>
        <v>100</v>
      </c>
      <c r="V34" s="774" t="s">
        <v>17</v>
      </c>
      <c r="W34" s="775">
        <f t="shared" si="14"/>
        <v>100</v>
      </c>
      <c r="X34" s="1812"/>
      <c r="Y34" s="3179"/>
      <c r="Z34" s="1813">
        <f t="shared" si="15"/>
        <v>111</v>
      </c>
      <c r="AA34" s="1810">
        <f t="shared" si="3"/>
        <v>1</v>
      </c>
      <c r="AB34" s="1810">
        <f t="shared" si="4"/>
        <v>1</v>
      </c>
      <c r="AC34" s="1810">
        <f t="shared" si="5"/>
        <v>1</v>
      </c>
    </row>
    <row r="35" spans="1:29" ht="14.4">
      <c r="A35" s="479" t="s">
        <v>2577</v>
      </c>
      <c r="B35" s="480"/>
      <c r="C35" s="1406" t="s">
        <v>1</v>
      </c>
      <c r="D35" s="1407"/>
      <c r="E35" s="1408"/>
      <c r="F35" s="1409"/>
      <c r="G35" s="1410"/>
      <c r="H35" s="1411"/>
      <c r="I35" s="1408"/>
      <c r="J35" s="1411"/>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 thickBot="1">
      <c r="A37" s="492" t="s">
        <v>2670</v>
      </c>
      <c r="B37" s="493"/>
      <c r="C37" s="1416" t="e">
        <f>R37</f>
        <v>#DIV/0!</v>
      </c>
      <c r="D37" s="1416"/>
      <c r="E37" s="1416"/>
      <c r="F37" s="1416"/>
      <c r="G37" s="1416"/>
      <c r="H37" s="1416"/>
      <c r="I37" s="1416"/>
      <c r="J37" s="1416"/>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2588</v>
      </c>
      <c r="B51" s="528" t="s">
        <v>2554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185" t="s">
        <v>2648</v>
      </c>
      <c r="AC4" s="3184" t="s">
        <v>2649</v>
      </c>
    </row>
    <row r="5" spans="1:30">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185"/>
      <c r="AC5" s="3185"/>
    </row>
    <row r="6" spans="1:30" ht="1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2"/>
      <c r="Y6" s="3201"/>
      <c r="Z6" s="3202"/>
      <c r="AA6" s="3186"/>
      <c r="AB6" s="3186"/>
      <c r="AC6" s="3186"/>
    </row>
    <row r="7" spans="1:30" s="117" customFormat="1" ht="15" thickBot="1">
      <c r="A7" s="408" t="s">
        <v>2548</v>
      </c>
      <c r="B7" s="409"/>
      <c r="C7" s="410">
        <f>'数据-取费表'!B2</f>
        <v>43689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5" si="3">D8/F8</f>
        <v>#DIV/0!</v>
      </c>
      <c r="AB8" s="773" t="e">
        <f t="shared" ref="AB8:AB45" si="4">D8/H8</f>
        <v>#DIV/0!</v>
      </c>
      <c r="AC8" s="773" t="e">
        <f t="shared" ref="AC8:AC45" si="5">D8/J8</f>
        <v>#DIV/0!</v>
      </c>
    </row>
    <row r="9" spans="1:30" s="117" customFormat="1" ht="14.4">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2"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172"/>
      <c r="Q10" s="1794" t="str">
        <f t="shared" si="6"/>
        <v>土地使用年限（年）</v>
      </c>
      <c r="R10" s="770" t="s">
        <v>17</v>
      </c>
      <c r="S10" s="771">
        <f t="shared" si="0"/>
        <v>102</v>
      </c>
      <c r="T10" s="770" t="s">
        <v>17</v>
      </c>
      <c r="U10" s="771">
        <f t="shared" si="1"/>
        <v>102</v>
      </c>
      <c r="V10" s="770" t="s">
        <v>17</v>
      </c>
      <c r="W10" s="771">
        <f t="shared" si="2"/>
        <v>102</v>
      </c>
      <c r="X10" s="772"/>
      <c r="Y10" s="2997"/>
      <c r="Z10" s="55" t="str">
        <f t="shared" si="7"/>
        <v>土地使用年限（年）</v>
      </c>
      <c r="AA10" s="773">
        <f t="shared" si="3"/>
        <v>0.98039215686274506</v>
      </c>
      <c r="AB10" s="773">
        <f t="shared" si="4"/>
        <v>0.98039215686274506</v>
      </c>
      <c r="AC10" s="773">
        <f t="shared" si="5"/>
        <v>0.98039215686274506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4"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6.6">
      <c r="A15" s="440" t="s">
        <v>2559</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2560</v>
      </c>
      <c r="Q15" s="1809" t="str">
        <f t="shared" si="6"/>
        <v>居住社区成熟度</v>
      </c>
      <c r="R15" s="774" t="s">
        <v>17</v>
      </c>
      <c r="S15" s="775">
        <f t="shared" si="0"/>
        <v>100</v>
      </c>
      <c r="T15" s="774" t="s">
        <v>17</v>
      </c>
      <c r="U15" s="775">
        <f t="shared" si="1"/>
        <v>100</v>
      </c>
      <c r="V15" s="774" t="s">
        <v>17</v>
      </c>
      <c r="W15" s="775">
        <f t="shared" si="2"/>
        <v>100</v>
      </c>
      <c r="X15" s="1812"/>
      <c r="Y15" s="3174"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175"/>
      <c r="Q16" s="1809"/>
      <c r="R16" s="774"/>
      <c r="S16" s="775"/>
      <c r="T16" s="774"/>
      <c r="U16" s="775"/>
      <c r="V16" s="774"/>
      <c r="W16" s="775"/>
      <c r="X16" s="1812"/>
      <c r="Y16" s="3175"/>
      <c r="Z16" s="1813"/>
      <c r="AA16" s="1810">
        <v>1</v>
      </c>
      <c r="AB16" s="1810">
        <v>1</v>
      </c>
      <c r="AC16" s="1810">
        <v>1</v>
      </c>
    </row>
    <row r="17" spans="1:29" ht="82.8">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09" t="str">
        <f>B17</f>
        <v>商业繁华度</v>
      </c>
      <c r="R17" s="774" t="s">
        <v>17</v>
      </c>
      <c r="S17" s="775">
        <f>F17</f>
        <v>100</v>
      </c>
      <c r="T17" s="774" t="s">
        <v>17</v>
      </c>
      <c r="U17" s="775">
        <f>H17</f>
        <v>100</v>
      </c>
      <c r="V17" s="774" t="s">
        <v>17</v>
      </c>
      <c r="W17" s="775">
        <f>J17</f>
        <v>100</v>
      </c>
      <c r="X17" s="1812"/>
      <c r="Y17" s="3175"/>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175"/>
      <c r="Q18" s="1809"/>
      <c r="R18" s="774"/>
      <c r="S18" s="775"/>
      <c r="T18" s="774"/>
      <c r="U18" s="775"/>
      <c r="V18" s="774"/>
      <c r="W18" s="775"/>
      <c r="X18" s="1812"/>
      <c r="Y18" s="3175"/>
      <c r="Z18" s="1813"/>
      <c r="AA18" s="1810">
        <v>1</v>
      </c>
      <c r="AB18" s="1810">
        <v>1</v>
      </c>
      <c r="AC18" s="1810">
        <v>1</v>
      </c>
    </row>
    <row r="19" spans="1:29" ht="82.8">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09" t="str">
        <f>B19</f>
        <v>办公集聚程度</v>
      </c>
      <c r="R19" s="774" t="s">
        <v>17</v>
      </c>
      <c r="S19" s="775">
        <f>F19</f>
        <v>100</v>
      </c>
      <c r="T19" s="774" t="s">
        <v>17</v>
      </c>
      <c r="U19" s="775">
        <f>H19</f>
        <v>100</v>
      </c>
      <c r="V19" s="774" t="s">
        <v>17</v>
      </c>
      <c r="W19" s="775">
        <f>J19</f>
        <v>100</v>
      </c>
      <c r="X19" s="1812"/>
      <c r="Y19" s="3175"/>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175"/>
      <c r="Q20" s="1809"/>
      <c r="R20" s="774"/>
      <c r="S20" s="775"/>
      <c r="T20" s="774"/>
      <c r="U20" s="775"/>
      <c r="V20" s="774"/>
      <c r="W20" s="775"/>
      <c r="X20" s="1812"/>
      <c r="Y20" s="3175"/>
      <c r="Z20" s="1813"/>
      <c r="AA20" s="1810">
        <v>1</v>
      </c>
      <c r="AB20" s="1810">
        <v>1</v>
      </c>
      <c r="AC20" s="1810">
        <v>1</v>
      </c>
    </row>
    <row r="21" spans="1:29" ht="96.6">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09" t="str">
        <f>B21</f>
        <v>交通便捷度</v>
      </c>
      <c r="R21" s="774" t="s">
        <v>17</v>
      </c>
      <c r="S21" s="775">
        <f>F21</f>
        <v>100</v>
      </c>
      <c r="T21" s="774" t="s">
        <v>17</v>
      </c>
      <c r="U21" s="775">
        <f>H21</f>
        <v>100</v>
      </c>
      <c r="V21" s="774" t="s">
        <v>17</v>
      </c>
      <c r="W21" s="775">
        <f>J21</f>
        <v>100</v>
      </c>
      <c r="X21" s="1812"/>
      <c r="Y21" s="3175"/>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175"/>
      <c r="Q22" s="1809"/>
      <c r="R22" s="774"/>
      <c r="S22" s="775"/>
      <c r="T22" s="774"/>
      <c r="U22" s="775"/>
      <c r="V22" s="774"/>
      <c r="W22" s="775"/>
      <c r="X22" s="1812"/>
      <c r="Y22" s="3175"/>
      <c r="Z22" s="1813"/>
      <c r="AA22" s="1810">
        <v>1</v>
      </c>
      <c r="AB22" s="1810">
        <v>1</v>
      </c>
      <c r="AC22" s="1810">
        <v>1</v>
      </c>
    </row>
    <row r="23" spans="1:29" ht="28.8">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09" t="str">
        <f t="shared" ref="Q23:Q37" si="8">B23</f>
        <v>区域土地利用方向</v>
      </c>
      <c r="R23" s="774" t="s">
        <v>17</v>
      </c>
      <c r="S23" s="775">
        <f>F23</f>
        <v>100</v>
      </c>
      <c r="T23" s="774" t="s">
        <v>17</v>
      </c>
      <c r="U23" s="775">
        <f>H23</f>
        <v>100</v>
      </c>
      <c r="V23" s="774" t="s">
        <v>17</v>
      </c>
      <c r="W23" s="775">
        <f>J23</f>
        <v>100</v>
      </c>
      <c r="X23" s="1812"/>
      <c r="Y23" s="3175"/>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175"/>
      <c r="Q24" s="1809"/>
      <c r="R24" s="774"/>
      <c r="S24" s="775"/>
      <c r="T24" s="774"/>
      <c r="U24" s="775"/>
      <c r="V24" s="774"/>
      <c r="W24" s="775"/>
      <c r="X24" s="1812"/>
      <c r="Y24" s="3175"/>
      <c r="Z24" s="1813"/>
      <c r="AA24" s="1810"/>
      <c r="AB24" s="1810"/>
      <c r="AC24" s="1810"/>
    </row>
    <row r="25" spans="1:29" ht="55.2">
      <c r="A25" s="404"/>
      <c r="B25" s="1383"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09" t="str">
        <f t="shared" si="8"/>
        <v>自然及人文环境状况</v>
      </c>
      <c r="R25" s="774" t="s">
        <v>17</v>
      </c>
      <c r="S25" s="775">
        <f>F25</f>
        <v>100</v>
      </c>
      <c r="T25" s="774" t="s">
        <v>17</v>
      </c>
      <c r="U25" s="775">
        <f>H25</f>
        <v>100</v>
      </c>
      <c r="V25" s="774" t="s">
        <v>17</v>
      </c>
      <c r="W25" s="775">
        <f>J25</f>
        <v>100</v>
      </c>
      <c r="X25" s="1812"/>
      <c r="Y25" s="3175"/>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175"/>
      <c r="Q26" s="1809"/>
      <c r="R26" s="774"/>
      <c r="S26" s="775"/>
      <c r="T26" s="774"/>
      <c r="U26" s="775"/>
      <c r="V26" s="774"/>
      <c r="W26" s="775"/>
      <c r="X26" s="1812"/>
      <c r="Y26" s="3175"/>
      <c r="Z26" s="1813"/>
      <c r="AA26" s="1810">
        <v>1</v>
      </c>
      <c r="AB26" s="1810">
        <v>1</v>
      </c>
      <c r="AC26" s="1810">
        <v>1</v>
      </c>
    </row>
    <row r="27" spans="1:29" s="117" customFormat="1" ht="41.4">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4" t="str">
        <f t="shared" si="8"/>
        <v>公共配套设施</v>
      </c>
      <c r="R27" s="770" t="s">
        <v>17</v>
      </c>
      <c r="S27" s="771">
        <f>F27</f>
        <v>100</v>
      </c>
      <c r="T27" s="770" t="s">
        <v>17</v>
      </c>
      <c r="U27" s="771">
        <f>H27</f>
        <v>100</v>
      </c>
      <c r="V27" s="770" t="s">
        <v>17</v>
      </c>
      <c r="W27" s="771">
        <f>J27</f>
        <v>100</v>
      </c>
      <c r="X27" s="772"/>
      <c r="Y27" s="3175"/>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175"/>
      <c r="Q28" s="1794"/>
      <c r="R28" s="770"/>
      <c r="S28" s="771"/>
      <c r="T28" s="770"/>
      <c r="U28" s="771"/>
      <c r="V28" s="770"/>
      <c r="W28" s="771"/>
      <c r="X28" s="772"/>
      <c r="Y28" s="3175"/>
      <c r="Z28" s="55"/>
      <c r="AA28" s="1810">
        <v>1</v>
      </c>
      <c r="AB28" s="1810">
        <v>1</v>
      </c>
      <c r="AC28" s="1810">
        <v>1</v>
      </c>
    </row>
    <row r="29" spans="1:29" s="117" customFormat="1" ht="41.4">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4"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175"/>
      <c r="Q30" s="1794"/>
      <c r="R30" s="770"/>
      <c r="S30" s="771"/>
      <c r="T30" s="770"/>
      <c r="U30" s="771"/>
      <c r="V30" s="770"/>
      <c r="W30" s="771"/>
      <c r="X30" s="772"/>
      <c r="Y30" s="3175"/>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5"/>
      <c r="Z31" s="1813" t="str">
        <f t="shared" ref="Z31:Z45" si="13">Q31</f>
        <v>临街状况</v>
      </c>
      <c r="AA31" s="1810">
        <f t="shared" si="3"/>
        <v>1</v>
      </c>
      <c r="AB31" s="1810">
        <f t="shared" si="4"/>
        <v>1</v>
      </c>
      <c r="AC31" s="1810">
        <f t="shared" si="5"/>
        <v>1</v>
      </c>
    </row>
    <row r="32" spans="1:29" ht="28.8">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09" t="str">
        <f t="shared" si="8"/>
        <v>毗邻道路的类型与等级</v>
      </c>
      <c r="R32" s="774" t="s">
        <v>17</v>
      </c>
      <c r="S32" s="775">
        <f t="shared" si="10"/>
        <v>100</v>
      </c>
      <c r="T32" s="774" t="s">
        <v>17</v>
      </c>
      <c r="U32" s="775">
        <f t="shared" si="11"/>
        <v>100</v>
      </c>
      <c r="V32" s="774" t="s">
        <v>17</v>
      </c>
      <c r="W32" s="775">
        <f t="shared" si="12"/>
        <v>100</v>
      </c>
      <c r="X32" s="1812"/>
      <c r="Y32" s="3175"/>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175"/>
      <c r="Q33" s="1809"/>
      <c r="R33" s="774"/>
      <c r="S33" s="775"/>
      <c r="T33" s="774"/>
      <c r="U33" s="775"/>
      <c r="V33" s="774"/>
      <c r="W33" s="775"/>
      <c r="X33" s="1812"/>
      <c r="Y33" s="3175"/>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09" t="str">
        <f t="shared" si="8"/>
        <v>土地级别</v>
      </c>
      <c r="R34" s="774" t="s">
        <v>17</v>
      </c>
      <c r="S34" s="775">
        <f t="shared" si="10"/>
        <v>100</v>
      </c>
      <c r="T34" s="774" t="s">
        <v>17</v>
      </c>
      <c r="U34" s="775">
        <f t="shared" si="11"/>
        <v>100</v>
      </c>
      <c r="V34" s="774" t="s">
        <v>17</v>
      </c>
      <c r="W34" s="775">
        <f t="shared" si="12"/>
        <v>100</v>
      </c>
      <c r="X34" s="1812"/>
      <c r="Y34" s="317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09">
        <f t="shared" si="8"/>
        <v>111</v>
      </c>
      <c r="R35" s="774" t="s">
        <v>17</v>
      </c>
      <c r="S35" s="775">
        <f t="shared" si="10"/>
        <v>100</v>
      </c>
      <c r="T35" s="774" t="s">
        <v>17</v>
      </c>
      <c r="U35" s="775">
        <f t="shared" si="11"/>
        <v>100</v>
      </c>
      <c r="V35" s="774" t="s">
        <v>17</v>
      </c>
      <c r="W35" s="775">
        <f t="shared" si="12"/>
        <v>100</v>
      </c>
      <c r="X35" s="1812"/>
      <c r="Y35" s="317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2565</v>
      </c>
      <c r="Q36" s="1809">
        <f t="shared" si="8"/>
        <v>111</v>
      </c>
      <c r="R36" s="774" t="s">
        <v>17</v>
      </c>
      <c r="S36" s="775">
        <f t="shared" si="10"/>
        <v>100</v>
      </c>
      <c r="T36" s="774" t="s">
        <v>17</v>
      </c>
      <c r="U36" s="775">
        <f t="shared" si="11"/>
        <v>100</v>
      </c>
      <c r="V36" s="774" t="s">
        <v>17</v>
      </c>
      <c r="W36" s="775">
        <f t="shared" si="12"/>
        <v>100</v>
      </c>
      <c r="X36" s="1812"/>
      <c r="Y36" s="3179" t="s">
        <v>2565</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09">
        <f t="shared" si="8"/>
        <v>111</v>
      </c>
      <c r="R37" s="777" t="s">
        <v>17</v>
      </c>
      <c r="S37" s="778">
        <f t="shared" si="10"/>
        <v>100</v>
      </c>
      <c r="T37" s="777" t="s">
        <v>17</v>
      </c>
      <c r="U37" s="778">
        <f t="shared" si="11"/>
        <v>100</v>
      </c>
      <c r="V37" s="777" t="s">
        <v>17</v>
      </c>
      <c r="W37" s="778">
        <f t="shared" si="12"/>
        <v>100</v>
      </c>
      <c r="X37" s="779"/>
      <c r="Y37" s="3179"/>
      <c r="Z37" s="780">
        <f t="shared" si="13"/>
        <v>111</v>
      </c>
      <c r="AA37" s="1810">
        <f t="shared" si="3"/>
        <v>1</v>
      </c>
      <c r="AB37" s="1810">
        <f t="shared" si="4"/>
        <v>1</v>
      </c>
      <c r="AC37" s="1810">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09" t="str">
        <f>B38</f>
        <v>宗地面积</v>
      </c>
      <c r="R38" s="774" t="s">
        <v>17</v>
      </c>
      <c r="S38" s="775" t="e">
        <f t="shared" si="10"/>
        <v>#N/A</v>
      </c>
      <c r="T38" s="774" t="s">
        <v>17</v>
      </c>
      <c r="U38" s="775" t="e">
        <f t="shared" si="11"/>
        <v>#N/A</v>
      </c>
      <c r="V38" s="774" t="s">
        <v>17</v>
      </c>
      <c r="W38" s="775" t="e">
        <f t="shared" si="12"/>
        <v>#N/A</v>
      </c>
      <c r="X38" s="1812"/>
      <c r="Y38" s="3179"/>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79"/>
      <c r="Q39" s="1809" t="str">
        <f t="shared" ref="Q39:Q45" si="14">B39</f>
        <v>宗地形状</v>
      </c>
      <c r="R39" s="774" t="s">
        <v>17</v>
      </c>
      <c r="S39" s="775">
        <f t="shared" si="10"/>
        <v>100</v>
      </c>
      <c r="T39" s="774" t="s">
        <v>17</v>
      </c>
      <c r="U39" s="775">
        <f t="shared" si="11"/>
        <v>100</v>
      </c>
      <c r="V39" s="774" t="s">
        <v>17</v>
      </c>
      <c r="W39" s="775">
        <f t="shared" si="12"/>
        <v>100</v>
      </c>
      <c r="X39" s="1812"/>
      <c r="Y39" s="3179"/>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79"/>
      <c r="Q40" s="1809" t="str">
        <f t="shared" si="14"/>
        <v>临街宽度及深度</v>
      </c>
      <c r="R40" s="774" t="s">
        <v>17</v>
      </c>
      <c r="S40" s="775">
        <f t="shared" si="10"/>
        <v>100</v>
      </c>
      <c r="T40" s="774" t="s">
        <v>17</v>
      </c>
      <c r="U40" s="775">
        <f t="shared" si="11"/>
        <v>100</v>
      </c>
      <c r="V40" s="774" t="s">
        <v>17</v>
      </c>
      <c r="W40" s="775">
        <f t="shared" si="12"/>
        <v>100</v>
      </c>
      <c r="X40" s="1812"/>
      <c r="Y40" s="3179"/>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79"/>
      <c r="Q41" s="1809"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79" t="s">
        <v>2565</v>
      </c>
      <c r="Q42" s="1809" t="str">
        <f t="shared" si="14"/>
        <v>工程地质条件</v>
      </c>
      <c r="R42" s="774" t="s">
        <v>17</v>
      </c>
      <c r="S42" s="775">
        <f t="shared" si="10"/>
        <v>100</v>
      </c>
      <c r="T42" s="774" t="s">
        <v>17</v>
      </c>
      <c r="U42" s="775">
        <f t="shared" si="11"/>
        <v>100</v>
      </c>
      <c r="V42" s="774" t="s">
        <v>17</v>
      </c>
      <c r="W42" s="775">
        <f t="shared" si="12"/>
        <v>100</v>
      </c>
      <c r="X42" s="1812"/>
      <c r="Y42" s="3179"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09">
        <f t="shared" si="14"/>
        <v>111</v>
      </c>
      <c r="R43" s="774" t="s">
        <v>17</v>
      </c>
      <c r="S43" s="775">
        <f t="shared" si="10"/>
        <v>100</v>
      </c>
      <c r="T43" s="774" t="s">
        <v>17</v>
      </c>
      <c r="U43" s="775">
        <f t="shared" si="11"/>
        <v>100</v>
      </c>
      <c r="V43" s="774" t="s">
        <v>17</v>
      </c>
      <c r="W43" s="775">
        <f t="shared" si="12"/>
        <v>100</v>
      </c>
      <c r="X43" s="1812"/>
      <c r="Y43" s="317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09">
        <f t="shared" si="14"/>
        <v>111</v>
      </c>
      <c r="R44" s="774" t="s">
        <v>17</v>
      </c>
      <c r="S44" s="775">
        <f t="shared" si="10"/>
        <v>100</v>
      </c>
      <c r="T44" s="774" t="s">
        <v>17</v>
      </c>
      <c r="U44" s="775">
        <f t="shared" si="11"/>
        <v>100</v>
      </c>
      <c r="V44" s="774" t="s">
        <v>17</v>
      </c>
      <c r="W44" s="775">
        <f t="shared" si="12"/>
        <v>100</v>
      </c>
      <c r="X44" s="1812"/>
      <c r="Y44" s="3179"/>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09">
        <f t="shared" si="14"/>
        <v>111</v>
      </c>
      <c r="R45" s="777" t="s">
        <v>17</v>
      </c>
      <c r="S45" s="778">
        <f t="shared" si="10"/>
        <v>100</v>
      </c>
      <c r="T45" s="777" t="s">
        <v>17</v>
      </c>
      <c r="U45" s="778">
        <f t="shared" si="11"/>
        <v>100</v>
      </c>
      <c r="V45" s="777" t="s">
        <v>17</v>
      </c>
      <c r="W45" s="778">
        <f t="shared" si="12"/>
        <v>100</v>
      </c>
      <c r="X45" s="779"/>
      <c r="Y45" s="3179"/>
      <c r="Z45" s="780">
        <f t="shared" si="13"/>
        <v>111</v>
      </c>
      <c r="AA45" s="1810">
        <f t="shared" si="3"/>
        <v>1</v>
      </c>
      <c r="AB45" s="1810">
        <f t="shared" si="4"/>
        <v>1</v>
      </c>
      <c r="AC45" s="1810">
        <f t="shared" si="5"/>
        <v>1</v>
      </c>
    </row>
    <row r="46" spans="1:29" ht="14.4">
      <c r="A46" s="479" t="s">
        <v>2720</v>
      </c>
      <c r="B46" s="2704" t="s">
        <v>2756</v>
      </c>
      <c r="C46" s="682" t="s">
        <v>1</v>
      </c>
      <c r="D46" s="481"/>
      <c r="E46" s="482"/>
      <c r="F46" s="483"/>
      <c r="G46" s="484"/>
      <c r="H46" s="485"/>
      <c r="I46" s="482"/>
      <c r="J46" s="485"/>
      <c r="K46" s="783"/>
      <c r="L46" s="1143"/>
      <c r="M46" s="1144"/>
      <c r="N46" s="1131"/>
      <c r="O46" s="1144"/>
      <c r="P46" s="3172" t="str">
        <f>A46</f>
        <v>成交单价</v>
      </c>
      <c r="Q46" s="3172"/>
      <c r="R46" s="3203">
        <f>E46</f>
        <v>0</v>
      </c>
      <c r="S46" s="3203"/>
      <c r="T46" s="3203">
        <f>G46</f>
        <v>0</v>
      </c>
      <c r="U46" s="3203"/>
      <c r="V46" s="3203">
        <f>I46</f>
        <v>0</v>
      </c>
      <c r="W46" s="3203"/>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72" t="str">
        <f>A47</f>
        <v>比较价值（元/平方米）</v>
      </c>
      <c r="Q47" s="3172"/>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3"/>
      <c r="M48" s="1144"/>
      <c r="N48" s="1144"/>
      <c r="O48" s="1144"/>
      <c r="P48" s="3169" t="str">
        <f>A48</f>
        <v>估价对象XX用房的比较价值（楼面单价，元/平方米）</v>
      </c>
      <c r="Q48" s="3170"/>
      <c r="R48" s="3232" t="e">
        <f>ROUND(AVERAGE(R47:V47),0)</f>
        <v>#DIV/0!</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187" t="s">
        <v>2764</v>
      </c>
      <c r="H55" s="3233"/>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177.12</v>
      </c>
      <c r="F56" s="1103" t="e">
        <f t="shared" ref="F56:F65" si="15">ROUND(B56*E56/10000,0)</f>
        <v>#DIV/0!</v>
      </c>
      <c r="G56" s="3183"/>
      <c r="H56" s="317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4.4"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1026</v>
      </c>
      <c r="E66" s="696">
        <f>IF(B46="楼面地价",SUM(E56:E65),'数据-汇总表'!D3)</f>
        <v>177.12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2.2" thickBot="1">
      <c r="A69" s="763" t="s">
        <v>2674</v>
      </c>
      <c r="B69" s="759"/>
      <c r="C69" s="764"/>
      <c r="D69" s="764"/>
      <c r="E69" s="764"/>
      <c r="F69" s="765"/>
      <c r="G69" s="765"/>
      <c r="H69" s="764"/>
      <c r="I69" s="764"/>
      <c r="J69" s="1159"/>
      <c r="K69" s="1160"/>
      <c r="L69" s="1161"/>
      <c r="M69" s="1159"/>
      <c r="N69" s="1159"/>
      <c r="O69" s="1159"/>
      <c r="P69" s="503"/>
      <c r="Q69" s="504"/>
    </row>
    <row r="70" spans="1:17" s="508" customFormat="1" ht="14.4">
      <c r="A70" s="2711" t="s">
        <v>2782</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 thickBot="1">
      <c r="A72" s="515" t="s">
        <v>2585</v>
      </c>
      <c r="B72" s="516"/>
      <c r="C72" s="517"/>
      <c r="D72" s="518"/>
      <c r="E72" s="518"/>
      <c r="F72" s="518"/>
      <c r="G72" s="518"/>
      <c r="H72" s="518"/>
      <c r="I72" s="518"/>
      <c r="J72" s="518"/>
      <c r="K72" s="518"/>
      <c r="L72" s="518"/>
      <c r="M72" s="519"/>
      <c r="N72" s="518"/>
      <c r="O72" s="1162"/>
      <c r="P72" s="504"/>
      <c r="Q72" s="504"/>
    </row>
    <row r="73" spans="1:17" s="117" customFormat="1" ht="14.4">
      <c r="A73" s="521" t="s">
        <v>2550</v>
      </c>
      <c r="B73" s="510"/>
      <c r="C73" s="522" t="s">
        <v>2652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2588</v>
      </c>
      <c r="B75" s="528" t="s">
        <v>2554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2"/>
      <c r="Y4" s="3197" t="s">
        <v>2651</v>
      </c>
      <c r="Z4" s="3198"/>
      <c r="AA4" s="3184" t="s">
        <v>2647</v>
      </c>
      <c r="AB4" s="3185" t="s">
        <v>2648</v>
      </c>
      <c r="AC4" s="3184" t="s">
        <v>2649</v>
      </c>
    </row>
    <row r="5" spans="1:29">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2"/>
      <c r="Y5" s="3199"/>
      <c r="Z5" s="3200"/>
      <c r="AA5" s="3185"/>
      <c r="AB5" s="3185"/>
      <c r="AC5" s="3185"/>
    </row>
    <row r="6" spans="1:29" ht="15" thickBot="1">
      <c r="A6" s="406"/>
      <c r="B6" s="407"/>
      <c r="C6" s="3235" t="s">
        <v>2797</v>
      </c>
      <c r="D6" s="3236"/>
      <c r="E6" s="3237" t="s">
        <v>2797</v>
      </c>
      <c r="F6" s="3238"/>
      <c r="G6" s="3235" t="s">
        <v>2797</v>
      </c>
      <c r="H6" s="3236"/>
      <c r="I6" s="3235" t="s">
        <v>2797</v>
      </c>
      <c r="J6" s="3236"/>
      <c r="K6" s="610" t="s">
        <v>2547</v>
      </c>
      <c r="L6" s="1130"/>
      <c r="M6" s="1131"/>
      <c r="N6" s="1131"/>
      <c r="O6" s="1131"/>
      <c r="P6" s="3195"/>
      <c r="Q6" s="3196"/>
      <c r="R6" s="3199"/>
      <c r="S6" s="3200"/>
      <c r="T6" s="3201"/>
      <c r="U6" s="3202"/>
      <c r="V6" s="3203"/>
      <c r="W6" s="3203"/>
      <c r="X6" s="1812"/>
      <c r="Y6" s="3201"/>
      <c r="Z6" s="3202"/>
      <c r="AA6" s="3186"/>
      <c r="AB6" s="3186"/>
      <c r="AC6" s="3186"/>
    </row>
    <row r="7" spans="1:29" s="117" customFormat="1" ht="15" thickBot="1">
      <c r="A7" s="408" t="s">
        <v>2548</v>
      </c>
      <c r="B7" s="409"/>
      <c r="C7" s="410">
        <f>'数据-取费表'!B2</f>
        <v>43689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0" si="3">D8/F8</f>
        <v>#DIV/0!</v>
      </c>
      <c r="AB8" s="773" t="e">
        <f t="shared" ref="AB8:AB40" si="4">D8/H8</f>
        <v>#DIV/0!</v>
      </c>
      <c r="AC8" s="773" t="e">
        <f t="shared" ref="AC8:AC40" si="5">D8/J8</f>
        <v>#DIV/0!</v>
      </c>
    </row>
    <row r="9" spans="1:29" s="117" customFormat="1" ht="14.4">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2" t="s">
        <v>2555</v>
      </c>
      <c r="Q9" s="1794"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172"/>
      <c r="Q10" s="1794" t="str">
        <f t="shared" si="6"/>
        <v>土地使用年限（年）</v>
      </c>
      <c r="R10" s="770" t="s">
        <v>17</v>
      </c>
      <c r="S10" s="771">
        <f t="shared" si="0"/>
        <v>102</v>
      </c>
      <c r="T10" s="770" t="s">
        <v>17</v>
      </c>
      <c r="U10" s="771">
        <f t="shared" si="1"/>
        <v>102</v>
      </c>
      <c r="V10" s="770" t="s">
        <v>17</v>
      </c>
      <c r="W10" s="771">
        <f t="shared" si="2"/>
        <v>102</v>
      </c>
      <c r="X10" s="772"/>
      <c r="Y10" s="2997"/>
      <c r="Z10" s="55" t="str">
        <f t="shared" si="7"/>
        <v>土地使用年限（年）</v>
      </c>
      <c r="AA10" s="773">
        <f t="shared" si="3"/>
        <v>0.98039215686274506</v>
      </c>
      <c r="AB10" s="773">
        <f t="shared" si="4"/>
        <v>0.98039215686274506</v>
      </c>
      <c r="AC10" s="773">
        <f t="shared" si="5"/>
        <v>0.98039215686274506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69">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2560</v>
      </c>
      <c r="Q15" s="1809" t="str">
        <f t="shared" si="6"/>
        <v>产业集聚程度</v>
      </c>
      <c r="R15" s="774" t="s">
        <v>17</v>
      </c>
      <c r="S15" s="775">
        <f t="shared" si="0"/>
        <v>100</v>
      </c>
      <c r="T15" s="774" t="s">
        <v>17</v>
      </c>
      <c r="U15" s="775">
        <f t="shared" si="1"/>
        <v>100</v>
      </c>
      <c r="V15" s="774" t="s">
        <v>17</v>
      </c>
      <c r="W15" s="775">
        <f t="shared" si="2"/>
        <v>100</v>
      </c>
      <c r="X15" s="1812"/>
      <c r="Y15" s="3174"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175"/>
      <c r="Q16" s="1809"/>
      <c r="R16" s="774"/>
      <c r="S16" s="775"/>
      <c r="T16" s="774"/>
      <c r="U16" s="775"/>
      <c r="V16" s="774"/>
      <c r="W16" s="775"/>
      <c r="X16" s="1812"/>
      <c r="Y16" s="3175"/>
      <c r="Z16" s="1813"/>
      <c r="AA16" s="1810">
        <v>1</v>
      </c>
      <c r="AB16" s="1810">
        <v>1</v>
      </c>
      <c r="AC16" s="1810">
        <v>1</v>
      </c>
    </row>
    <row r="17" spans="1:29" ht="96.6">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175"/>
      <c r="Q18" s="1809"/>
      <c r="R18" s="774"/>
      <c r="S18" s="775"/>
      <c r="T18" s="774"/>
      <c r="U18" s="775"/>
      <c r="V18" s="774"/>
      <c r="W18" s="775"/>
      <c r="X18" s="1812"/>
      <c r="Y18" s="3175"/>
      <c r="Z18" s="1813"/>
      <c r="AA18" s="1810">
        <v>1</v>
      </c>
      <c r="AB18" s="1810">
        <v>1</v>
      </c>
      <c r="AC18" s="1810">
        <v>1</v>
      </c>
    </row>
    <row r="19" spans="1:29" ht="28.8">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09" t="str">
        <f t="shared" ref="Q19:Q33" si="8">B19</f>
        <v>区域土地利用方向</v>
      </c>
      <c r="R19" s="774" t="s">
        <v>17</v>
      </c>
      <c r="S19" s="775">
        <f>F19</f>
        <v>100</v>
      </c>
      <c r="T19" s="774" t="s">
        <v>17</v>
      </c>
      <c r="U19" s="775">
        <f>H19</f>
        <v>100</v>
      </c>
      <c r="V19" s="774" t="s">
        <v>17</v>
      </c>
      <c r="W19" s="775">
        <f>J19</f>
        <v>100</v>
      </c>
      <c r="X19" s="1812"/>
      <c r="Y19" s="3175"/>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175"/>
      <c r="Q20" s="1809"/>
      <c r="R20" s="774"/>
      <c r="S20" s="775"/>
      <c r="T20" s="774"/>
      <c r="U20" s="775"/>
      <c r="V20" s="774"/>
      <c r="W20" s="775"/>
      <c r="X20" s="1812"/>
      <c r="Y20" s="3175"/>
      <c r="Z20" s="1813"/>
      <c r="AA20" s="1810"/>
      <c r="AB20" s="1810"/>
      <c r="AC20" s="1810"/>
    </row>
    <row r="21" spans="1:29" ht="82.8">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09" t="str">
        <f t="shared" si="8"/>
        <v>环境状况</v>
      </c>
      <c r="R21" s="774" t="s">
        <v>17</v>
      </c>
      <c r="S21" s="775">
        <f>F21</f>
        <v>100</v>
      </c>
      <c r="T21" s="774" t="s">
        <v>17</v>
      </c>
      <c r="U21" s="775">
        <f>H21</f>
        <v>100</v>
      </c>
      <c r="V21" s="774" t="s">
        <v>17</v>
      </c>
      <c r="W21" s="775">
        <f>J21</f>
        <v>100</v>
      </c>
      <c r="X21" s="1812"/>
      <c r="Y21" s="3175"/>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175"/>
      <c r="Q22" s="1809"/>
      <c r="R22" s="774"/>
      <c r="S22" s="775"/>
      <c r="T22" s="774"/>
      <c r="U22" s="775"/>
      <c r="V22" s="774"/>
      <c r="W22" s="775"/>
      <c r="X22" s="1812"/>
      <c r="Y22" s="3175"/>
      <c r="Z22" s="1813"/>
      <c r="AA22" s="1810">
        <v>1</v>
      </c>
      <c r="AB22" s="1810">
        <v>1</v>
      </c>
      <c r="AC22" s="1810">
        <v>1</v>
      </c>
    </row>
    <row r="23" spans="1:29" s="117" customFormat="1" ht="41.4">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4" t="str">
        <f t="shared" si="8"/>
        <v>公共配套设施</v>
      </c>
      <c r="R23" s="770" t="s">
        <v>17</v>
      </c>
      <c r="S23" s="771">
        <f>F23</f>
        <v>100</v>
      </c>
      <c r="T23" s="770" t="s">
        <v>17</v>
      </c>
      <c r="U23" s="771">
        <f>H23</f>
        <v>100</v>
      </c>
      <c r="V23" s="770" t="s">
        <v>17</v>
      </c>
      <c r="W23" s="771">
        <f>J23</f>
        <v>100</v>
      </c>
      <c r="X23" s="772"/>
      <c r="Y23" s="3175"/>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175"/>
      <c r="Q24" s="1794"/>
      <c r="R24" s="770"/>
      <c r="S24" s="771"/>
      <c r="T24" s="770"/>
      <c r="U24" s="771"/>
      <c r="V24" s="770"/>
      <c r="W24" s="771"/>
      <c r="X24" s="772"/>
      <c r="Y24" s="3175"/>
      <c r="Z24" s="55"/>
      <c r="AA24" s="773">
        <v>1</v>
      </c>
      <c r="AB24" s="773">
        <v>1</v>
      </c>
      <c r="AC24" s="773">
        <v>1</v>
      </c>
    </row>
    <row r="25" spans="1:29" s="117" customFormat="1" ht="41.4">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4"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75"/>
      <c r="Q26" s="1794"/>
      <c r="R26" s="770"/>
      <c r="S26" s="771"/>
      <c r="T26" s="770"/>
      <c r="U26" s="771"/>
      <c r="V26" s="770"/>
      <c r="W26" s="771"/>
      <c r="X26" s="772"/>
      <c r="Y26" s="317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5"/>
      <c r="Z27" s="1813" t="str">
        <f t="shared" ref="Z27:Z40" si="13">Q27</f>
        <v>临街状况</v>
      </c>
      <c r="AA27" s="1810">
        <f t="shared" si="3"/>
        <v>1</v>
      </c>
      <c r="AB27" s="1810">
        <f t="shared" si="4"/>
        <v>1</v>
      </c>
      <c r="AC27" s="1810">
        <f t="shared" si="5"/>
        <v>1</v>
      </c>
    </row>
    <row r="28" spans="1:29" ht="28.8">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09" t="str">
        <f t="shared" si="8"/>
        <v>毗邻道路的类型与等级</v>
      </c>
      <c r="R28" s="774" t="s">
        <v>17</v>
      </c>
      <c r="S28" s="775">
        <f t="shared" si="10"/>
        <v>100</v>
      </c>
      <c r="T28" s="774" t="s">
        <v>17</v>
      </c>
      <c r="U28" s="775">
        <f t="shared" si="11"/>
        <v>100</v>
      </c>
      <c r="V28" s="774" t="s">
        <v>17</v>
      </c>
      <c r="W28" s="775">
        <f t="shared" si="12"/>
        <v>100</v>
      </c>
      <c r="X28" s="1812"/>
      <c r="Y28" s="3175"/>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175"/>
      <c r="Q29" s="1809"/>
      <c r="R29" s="774"/>
      <c r="S29" s="775"/>
      <c r="T29" s="774"/>
      <c r="U29" s="775"/>
      <c r="V29" s="774"/>
      <c r="W29" s="775"/>
      <c r="X29" s="1812"/>
      <c r="Y29" s="3175"/>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09" t="str">
        <f t="shared" si="8"/>
        <v>土地级别</v>
      </c>
      <c r="R30" s="774" t="s">
        <v>17</v>
      </c>
      <c r="S30" s="775">
        <f t="shared" si="10"/>
        <v>100</v>
      </c>
      <c r="T30" s="774" t="s">
        <v>17</v>
      </c>
      <c r="U30" s="775">
        <f t="shared" si="11"/>
        <v>100</v>
      </c>
      <c r="V30" s="774" t="s">
        <v>17</v>
      </c>
      <c r="W30" s="775">
        <f t="shared" si="12"/>
        <v>100</v>
      </c>
      <c r="X30" s="1812"/>
      <c r="Y30" s="317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09">
        <f t="shared" si="8"/>
        <v>111</v>
      </c>
      <c r="R31" s="774" t="s">
        <v>17</v>
      </c>
      <c r="S31" s="775">
        <f t="shared" si="10"/>
        <v>100</v>
      </c>
      <c r="T31" s="774" t="s">
        <v>17</v>
      </c>
      <c r="U31" s="775">
        <f t="shared" si="11"/>
        <v>100</v>
      </c>
      <c r="V31" s="774" t="s">
        <v>17</v>
      </c>
      <c r="W31" s="775">
        <f t="shared" si="12"/>
        <v>100</v>
      </c>
      <c r="X31" s="1812"/>
      <c r="Y31" s="317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2565</v>
      </c>
      <c r="Q32" s="1809">
        <f t="shared" si="8"/>
        <v>111</v>
      </c>
      <c r="R32" s="774" t="s">
        <v>17</v>
      </c>
      <c r="S32" s="775">
        <f t="shared" si="10"/>
        <v>100</v>
      </c>
      <c r="T32" s="774" t="s">
        <v>17</v>
      </c>
      <c r="U32" s="775">
        <f t="shared" si="11"/>
        <v>100</v>
      </c>
      <c r="V32" s="774" t="s">
        <v>17</v>
      </c>
      <c r="W32" s="775">
        <f t="shared" si="12"/>
        <v>100</v>
      </c>
      <c r="X32" s="1812"/>
      <c r="Y32" s="3179" t="s">
        <v>2565</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09">
        <f t="shared" si="8"/>
        <v>111</v>
      </c>
      <c r="R33" s="777" t="s">
        <v>17</v>
      </c>
      <c r="S33" s="778">
        <f t="shared" si="10"/>
        <v>100</v>
      </c>
      <c r="T33" s="777" t="s">
        <v>17</v>
      </c>
      <c r="U33" s="778">
        <f t="shared" si="11"/>
        <v>100</v>
      </c>
      <c r="V33" s="777" t="s">
        <v>17</v>
      </c>
      <c r="W33" s="778">
        <f t="shared" si="12"/>
        <v>100</v>
      </c>
      <c r="X33" s="779"/>
      <c r="Y33" s="3179"/>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09" t="str">
        <f>B34</f>
        <v>宗地面积</v>
      </c>
      <c r="R34" s="774" t="s">
        <v>17</v>
      </c>
      <c r="S34" s="775" t="e">
        <f t="shared" si="10"/>
        <v>#N/A</v>
      </c>
      <c r="T34" s="774" t="s">
        <v>17</v>
      </c>
      <c r="U34" s="775" t="e">
        <f t="shared" si="11"/>
        <v>#N/A</v>
      </c>
      <c r="V34" s="774" t="s">
        <v>17</v>
      </c>
      <c r="W34" s="775" t="e">
        <f t="shared" si="12"/>
        <v>#N/A</v>
      </c>
      <c r="X34" s="1812"/>
      <c r="Y34" s="3179"/>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79"/>
      <c r="Q35" s="1809" t="str">
        <f t="shared" ref="Q35:Q40" si="14">B35</f>
        <v>宗地形状</v>
      </c>
      <c r="R35" s="774" t="s">
        <v>17</v>
      </c>
      <c r="S35" s="775">
        <f t="shared" si="10"/>
        <v>100</v>
      </c>
      <c r="T35" s="774" t="s">
        <v>17</v>
      </c>
      <c r="U35" s="775">
        <f t="shared" si="11"/>
        <v>100</v>
      </c>
      <c r="V35" s="774" t="s">
        <v>17</v>
      </c>
      <c r="W35" s="775">
        <f t="shared" si="12"/>
        <v>100</v>
      </c>
      <c r="X35" s="1812"/>
      <c r="Y35" s="3179"/>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79"/>
      <c r="Q36" s="1809"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79" t="s">
        <v>2565</v>
      </c>
      <c r="Q37" s="1809" t="str">
        <f t="shared" si="14"/>
        <v>工程地质条件</v>
      </c>
      <c r="R37" s="774" t="s">
        <v>17</v>
      </c>
      <c r="S37" s="775">
        <f t="shared" si="10"/>
        <v>100</v>
      </c>
      <c r="T37" s="774" t="s">
        <v>17</v>
      </c>
      <c r="U37" s="775">
        <f t="shared" si="11"/>
        <v>100</v>
      </c>
      <c r="V37" s="774" t="s">
        <v>17</v>
      </c>
      <c r="W37" s="775">
        <f t="shared" si="12"/>
        <v>100</v>
      </c>
      <c r="X37" s="1812"/>
      <c r="Y37" s="3179"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09">
        <f t="shared" si="14"/>
        <v>111</v>
      </c>
      <c r="R38" s="774" t="s">
        <v>17</v>
      </c>
      <c r="S38" s="775">
        <f t="shared" si="10"/>
        <v>100</v>
      </c>
      <c r="T38" s="774" t="s">
        <v>17</v>
      </c>
      <c r="U38" s="775">
        <f t="shared" si="11"/>
        <v>100</v>
      </c>
      <c r="V38" s="774" t="s">
        <v>17</v>
      </c>
      <c r="W38" s="775">
        <f t="shared" si="12"/>
        <v>100</v>
      </c>
      <c r="X38" s="1812"/>
      <c r="Y38" s="317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09">
        <f t="shared" si="14"/>
        <v>111</v>
      </c>
      <c r="R39" s="774" t="s">
        <v>17</v>
      </c>
      <c r="S39" s="775">
        <f t="shared" si="10"/>
        <v>100</v>
      </c>
      <c r="T39" s="774" t="s">
        <v>17</v>
      </c>
      <c r="U39" s="775">
        <f t="shared" si="11"/>
        <v>100</v>
      </c>
      <c r="V39" s="774" t="s">
        <v>17</v>
      </c>
      <c r="W39" s="775">
        <f t="shared" si="12"/>
        <v>100</v>
      </c>
      <c r="X39" s="1812"/>
      <c r="Y39" s="3179"/>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09">
        <f t="shared" si="14"/>
        <v>111</v>
      </c>
      <c r="R40" s="777" t="s">
        <v>17</v>
      </c>
      <c r="S40" s="778">
        <f t="shared" si="10"/>
        <v>100</v>
      </c>
      <c r="T40" s="777" t="s">
        <v>17</v>
      </c>
      <c r="U40" s="778">
        <f t="shared" si="11"/>
        <v>100</v>
      </c>
      <c r="V40" s="777" t="s">
        <v>17</v>
      </c>
      <c r="W40" s="778">
        <f t="shared" si="12"/>
        <v>100</v>
      </c>
      <c r="X40" s="779"/>
      <c r="Y40" s="3179"/>
      <c r="Z40" s="780">
        <f t="shared" si="13"/>
        <v>111</v>
      </c>
      <c r="AA40" s="1810">
        <f t="shared" si="3"/>
        <v>1</v>
      </c>
      <c r="AB40" s="1810">
        <f t="shared" si="4"/>
        <v>1</v>
      </c>
      <c r="AC40" s="1810">
        <f t="shared" si="5"/>
        <v>1</v>
      </c>
    </row>
    <row r="41" spans="1:29" ht="14.4">
      <c r="A41" s="479" t="s">
        <v>2720</v>
      </c>
      <c r="B41" s="2704" t="s">
        <v>2800</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705" t="s">
        <v>2760</v>
      </c>
      <c r="D50" s="2706" t="s">
        <v>2761</v>
      </c>
      <c r="E50" s="686" t="s">
        <v>2762</v>
      </c>
      <c r="F50" s="687" t="s">
        <v>2763</v>
      </c>
      <c r="G50" s="3187" t="s">
        <v>2764</v>
      </c>
      <c r="H50" s="3233"/>
      <c r="I50" s="1813" t="s">
        <v>2801</v>
      </c>
      <c r="J50" s="1813">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177.12</v>
      </c>
      <c r="F51" s="691" t="e">
        <f t="shared" ref="F51:F60" si="15">ROUND(B51*E51/10000,0)</f>
        <v>#DIV/0!</v>
      </c>
      <c r="G51" s="3183"/>
      <c r="H51" s="317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1026</v>
      </c>
      <c r="E61" s="696">
        <f>IF(B41="楼面地价",SUM(E51:E60),'数据-汇总表'!D3)</f>
        <v>7.71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2.2" thickBot="1">
      <c r="A64" s="763" t="s">
        <v>2674</v>
      </c>
      <c r="B64" s="759"/>
      <c r="C64" s="764"/>
      <c r="D64" s="764"/>
      <c r="E64" s="764"/>
      <c r="F64" s="765"/>
      <c r="G64" s="765"/>
      <c r="H64" s="764"/>
      <c r="I64" s="764"/>
      <c r="J64" s="764"/>
      <c r="K64" s="766"/>
      <c r="L64" s="767"/>
      <c r="M64" s="764"/>
      <c r="N64" s="764"/>
      <c r="O64" s="1159"/>
      <c r="P64" s="503"/>
      <c r="Q64" s="504"/>
    </row>
    <row r="65" spans="1:17" s="508" customFormat="1" ht="14.4">
      <c r="A65" s="2711" t="s">
        <v>2782</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2588</v>
      </c>
      <c r="B70" s="528" t="s">
        <v>2554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2804</v>
      </c>
      <c r="B1" s="241"/>
      <c r="C1" s="245" t="s">
        <v>2805</v>
      </c>
      <c r="D1" s="388">
        <f>SUM(D29:D30,D33:D39)</f>
        <v>0</v>
      </c>
      <c r="E1" s="2717"/>
      <c r="F1" s="2717"/>
      <c r="G1" s="2717"/>
      <c r="H1" s="2717"/>
      <c r="I1" s="2717"/>
      <c r="J1" s="2717"/>
      <c r="K1" s="1369"/>
      <c r="L1" s="2718" t="s">
        <v>2806</v>
      </c>
      <c r="M1" s="1080">
        <f>SUMPRODUCT((区片价!B5:B9=I2)*(区片价!C3:F3=E2)*(区片价!C5:F9))</f>
        <v>0</v>
      </c>
      <c r="N1" s="1083">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6">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2818</v>
      </c>
      <c r="B3" s="248" t="e">
        <f>ROUND(B2*10000/D1,0)</f>
        <v>#DIV/0!</v>
      </c>
      <c r="C3" s="2721" t="s">
        <v>2819</v>
      </c>
      <c r="D3" s="2722" t="s">
        <v>2820</v>
      </c>
      <c r="E3" s="2727"/>
      <c r="F3" s="2728" t="s">
        <v>2821</v>
      </c>
      <c r="G3" s="916">
        <f>IF(F3="宗地容积率",'数据-汇总表'!I4,IF(F3="估价对象容积率",'数据-汇总表'!I6,'数据-汇总表'!I7))</f>
        <v>21.42</v>
      </c>
      <c r="H3" s="198" t="s">
        <v>2822</v>
      </c>
      <c r="I3" s="944"/>
      <c r="J3" s="2725" t="s">
        <v>2823</v>
      </c>
      <c r="K3" s="1369"/>
      <c r="L3" s="2726"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42"/>
      <c r="B4" s="3243"/>
      <c r="C4" s="3243"/>
      <c r="D4" s="3244"/>
      <c r="E4" s="3244"/>
      <c r="F4" s="3244"/>
      <c r="G4" s="3244"/>
      <c r="H4" s="3244"/>
      <c r="I4" s="3244"/>
      <c r="J4" s="3245"/>
      <c r="K4" s="1369"/>
      <c r="L4" s="2726"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2826</v>
      </c>
      <c r="C5" s="917" t="e">
        <f>ROUND(IF(E2="商业",C6*C7+C16,(IF(E2="住宅",C6*C12+C16,C6+C16))),0)</f>
        <v>#DIV/0!</v>
      </c>
      <c r="D5" s="1786" t="e">
        <f>ROUND(C6+C16,0)</f>
        <v>#DIV/0!</v>
      </c>
      <c r="E5" s="1786"/>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2828</v>
      </c>
      <c r="B6" s="2740" t="s">
        <v>2829</v>
      </c>
      <c r="C6" s="918">
        <f>SUMIF(L1:L12,G2,M1:M12)</f>
        <v>0</v>
      </c>
      <c r="D6" s="2741" t="s">
        <v>2830</v>
      </c>
      <c r="E6" s="2742"/>
      <c r="F6" s="2742"/>
      <c r="G6" s="2743"/>
      <c r="H6" s="2743"/>
      <c r="I6" s="2743"/>
      <c r="J6" s="2744"/>
      <c r="K6" s="1841"/>
      <c r="L6" s="2726"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46" t="str">
        <f>IF(E2="商业",IF(C8="不临58条商业街","",2),"")</f>
        <v/>
      </c>
      <c r="B7" s="2745" t="s">
        <v>2832</v>
      </c>
      <c r="C7" s="919" t="e">
        <f>IF(C8="不临58条商业街",1,ROUND(1+(1.6*E8+1.2*E9+0.8*E10+0.4*E11)*C9,4))</f>
        <v>#DIV/0!</v>
      </c>
      <c r="D7" s="2746" t="s">
        <v>2833</v>
      </c>
      <c r="E7" s="945"/>
      <c r="F7" s="2747"/>
      <c r="G7" s="2748"/>
      <c r="H7" s="2748"/>
      <c r="I7" s="2748"/>
      <c r="J7" s="2749"/>
      <c r="K7" s="1841"/>
      <c r="L7" s="2726"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21.42</v>
      </c>
      <c r="AA7" s="1605"/>
      <c r="AB7" s="1605"/>
      <c r="AC7" s="1606"/>
      <c r="AD7" s="1607"/>
      <c r="AE7" s="1607"/>
      <c r="AF7" s="1607"/>
      <c r="AG7" s="1607"/>
      <c r="AH7" s="1607"/>
      <c r="AI7" s="1607"/>
      <c r="AJ7" s="1608"/>
    </row>
    <row r="8" spans="1:36" ht="15">
      <c r="A8" s="3247"/>
      <c r="B8" s="198" t="s">
        <v>2837</v>
      </c>
      <c r="C8" s="2750"/>
      <c r="D8" s="920" t="s">
        <v>139</v>
      </c>
      <c r="E8" s="921" t="e">
        <f>ROUND(C11/E7,4)</f>
        <v>#DIV/0!</v>
      </c>
      <c r="F8" s="2751" t="s">
        <v>2838</v>
      </c>
      <c r="G8" s="2752"/>
      <c r="H8" s="2752"/>
      <c r="I8" s="2752"/>
      <c r="J8" s="2753"/>
      <c r="K8" s="1369"/>
      <c r="L8" s="2726"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39" t="s">
        <v>2840</v>
      </c>
      <c r="X8" s="3240"/>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47"/>
      <c r="B9" s="198" t="s">
        <v>2853</v>
      </c>
      <c r="C9" s="922">
        <f>SUMIF(修正!C59:C119,C8,修正!E59:E119)</f>
        <v>0</v>
      </c>
      <c r="D9" s="200" t="s">
        <v>140</v>
      </c>
      <c r="E9" s="200" t="e">
        <f>ROUND(C11/E7,4)</f>
        <v>#DIV/0!</v>
      </c>
      <c r="F9" s="2751" t="s">
        <v>2854</v>
      </c>
      <c r="G9" s="2752"/>
      <c r="H9" s="2752"/>
      <c r="I9" s="2752"/>
      <c r="J9" s="2753"/>
      <c r="K9" s="1369"/>
      <c r="L9" s="2726"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41"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7"/>
      <c r="B10" s="198" t="s">
        <v>2858</v>
      </c>
      <c r="C10" s="200">
        <f>SUMIF(修正!C59:C119,C8,修正!F59:F119)</f>
        <v>0</v>
      </c>
      <c r="D10" s="200" t="s">
        <v>141</v>
      </c>
      <c r="E10" s="200" t="e">
        <f>ROUND(C11/E7,4)</f>
        <v>#DIV/0!</v>
      </c>
      <c r="F10" s="2751" t="s">
        <v>2859</v>
      </c>
      <c r="G10" s="2752"/>
      <c r="H10" s="2752"/>
      <c r="I10" s="2752"/>
      <c r="J10" s="2753"/>
      <c r="K10" s="1369"/>
      <c r="L10" s="2726"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4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47"/>
      <c r="B11" s="2754" t="s">
        <v>2861</v>
      </c>
      <c r="C11" s="923">
        <f>C10/4</f>
        <v>0</v>
      </c>
      <c r="D11" s="923" t="s">
        <v>142</v>
      </c>
      <c r="E11" s="923" t="e">
        <f>ROUND(C11/E7,4)</f>
        <v>#DIV/0!</v>
      </c>
      <c r="F11" s="2755" t="s">
        <v>2862</v>
      </c>
      <c r="G11" s="2756"/>
      <c r="H11" s="2756"/>
      <c r="I11" s="2756"/>
      <c r="J11" s="2757"/>
      <c r="K11" s="1369"/>
      <c r="L11" s="2726"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41" t="s">
        <v>2864</v>
      </c>
      <c r="X11" s="1613" t="s">
        <v>2865</v>
      </c>
      <c r="Y11" s="1614">
        <f>$G$3</f>
        <v>21.42</v>
      </c>
      <c r="Z11" s="1614">
        <f t="shared" ref="Z11:AJ11" si="3">$G$3</f>
        <v>21.42</v>
      </c>
      <c r="AA11" s="1614">
        <f t="shared" si="3"/>
        <v>21.42</v>
      </c>
      <c r="AB11" s="1614">
        <f t="shared" si="3"/>
        <v>21.42</v>
      </c>
      <c r="AC11" s="1614">
        <f t="shared" si="3"/>
        <v>21.42</v>
      </c>
      <c r="AD11" s="1614">
        <f t="shared" si="3"/>
        <v>21.42</v>
      </c>
      <c r="AE11" s="1614">
        <f t="shared" si="3"/>
        <v>21.42</v>
      </c>
      <c r="AF11" s="1614">
        <f t="shared" si="3"/>
        <v>21.42</v>
      </c>
      <c r="AG11" s="1614">
        <f t="shared" si="3"/>
        <v>21.42</v>
      </c>
      <c r="AH11" s="1614">
        <f t="shared" si="3"/>
        <v>21.42</v>
      </c>
      <c r="AI11" s="1614">
        <f t="shared" si="3"/>
        <v>21.42</v>
      </c>
      <c r="AJ11" s="1614">
        <f t="shared" si="3"/>
        <v>21.42</v>
      </c>
    </row>
    <row r="12" spans="1:36" ht="25.8" thickBot="1">
      <c r="A12" s="3246" t="s">
        <v>2866</v>
      </c>
      <c r="B12" s="2758" t="s">
        <v>2867</v>
      </c>
      <c r="C12" s="919">
        <f>ROUND(C15*D15*E15*F15*G15*H15*I15*J15,4)</f>
        <v>1</v>
      </c>
      <c r="D12" s="2759" t="s">
        <v>2868</v>
      </c>
      <c r="E12" s="2760"/>
      <c r="F12" s="2760"/>
      <c r="G12" s="2761"/>
      <c r="H12" s="2761"/>
      <c r="I12" s="2761"/>
      <c r="J12" s="2762"/>
      <c r="K12" s="1369"/>
      <c r="L12" s="2763"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41"/>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8"/>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t="e">
        <f t="shared" si="0"/>
        <v>#DIV/0!</v>
      </c>
      <c r="U13" s="1602"/>
      <c r="V13" s="1601" t="e">
        <f t="shared" si="1"/>
        <v>#DIV/0!</v>
      </c>
      <c r="W13" s="3241"/>
      <c r="X13" s="1615"/>
      <c r="Y13" s="1612">
        <f>(-0.163*(Y12^2)-0.59*Y12+7617)*(10^(-4))/Y11</f>
        <v>3.5560224089635856E-2</v>
      </c>
      <c r="Z13" s="1612">
        <f t="shared" ref="Z13:AJ13" si="5">(-0.163*(Z12^2)-0.59*Z12+7617)*(10^(-4))/Z11</f>
        <v>3.5560224089635856E-2</v>
      </c>
      <c r="AA13" s="1612">
        <f t="shared" si="5"/>
        <v>3.5560224089635856E-2</v>
      </c>
      <c r="AB13" s="1612">
        <f t="shared" si="5"/>
        <v>3.5560224089635856E-2</v>
      </c>
      <c r="AC13" s="1612">
        <f t="shared" si="5"/>
        <v>3.5560224089635856E-2</v>
      </c>
      <c r="AD13" s="1612">
        <f t="shared" si="5"/>
        <v>3.5560224089635856E-2</v>
      </c>
      <c r="AE13" s="1612">
        <f t="shared" si="5"/>
        <v>3.5560224089635856E-2</v>
      </c>
      <c r="AF13" s="1612">
        <f t="shared" si="5"/>
        <v>3.5560224089635856E-2</v>
      </c>
      <c r="AG13" s="1612">
        <f t="shared" si="5"/>
        <v>3.5560224089635856E-2</v>
      </c>
      <c r="AH13" s="1612">
        <f t="shared" si="5"/>
        <v>3.5560224089635856E-2</v>
      </c>
      <c r="AI13" s="1612">
        <f t="shared" si="5"/>
        <v>3.5560224089635856E-2</v>
      </c>
      <c r="AJ13" s="1612">
        <f t="shared" si="5"/>
        <v>3.5560224089635856E-2</v>
      </c>
    </row>
    <row r="14" spans="1:36" ht="15">
      <c r="A14" s="3248"/>
      <c r="B14" s="2768"/>
      <c r="C14" s="2769"/>
      <c r="D14" s="2770"/>
      <c r="E14" s="2770"/>
      <c r="F14" s="2771"/>
      <c r="G14" s="2772" t="s">
        <v>2877</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49"/>
      <c r="B15" s="2776"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6" t="s">
        <v>2883</v>
      </c>
      <c r="B16" s="2745" t="s">
        <v>2884</v>
      </c>
      <c r="C16" s="2932" t="e">
        <f>ROUND(IF(F17="与级别开发程度一致",0,(G17-E17)/C17),0)</f>
        <v>#DIV/0!</v>
      </c>
      <c r="D16" s="3260" t="s">
        <v>2888</v>
      </c>
      <c r="E16" s="3261"/>
      <c r="F16" s="3260" t="s">
        <v>2885</v>
      </c>
      <c r="G16" s="3261"/>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50"/>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2890</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2891</v>
      </c>
      <c r="C19" s="924" t="e">
        <f>ROUND(IF(H19="按公示增长率计算",SUMPRODUCT((地价!A3:A27=YEAR(G19)&amp;"-"&amp;ROUNDUP(MONTH(G19)/3,0))*(地价!X2:AB2=E2)*(地价!X3:AB27)),IF(H19="地价指数",M20/M19,(1+I19)^O19)),4)</f>
        <v>#VALUE!</v>
      </c>
      <c r="D19" s="2789" t="s">
        <v>2892</v>
      </c>
      <c r="E19" s="925">
        <v>41640</v>
      </c>
      <c r="F19" s="2789" t="s">
        <v>2893</v>
      </c>
      <c r="G19" s="926">
        <f>'数据-取费表'!B2</f>
        <v>43689</v>
      </c>
      <c r="H19" s="2790"/>
      <c r="I19" s="927" t="str">
        <f>IF(H19="季度增幅（自定义）",SUMIF(N21:N24,E2,O21:O24),"")</f>
        <v/>
      </c>
      <c r="J19" s="2787"/>
      <c r="K19" s="1376"/>
      <c r="L19" s="2791" t="s">
        <v>2894</v>
      </c>
      <c r="M19" s="1733">
        <f>ROUND(SUMIF(地价!B2:F2,E2,地价!B27:F27),0)</f>
        <v>0</v>
      </c>
      <c r="N19" s="2792" t="s">
        <v>2895</v>
      </c>
      <c r="O19" s="928">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2896</v>
      </c>
      <c r="C20" s="929" t="e">
        <f>ROUND(POWER(1+G20,J20-I20)*(POWER(1+G20,I20)-1)/(POWER(1+G20,J20)-1),4)</f>
        <v>#DIV/0!</v>
      </c>
      <c r="D20" s="2798" t="s">
        <v>2897</v>
      </c>
      <c r="E20" s="1767">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6"/>
      <c r="L20" s="2799" t="s">
        <v>2899</v>
      </c>
      <c r="M20" s="1734">
        <f>ROUND(SUMPRODUCT((地价!A4:A27=YEAR(G19)&amp;"-"&amp;ROUNDUP(MONTH(G19)/3,0))*(地价!B2:F2=E2)*(地价!B4:F27)),0)</f>
        <v>0</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2903</v>
      </c>
      <c r="C21" s="937">
        <f>IF(B21="容积率修正",IF(G3&lt;=10,D22,J22),C23)</f>
        <v>0</v>
      </c>
      <c r="D21" s="2805"/>
      <c r="E21" s="2805"/>
      <c r="F21" s="2805"/>
      <c r="G21" s="2805"/>
      <c r="H21" s="2805"/>
      <c r="I21" s="2805"/>
      <c r="J21" s="2806"/>
      <c r="K21" s="1376"/>
      <c r="N21" s="2807" t="s">
        <v>2904</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2905</v>
      </c>
      <c r="B22" s="2808" t="s">
        <v>2906</v>
      </c>
      <c r="C22" s="1809" t="s">
        <v>2907</v>
      </c>
      <c r="D22" s="1809" t="str">
        <f>IF(E22=G22,F22,IF(G3&lt;=10,ROUND(F22+(H22-F22)*(G3-E22)/(G22-E22),4),"——"))</f>
        <v>——</v>
      </c>
      <c r="E22" s="916">
        <f>ROUNDDOWN(G3,1)</f>
        <v>21.4</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21.5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2908</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2911</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2912</v>
      </c>
      <c r="C24" s="924">
        <f>SUMIF(A45:A88,E2,B45:B88)</f>
        <v>0</v>
      </c>
      <c r="D24" s="2786"/>
      <c r="E24" s="2815"/>
      <c r="F24" s="2815"/>
      <c r="G24" s="2815"/>
      <c r="H24" s="2815"/>
      <c r="I24" s="2815"/>
      <c r="J24" s="2816"/>
      <c r="K24" s="1376"/>
      <c r="N24" s="2817" t="s">
        <v>2913</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2914</v>
      </c>
      <c r="C25" s="930"/>
      <c r="D25" s="2748"/>
      <c r="E25" s="2748"/>
      <c r="F25" s="2819"/>
      <c r="G25" s="2748"/>
      <c r="H25" s="2748"/>
      <c r="I25" s="2748"/>
      <c r="J25" s="2749"/>
      <c r="K25" s="1369"/>
      <c r="N25" s="2820" t="s">
        <v>2915</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2916</v>
      </c>
      <c r="C26" s="206" t="e">
        <f>E29+SUM(E33:E39)</f>
        <v>#DIV/0!</v>
      </c>
      <c r="D26" s="2822"/>
      <c r="E26" s="2773"/>
      <c r="F26" s="2823"/>
      <c r="G26" s="2773"/>
      <c r="H26" s="2773"/>
      <c r="I26" s="2773"/>
      <c r="J26" s="2824"/>
      <c r="K26" s="1369"/>
      <c r="L26" s="2777" t="s">
        <v>2814</v>
      </c>
      <c r="M26" s="920" t="s">
        <v>2879</v>
      </c>
      <c r="N26" s="920" t="s">
        <v>2880</v>
      </c>
      <c r="O26" s="920" t="s">
        <v>2881</v>
      </c>
      <c r="P26" s="2778" t="s">
        <v>2882</v>
      </c>
      <c r="R26" s="1375"/>
      <c r="S26" s="1375"/>
      <c r="T26" s="1370"/>
      <c r="U26" s="1370"/>
      <c r="V26" s="1370"/>
      <c r="W26" s="1369"/>
      <c r="X26" s="1369"/>
      <c r="Y26" s="1369"/>
      <c r="Z26" s="1376"/>
      <c r="AA26" s="1377"/>
      <c r="AB26" s="1377"/>
      <c r="AC26" s="1377"/>
      <c r="AD26" s="1377"/>
    </row>
    <row r="27" spans="1:37" ht="15" thickBot="1">
      <c r="A27" s="2821"/>
      <c r="B27" s="2825" t="s">
        <v>2917</v>
      </c>
      <c r="C27" s="931" t="e">
        <f>E30+SUM(I33:I39)</f>
        <v>#DIV/0!</v>
      </c>
      <c r="D27" s="2826"/>
      <c r="E27" s="2827"/>
      <c r="F27" s="2828"/>
      <c r="G27" s="2827"/>
      <c r="H27" s="2827"/>
      <c r="I27" s="2827"/>
      <c r="J27" s="2829"/>
      <c r="K27" s="1369"/>
      <c r="L27" s="2781"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2918</v>
      </c>
      <c r="C28" s="2832" t="s">
        <v>2919</v>
      </c>
      <c r="D28" s="2832" t="s">
        <v>2920</v>
      </c>
      <c r="E28" s="2833" t="s">
        <v>2921</v>
      </c>
      <c r="F28" s="2834"/>
      <c r="G28" s="2761"/>
      <c r="H28" s="2761"/>
      <c r="I28" s="2761"/>
      <c r="J28" s="2762"/>
      <c r="K28" s="1369"/>
      <c r="L28" s="2782"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6" t="e">
        <f>ROUND(C5*C18*C19*C20*C21*C24,0)</f>
        <v>#DIV/0!</v>
      </c>
      <c r="D29" s="2837"/>
      <c r="E29" s="942" t="e">
        <f>ROUND(C29*D29/10000,0)</f>
        <v>#DIV/0!</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2924</v>
      </c>
      <c r="C30" s="229" t="e">
        <f>ROUND(IF(E2="工业",C29*M39,C29*M38),0)</f>
        <v>#DIV/0!</v>
      </c>
      <c r="D30" s="2843"/>
      <c r="E30" s="942" t="e">
        <f>ROUND(C30*D30/10000,0)</f>
        <v>#DIV/0!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2919</v>
      </c>
      <c r="D32" s="498" t="s">
        <v>2920</v>
      </c>
      <c r="E32" s="498" t="s">
        <v>2921</v>
      </c>
      <c r="F32" s="388" t="s">
        <v>2929</v>
      </c>
      <c r="G32" s="2852" t="s">
        <v>2919</v>
      </c>
      <c r="H32" s="2852" t="s">
        <v>2920</v>
      </c>
      <c r="I32" s="2852"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57"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58"/>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8"/>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259"/>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2938</v>
      </c>
      <c r="M38" s="2858">
        <v>0.25</v>
      </c>
      <c r="N38" s="1369"/>
      <c r="O38" s="1369"/>
      <c r="P38" s="1369"/>
      <c r="Q38" s="1369"/>
      <c r="R38" s="1369"/>
      <c r="S38" s="1369"/>
      <c r="T38" s="1369"/>
      <c r="U38" s="1369"/>
      <c r="V38" s="1369"/>
      <c r="W38" s="1369"/>
      <c r="X38" s="1369"/>
      <c r="Y38" s="1369"/>
      <c r="Z38" s="1370"/>
    </row>
    <row r="39" spans="1:37" ht="13.8"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3048</v>
      </c>
      <c r="C41" s="388" t="e">
        <f>ROUND(POWER(1+E41,H41-G41)*(POWER(1+E41,G41)-1)/(POWER(1+E41,H41)-1),4)</f>
        <v>#DIV/0!</v>
      </c>
      <c r="D41" s="200" t="s">
        <v>2889</v>
      </c>
      <c r="E41" s="2929">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2941</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2942</v>
      </c>
      <c r="B47" s="1808" t="s">
        <v>2943</v>
      </c>
      <c r="C47" s="1808" t="s">
        <v>2944</v>
      </c>
      <c r="D47" s="1808" t="s">
        <v>2945</v>
      </c>
      <c r="E47" s="819" t="s">
        <v>2946</v>
      </c>
      <c r="F47" s="2871" t="s">
        <v>2947</v>
      </c>
      <c r="G47" s="1808" t="s">
        <v>754</v>
      </c>
      <c r="H47" s="2872"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52.8">
      <c r="A48" s="2870" t="s">
        <v>2950</v>
      </c>
      <c r="B48" s="2873" t="str">
        <f>估价对象房地状况!C4</f>
        <v>估价对象位于XX商圈，周边商业氛围成熟，人流量大，商业繁华度好</v>
      </c>
      <c r="C48" s="2770"/>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2951</v>
      </c>
      <c r="B49" s="2874" t="str">
        <f>估价对象房地状况!C18</f>
        <v>估价对象周边道路状况、公共交通通达情况、停车便捷程度，综合评价交通便捷度较好</v>
      </c>
      <c r="C49" s="2770"/>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2953</v>
      </c>
      <c r="B51" s="2875" t="s">
        <v>2954</v>
      </c>
      <c r="C51" s="2770"/>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2956</v>
      </c>
      <c r="B53" s="2876" t="s">
        <v>2957</v>
      </c>
      <c r="C53" s="2770"/>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2958</v>
      </c>
      <c r="B54" s="1724" t="str">
        <f>估价对象房地状况!C21</f>
        <v>估价对象所在区域公共配套设施齐备情况</v>
      </c>
      <c r="C54" s="2770"/>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2959</v>
      </c>
      <c r="B55" s="2874" t="str">
        <f>估价对象房地状况!C22</f>
        <v>估价对象所在区域基础设施水平</v>
      </c>
      <c r="C55" s="2770"/>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2960</v>
      </c>
      <c r="B56" s="2879" t="str">
        <f>估价对象房地状况!C20</f>
        <v>区域自然环境：；人文环境；综合评价环境状况一般</v>
      </c>
      <c r="C56" s="2770"/>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2961</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2942</v>
      </c>
      <c r="B58" s="1808"/>
      <c r="C58" s="1808" t="s">
        <v>2944</v>
      </c>
      <c r="D58" s="1808" t="s">
        <v>2945</v>
      </c>
      <c r="E58" s="819" t="s">
        <v>2946</v>
      </c>
      <c r="F58" s="2871" t="s">
        <v>2962</v>
      </c>
      <c r="G58" s="1808" t="s">
        <v>754</v>
      </c>
      <c r="H58" s="2872"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52.8">
      <c r="A59" s="2870" t="s">
        <v>2963</v>
      </c>
      <c r="B59" s="2873" t="str">
        <f>估价对象房地状况!C17</f>
        <v>估价对象位于XX商圈，周边办公楼项目较多，入驻率高，办公集聚程度较好</v>
      </c>
      <c r="C59" s="2770"/>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2951</v>
      </c>
      <c r="B60" s="2874" t="str">
        <f>估价对象房地状况!C18</f>
        <v>估价对象周边道路状况、公共交通通达情况、停车便捷程度，综合评价交通便捷度较好</v>
      </c>
      <c r="C60" s="2770"/>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2953</v>
      </c>
      <c r="B62" s="2875" t="s">
        <v>2954</v>
      </c>
      <c r="C62" s="2770"/>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2956</v>
      </c>
      <c r="B64" s="2876" t="s">
        <v>2957</v>
      </c>
      <c r="C64" s="2770"/>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2958</v>
      </c>
      <c r="B65" s="1724" t="str">
        <f>估价对象房地状况!C21</f>
        <v>估价对象所在区域公共配套设施齐备情况</v>
      </c>
      <c r="C65" s="2770"/>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2959</v>
      </c>
      <c r="B66" s="1724" t="str">
        <f>估价对象房地状况!C22</f>
        <v>估价对象所在区域基础设施水平</v>
      </c>
      <c r="C66" s="2770"/>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2960</v>
      </c>
      <c r="B67" s="2880" t="str">
        <f>估价对象房地状况!C20</f>
        <v>区域自然环境：；人文环境；综合评价环境状况一般</v>
      </c>
      <c r="C67" s="2770"/>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2964</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2942</v>
      </c>
      <c r="B69" s="1808"/>
      <c r="C69" s="1808" t="s">
        <v>2944</v>
      </c>
      <c r="D69" s="1808" t="s">
        <v>2945</v>
      </c>
      <c r="E69" s="819" t="s">
        <v>2946</v>
      </c>
      <c r="F69" s="2871" t="s">
        <v>2962</v>
      </c>
      <c r="G69" s="1808" t="s">
        <v>754</v>
      </c>
      <c r="H69" s="2872"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66">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2951</v>
      </c>
      <c r="B71" s="2874" t="str">
        <f>估价对象房地状况!C18</f>
        <v>估价对象周边道路状况、公共交通通达情况、停车便捷程度，综合评价交通便捷度较好</v>
      </c>
      <c r="C71" s="2770"/>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2966</v>
      </c>
      <c r="B73" s="2874">
        <f>估价对象房地状况!C24</f>
        <v>0</v>
      </c>
      <c r="C73" s="2770"/>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2958</v>
      </c>
      <c r="B74" s="1724" t="str">
        <f>估价对象房地状况!C21</f>
        <v>估价对象所在区域公共配套设施齐备情况</v>
      </c>
      <c r="C74" s="2770"/>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2959</v>
      </c>
      <c r="B75" s="1724" t="str">
        <f>估价对象房地状况!C22</f>
        <v>估价对象所在区域基础设施水平</v>
      </c>
      <c r="C75" s="2770"/>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2956</v>
      </c>
      <c r="B76" s="2876" t="s">
        <v>2957</v>
      </c>
      <c r="C76" s="2770"/>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2960</v>
      </c>
      <c r="B77" s="2873" t="str">
        <f>估价对象房地状况!C20</f>
        <v>区域自然环境：；人文环境；综合评价环境状况一般</v>
      </c>
      <c r="C77" s="2770"/>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36.6" thickBot="1">
      <c r="A78" s="2878" t="s">
        <v>2967</v>
      </c>
      <c r="B78" s="2882"/>
      <c r="C78" s="2770"/>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4.4">
      <c r="A79" s="2866" t="s">
        <v>2968</v>
      </c>
      <c r="B79" s="2867">
        <f>1+E81</f>
        <v>1</v>
      </c>
      <c r="C79" s="814"/>
      <c r="D79" s="814"/>
      <c r="E79" s="815"/>
      <c r="F79" s="2869"/>
      <c r="G79" s="6"/>
      <c r="H79" s="6"/>
      <c r="I79" s="6"/>
      <c r="J79" s="7"/>
      <c r="K79" s="7"/>
      <c r="L79" s="7"/>
      <c r="M79" s="7"/>
      <c r="N79" s="7"/>
      <c r="Z79" s="2720"/>
      <c r="AA79" s="2788"/>
      <c r="AG79" s="1371"/>
      <c r="AK79" s="2788"/>
    </row>
    <row r="80" spans="1:37" ht="25.2">
      <c r="A80" s="2870" t="s">
        <v>2942</v>
      </c>
      <c r="B80" s="1808"/>
      <c r="C80" s="1808" t="s">
        <v>2944</v>
      </c>
      <c r="D80" s="1808" t="s">
        <v>2945</v>
      </c>
      <c r="E80" s="819" t="s">
        <v>2946</v>
      </c>
      <c r="F80" s="2871" t="s">
        <v>2962</v>
      </c>
      <c r="G80" s="1808" t="s">
        <v>754</v>
      </c>
      <c r="H80" s="2872" t="s">
        <v>2948</v>
      </c>
      <c r="I80" s="1808" t="s">
        <v>2949</v>
      </c>
      <c r="J80" s="603" t="s">
        <v>2597</v>
      </c>
      <c r="K80" s="603" t="s">
        <v>2598</v>
      </c>
      <c r="L80" s="603" t="s">
        <v>2599</v>
      </c>
      <c r="M80" s="603" t="s">
        <v>2600</v>
      </c>
      <c r="N80" s="603" t="s">
        <v>2601</v>
      </c>
      <c r="Z80" s="2720"/>
      <c r="AA80" s="2788"/>
      <c r="AG80" s="1371"/>
      <c r="AK80" s="2788"/>
    </row>
    <row r="81" spans="1:37" ht="39.6">
      <c r="A81" s="2870" t="s">
        <v>2969</v>
      </c>
      <c r="B81" s="2874" t="str">
        <f>估价对象房地状况!G15</f>
        <v>估价对象位于XX开发区，园区建设成熟度XX，产业集聚程度XX</v>
      </c>
      <c r="C81" s="2770"/>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2951</v>
      </c>
      <c r="B82" s="2874" t="str">
        <f>估价对象房地状况!G16</f>
        <v>估价对象周边道路状况、公共交通通达情况、停车便捷程度，综合评价交通便捷度较好</v>
      </c>
      <c r="C82" s="2770"/>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3.8">
      <c r="A84" s="2870" t="s">
        <v>2966</v>
      </c>
      <c r="B84" s="2874">
        <f>估价对象房地状况!G22</f>
        <v>0</v>
      </c>
      <c r="C84" s="2770"/>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6.4">
      <c r="A85" s="2870" t="s">
        <v>2958</v>
      </c>
      <c r="B85" s="1724" t="str">
        <f>估价对象房地状况!G19</f>
        <v>估价对象所在区域公共配套设施齐备情况</v>
      </c>
      <c r="C85" s="2770"/>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6.4">
      <c r="A86" s="2870" t="s">
        <v>2959</v>
      </c>
      <c r="B86" s="1724" t="str">
        <f>估价对象房地状况!G20</f>
        <v>估价对象所在区域基础设施水平</v>
      </c>
      <c r="C86" s="2770"/>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36">
      <c r="A87" s="2870" t="s">
        <v>2956</v>
      </c>
      <c r="B87" s="2876" t="s">
        <v>2970</v>
      </c>
      <c r="C87" s="2770"/>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53.4" thickBot="1">
      <c r="A88" s="2878" t="s">
        <v>2971</v>
      </c>
      <c r="B88" s="2883" t="str">
        <f>估价对象房地状况!G18</f>
        <v>该园区内是否有污染型企业，绿化情况，卫生条件，整体环境状况判断</v>
      </c>
      <c r="C88" s="2770"/>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251" t="s">
        <v>2972</v>
      </c>
      <c r="B90" s="3251"/>
      <c r="C90" s="3251"/>
      <c r="D90" s="3251"/>
      <c r="E90" s="3251"/>
      <c r="F90" s="3251"/>
      <c r="G90" s="3251"/>
      <c r="H90" s="3251"/>
      <c r="I90" s="3251"/>
      <c r="J90" s="3251"/>
      <c r="K90" s="2884"/>
      <c r="L90" s="2884"/>
      <c r="M90" s="2884"/>
      <c r="N90" s="2884"/>
    </row>
    <row r="91" spans="1:37">
      <c r="A91" s="3253" t="s">
        <v>2973</v>
      </c>
      <c r="B91" s="3253" t="s">
        <v>2974</v>
      </c>
      <c r="C91" s="2838" t="s">
        <v>2975</v>
      </c>
      <c r="D91" s="2839"/>
      <c r="E91" s="2839"/>
      <c r="F91" s="2839"/>
      <c r="G91" s="2839"/>
      <c r="H91" s="2839"/>
      <c r="I91" s="2839"/>
      <c r="J91" s="2885"/>
      <c r="K91" s="2886"/>
      <c r="L91" s="2886"/>
      <c r="M91" s="2886"/>
      <c r="N91" s="2886"/>
    </row>
    <row r="92" spans="1:37">
      <c r="A92" s="3253"/>
      <c r="B92" s="325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4"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4" t="s">
        <v>2977</v>
      </c>
      <c r="B101" s="2891" t="s">
        <v>2978</v>
      </c>
      <c r="C101" s="2892">
        <f>$G$3</f>
        <v>21.42</v>
      </c>
      <c r="D101" s="2892">
        <f t="shared" ref="D101:N101" si="31">$G$3</f>
        <v>21.42</v>
      </c>
      <c r="E101" s="2892">
        <f t="shared" si="31"/>
        <v>21.42</v>
      </c>
      <c r="F101" s="2892">
        <f t="shared" si="31"/>
        <v>21.42</v>
      </c>
      <c r="G101" s="2892">
        <f t="shared" si="31"/>
        <v>21.42</v>
      </c>
      <c r="H101" s="2892">
        <f t="shared" si="31"/>
        <v>21.42</v>
      </c>
      <c r="I101" s="2892">
        <f t="shared" si="31"/>
        <v>21.42</v>
      </c>
      <c r="J101" s="2892">
        <f t="shared" si="31"/>
        <v>21.42</v>
      </c>
      <c r="K101" s="2892">
        <f t="shared" si="31"/>
        <v>21.42</v>
      </c>
      <c r="L101" s="2892">
        <f t="shared" si="31"/>
        <v>21.42</v>
      </c>
      <c r="M101" s="2892">
        <f t="shared" si="31"/>
        <v>21.42</v>
      </c>
      <c r="N101" s="2892">
        <f t="shared" si="31"/>
        <v>21.42</v>
      </c>
    </row>
    <row r="102" spans="1:14">
      <c r="A102" s="3255"/>
      <c r="B102" s="2887">
        <v>1</v>
      </c>
      <c r="C102" s="2888">
        <f>1.9362/C101</f>
        <v>9.0392156862745085E-2</v>
      </c>
      <c r="D102" s="2888">
        <f>1.9362/D101</f>
        <v>9.0392156862745085E-2</v>
      </c>
      <c r="E102" s="2888">
        <f>1.8629/E101</f>
        <v>8.6970121381886076E-2</v>
      </c>
      <c r="F102" s="2888">
        <f>1.8629/F101</f>
        <v>8.6970121381886076E-2</v>
      </c>
      <c r="G102" s="2888">
        <f>1.8629/G101</f>
        <v>8.6970121381886076E-2</v>
      </c>
      <c r="H102" s="2888">
        <f>1.8629/H101</f>
        <v>8.6970121381886076E-2</v>
      </c>
      <c r="I102" s="2888">
        <f>1.8629/I101</f>
        <v>8.6970121381886076E-2</v>
      </c>
      <c r="J102" s="2888">
        <f>1.942/J101</f>
        <v>9.0662931839402425E-2</v>
      </c>
      <c r="K102" s="2888">
        <f>1.942/K101</f>
        <v>9.0662931839402425E-2</v>
      </c>
      <c r="L102" s="2888">
        <f>1.942/L101</f>
        <v>9.0662931839402425E-2</v>
      </c>
      <c r="M102" s="2888">
        <f>1.942/M101</f>
        <v>9.0662931839402425E-2</v>
      </c>
      <c r="N102" s="2888">
        <f>1.942/N101</f>
        <v>9.0662931839402425E-2</v>
      </c>
    </row>
    <row r="103" spans="1:14">
      <c r="A103" s="3255"/>
      <c r="B103" s="2887">
        <v>2</v>
      </c>
      <c r="C103" s="2888">
        <f>1.4198/C101</f>
        <v>6.6283846872082164E-2</v>
      </c>
      <c r="D103" s="2888">
        <f>1.4198/D101</f>
        <v>6.6283846872082164E-2</v>
      </c>
      <c r="E103" s="2888">
        <f>1.3372/E101</f>
        <v>6.2427637721755358E-2</v>
      </c>
      <c r="F103" s="2888">
        <f>1.3372/F101</f>
        <v>6.2427637721755358E-2</v>
      </c>
      <c r="G103" s="2888">
        <f>1.3372/G101</f>
        <v>6.2427637721755358E-2</v>
      </c>
      <c r="H103" s="2888">
        <f>1.3372/H101</f>
        <v>6.2427637721755358E-2</v>
      </c>
      <c r="I103" s="2888">
        <f>1.3372/I101</f>
        <v>6.2427637721755358E-2</v>
      </c>
      <c r="J103" s="2888">
        <f>1.2799/J101</f>
        <v>5.9752567693744159E-2</v>
      </c>
      <c r="K103" s="2888">
        <f>1.2799/K101</f>
        <v>5.9752567693744159E-2</v>
      </c>
      <c r="L103" s="2888">
        <f>1.2799/L101</f>
        <v>5.9752567693744159E-2</v>
      </c>
      <c r="M103" s="2888">
        <f>1.2799/M101</f>
        <v>5.9752567693744159E-2</v>
      </c>
      <c r="N103" s="2888">
        <f>1.2799/N101</f>
        <v>5.9752567693744159E-2</v>
      </c>
    </row>
    <row r="104" spans="1:14">
      <c r="A104" s="3255"/>
      <c r="B104" s="2887">
        <v>3</v>
      </c>
      <c r="C104" s="2888">
        <f>1.1594/C101</f>
        <v>5.4126984126984121E-2</v>
      </c>
      <c r="D104" s="2888">
        <f>1.1594/D101</f>
        <v>5.4126984126984121E-2</v>
      </c>
      <c r="E104" s="2888">
        <f>1.0788/E101</f>
        <v>5.0364145658263297E-2</v>
      </c>
      <c r="F104" s="2888">
        <f>1.0788/F101</f>
        <v>5.0364145658263297E-2</v>
      </c>
      <c r="G104" s="2888">
        <f>1.0788/G101</f>
        <v>5.0364145658263297E-2</v>
      </c>
      <c r="H104" s="2888">
        <f>1.0788/H101</f>
        <v>5.0364145658263297E-2</v>
      </c>
      <c r="I104" s="2888">
        <f>1.0788/I101</f>
        <v>5.0364145658263297E-2</v>
      </c>
      <c r="J104" s="2888">
        <f>1.0072/J101</f>
        <v>4.7021475256769377E-2</v>
      </c>
      <c r="K104" s="2888">
        <f>1.0072/K101</f>
        <v>4.7021475256769377E-2</v>
      </c>
      <c r="L104" s="2888">
        <f>1.0072/L101</f>
        <v>4.7021475256769377E-2</v>
      </c>
      <c r="M104" s="2888">
        <f>1.0072/M101</f>
        <v>4.7021475256769377E-2</v>
      </c>
      <c r="N104" s="2888">
        <f>1.0072/N101</f>
        <v>4.7021475256769377E-2</v>
      </c>
    </row>
    <row r="105" spans="1:14">
      <c r="A105" s="3255"/>
      <c r="B105" s="2887">
        <v>4</v>
      </c>
      <c r="C105" s="2888">
        <f>0.9622/C101</f>
        <v>4.4920634920634916E-2</v>
      </c>
      <c r="D105" s="2888">
        <f>0.9622/D101</f>
        <v>4.4920634920634916E-2</v>
      </c>
      <c r="E105" s="2888">
        <f>0.8656/E101</f>
        <v>4.041083099906629E-2</v>
      </c>
      <c r="F105" s="2888">
        <f>0.8656/F101</f>
        <v>4.041083099906629E-2</v>
      </c>
      <c r="G105" s="2888">
        <f>0.8656/G101</f>
        <v>4.041083099906629E-2</v>
      </c>
      <c r="H105" s="2888">
        <f>0.8656/H101</f>
        <v>4.041083099906629E-2</v>
      </c>
      <c r="I105" s="2888">
        <f>0.8656/I101</f>
        <v>4.041083099906629E-2</v>
      </c>
      <c r="J105" s="2888">
        <f>0.7525/J101</f>
        <v>3.5130718954248359E-2</v>
      </c>
      <c r="K105" s="2888">
        <f>0.7525/K101</f>
        <v>3.5130718954248359E-2</v>
      </c>
      <c r="L105" s="2888">
        <f>0.7525/L101</f>
        <v>3.5130718954248359E-2</v>
      </c>
      <c r="M105" s="2888">
        <f>0.7525/M101</f>
        <v>3.5130718954248359E-2</v>
      </c>
      <c r="N105" s="2888">
        <f>0.7525/N101</f>
        <v>3.5130718954248359E-2</v>
      </c>
    </row>
    <row r="106" spans="1:14">
      <c r="A106" s="3255"/>
      <c r="B106" s="2887">
        <v>5</v>
      </c>
      <c r="C106" s="2888">
        <f>0.8417/C101</f>
        <v>3.9295051353874878E-2</v>
      </c>
      <c r="D106" s="2888">
        <f>0.8417/D101</f>
        <v>3.9295051353874878E-2</v>
      </c>
      <c r="E106" s="2888">
        <f>0.7371/E101</f>
        <v>3.441176470588235E-2</v>
      </c>
      <c r="F106" s="2888">
        <f>0.7371/F101</f>
        <v>3.441176470588235E-2</v>
      </c>
      <c r="G106" s="2888">
        <f>0.7371/G101</f>
        <v>3.441176470588235E-2</v>
      </c>
      <c r="H106" s="2888">
        <f>0.7371/H101</f>
        <v>3.441176470588235E-2</v>
      </c>
      <c r="I106" s="2888">
        <f>0.7371/I101</f>
        <v>3.441176470588235E-2</v>
      </c>
      <c r="J106" s="2888">
        <f>0.5659/J101</f>
        <v>2.6419234360410826E-2</v>
      </c>
      <c r="K106" s="2888">
        <f>0.5659/K101</f>
        <v>2.6419234360410826E-2</v>
      </c>
      <c r="L106" s="2888">
        <f>0.5659/L101</f>
        <v>2.6419234360410826E-2</v>
      </c>
      <c r="M106" s="2888">
        <f>0.5659/M101</f>
        <v>2.6419234360410826E-2</v>
      </c>
      <c r="N106" s="2888">
        <f>0.5659/N101</f>
        <v>2.6419234360410826E-2</v>
      </c>
    </row>
    <row r="107" spans="1:14">
      <c r="A107" s="3255"/>
      <c r="B107" s="2887">
        <v>6</v>
      </c>
      <c r="C107" s="2888">
        <f>0.7608/C101</f>
        <v>3.5518207282913161E-2</v>
      </c>
      <c r="D107" s="2888">
        <f>0.7608/D101</f>
        <v>3.5518207282913161E-2</v>
      </c>
      <c r="E107" s="2888">
        <f>0.6482/E101</f>
        <v>3.0261437908496728E-2</v>
      </c>
      <c r="F107" s="2888">
        <f>0.6482/F101</f>
        <v>3.0261437908496728E-2</v>
      </c>
      <c r="G107" s="2888">
        <f>0.6482/G101</f>
        <v>3.0261437908496728E-2</v>
      </c>
      <c r="H107" s="2888">
        <f>0.6482/H101</f>
        <v>3.0261437908496728E-2</v>
      </c>
      <c r="I107" s="2888">
        <f>0.6482/I101</f>
        <v>3.0261437908496728E-2</v>
      </c>
      <c r="J107" s="2888">
        <f>0.4525/J101</f>
        <v>2.1125116713352005E-2</v>
      </c>
      <c r="K107" s="2888">
        <f>0.4525/K101</f>
        <v>2.1125116713352005E-2</v>
      </c>
      <c r="L107" s="2888">
        <f>0.4525/L101</f>
        <v>2.1125116713352005E-2</v>
      </c>
      <c r="M107" s="2888">
        <f>0.4525/M101</f>
        <v>2.1125116713352005E-2</v>
      </c>
      <c r="N107" s="2888">
        <f>0.4525/N101</f>
        <v>2.1125116713352005E-2</v>
      </c>
    </row>
    <row r="108" spans="1:14">
      <c r="A108" s="3255"/>
      <c r="B108" s="3112"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6"/>
      <c r="B109" s="3113"/>
      <c r="C109" s="2890">
        <f>(-0.163*(C108^2)-0.59*C108+7617)*(10^(-4))/C101</f>
        <v>3.5560224089635856E-2</v>
      </c>
      <c r="D109" s="2890">
        <f>(-0.163*(D108^2)-0.59*D108+7617)*(10^(-4))/D101</f>
        <v>3.5560224089635856E-2</v>
      </c>
      <c r="E109" s="2890">
        <f>(-0.161*(E108^2)-7.509*E108+6533)*(10^(-4))/E101</f>
        <v>3.0499533146591967E-2</v>
      </c>
      <c r="F109" s="2890">
        <f>(-0.161*(F108^2)-7.509*F108+6533)*(10^(-4))/F101</f>
        <v>3.0499533146591967E-2</v>
      </c>
      <c r="G109" s="2890">
        <f>(-0.161*(G108^2)-7.509*G108+6533)*(10^(-4))/G101</f>
        <v>3.0499533146591967E-2</v>
      </c>
      <c r="H109" s="2890">
        <f>(-0.161*(H108^2)-7.509*H108+6533)*(10^(-4))/H101</f>
        <v>3.0499533146591967E-2</v>
      </c>
      <c r="I109" s="2890">
        <f>(-0.161*(I108^2)-7.509*I108+6533)*(10^(-4))/I101</f>
        <v>3.0499533146591967E-2</v>
      </c>
      <c r="J109" s="2890">
        <f>(-0.214*(J108^2)-21.991*J108+4665)*(10^(-4))/J101</f>
        <v>2.1778711484593836E-2</v>
      </c>
      <c r="K109" s="2890">
        <f>(-0.214*(K108^2)-21.991*K108+4665)*(10^(-4))/K101</f>
        <v>2.1778711484593836E-2</v>
      </c>
      <c r="L109" s="2890">
        <f>(-0.214*(L108^2)-21.991*L108+4665)*(10^(-4))/L101</f>
        <v>2.1778711484593836E-2</v>
      </c>
      <c r="M109" s="2890">
        <f>(-0.214*(M108^2)-21.991*M108+4665)*(10^(-4))/M101</f>
        <v>2.1778711484593836E-2</v>
      </c>
      <c r="N109" s="2890">
        <f>(-0.214*(N108^2)-21.991*N108+4665)*(10^(-4))/N101</f>
        <v>2.1778711484593836E-2</v>
      </c>
    </row>
    <row r="110" spans="1:14">
      <c r="A110" s="3252" t="s">
        <v>2980</v>
      </c>
      <c r="B110" s="3252"/>
      <c r="C110" s="3252"/>
      <c r="D110" s="3252"/>
      <c r="E110" s="3252"/>
      <c r="F110" s="3252"/>
      <c r="G110" s="3252"/>
      <c r="H110" s="3252"/>
      <c r="I110" s="3252"/>
      <c r="J110" s="3252"/>
      <c r="K110" s="2893"/>
      <c r="L110" s="2893"/>
      <c r="M110" s="2893"/>
      <c r="N110" s="2893"/>
    </row>
    <row r="112" spans="1:14" ht="13.8" thickBot="1"/>
    <row r="113" spans="1:13" ht="25.8" thickBot="1">
      <c r="A113" s="903" t="s">
        <v>2981</v>
      </c>
      <c r="B113" s="1286">
        <f>G3</f>
        <v>21.42</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0.73219999999999996</v>
      </c>
      <c r="C115" s="910">
        <f>B115</f>
        <v>0.73219999999999996</v>
      </c>
      <c r="D115" s="910">
        <f>ROUND(0.8331-0.0109*B113,4)</f>
        <v>0.59960000000000002</v>
      </c>
      <c r="E115" s="910">
        <f>D115</f>
        <v>0.59960000000000002</v>
      </c>
      <c r="F115" s="910">
        <f>E115</f>
        <v>0.59960000000000002</v>
      </c>
      <c r="G115" s="910">
        <f>F115</f>
        <v>0.59960000000000002</v>
      </c>
      <c r="H115" s="910">
        <f>G115</f>
        <v>0.59960000000000002</v>
      </c>
      <c r="I115" s="910">
        <f>ROUND(0.689-0.0155*B113,4)</f>
        <v>0.35699999999999998</v>
      </c>
      <c r="J115" s="910">
        <f t="shared" ref="J115:M118" si="33">I115</f>
        <v>0.35699999999999998</v>
      </c>
      <c r="K115" s="910">
        <f t="shared" si="33"/>
        <v>0.35699999999999998</v>
      </c>
      <c r="L115" s="910">
        <f t="shared" si="33"/>
        <v>0.35699999999999998</v>
      </c>
      <c r="M115" s="911">
        <f t="shared" si="33"/>
        <v>0.35699999999999998</v>
      </c>
    </row>
    <row r="116" spans="1:13">
      <c r="A116" s="909" t="s">
        <v>2880</v>
      </c>
      <c r="B116" s="910">
        <f>ROUND(0.949-0.012*B113,4)</f>
        <v>0.69199999999999995</v>
      </c>
      <c r="C116" s="910">
        <f>B116</f>
        <v>0.69199999999999995</v>
      </c>
      <c r="D116" s="910">
        <f>ROUND(0.8567-0.013*B113,4)</f>
        <v>0.57820000000000005</v>
      </c>
      <c r="E116" s="910">
        <f t="shared" ref="E116:H117" si="34">D116</f>
        <v>0.57820000000000005</v>
      </c>
      <c r="F116" s="910">
        <f t="shared" si="34"/>
        <v>0.57820000000000005</v>
      </c>
      <c r="G116" s="910">
        <f t="shared" si="34"/>
        <v>0.57820000000000005</v>
      </c>
      <c r="H116" s="910">
        <f t="shared" si="34"/>
        <v>0.57820000000000005</v>
      </c>
      <c r="I116" s="910">
        <f>ROUND(0.7694-0.014*B113,4)</f>
        <v>0.46949999999999997</v>
      </c>
      <c r="J116" s="910">
        <f t="shared" si="33"/>
        <v>0.46949999999999997</v>
      </c>
      <c r="K116" s="910">
        <f t="shared" si="33"/>
        <v>0.46949999999999997</v>
      </c>
      <c r="L116" s="910">
        <f t="shared" si="33"/>
        <v>0.46949999999999997</v>
      </c>
      <c r="M116" s="911">
        <f t="shared" si="33"/>
        <v>0.46949999999999997</v>
      </c>
    </row>
    <row r="117" spans="1:13">
      <c r="A117" s="909" t="s">
        <v>2881</v>
      </c>
      <c r="B117" s="910">
        <f>ROUND(0.8808-0.006*B113,4)</f>
        <v>0.75229999999999997</v>
      </c>
      <c r="C117" s="910">
        <f>B117</f>
        <v>0.75229999999999997</v>
      </c>
      <c r="D117" s="910">
        <f>ROUND(0.8748-0.008*B113,4)</f>
        <v>0.70340000000000003</v>
      </c>
      <c r="E117" s="910">
        <f t="shared" si="34"/>
        <v>0.70340000000000003</v>
      </c>
      <c r="F117" s="910">
        <f t="shared" si="34"/>
        <v>0.70340000000000003</v>
      </c>
      <c r="G117" s="910">
        <f t="shared" si="34"/>
        <v>0.70340000000000003</v>
      </c>
      <c r="H117" s="910">
        <f t="shared" si="34"/>
        <v>0.70340000000000003</v>
      </c>
      <c r="I117" s="910">
        <f>ROUND(0.7412-0.0095*B113,4)</f>
        <v>0.53769999999999996</v>
      </c>
      <c r="J117" s="910">
        <f t="shared" si="33"/>
        <v>0.53769999999999996</v>
      </c>
      <c r="K117" s="910">
        <f t="shared" si="33"/>
        <v>0.53769999999999996</v>
      </c>
      <c r="L117" s="910">
        <f t="shared" si="33"/>
        <v>0.53769999999999996</v>
      </c>
      <c r="M117" s="911">
        <f t="shared" si="33"/>
        <v>0.53769999999999996</v>
      </c>
    </row>
    <row r="118" spans="1:13" ht="13.8" thickBot="1">
      <c r="A118" s="714" t="s">
        <v>2882</v>
      </c>
      <c r="B118" s="912">
        <f>ROUND(0.7275-0.01*B113,4)</f>
        <v>0.51329999999999998</v>
      </c>
      <c r="C118" s="912">
        <f>B118</f>
        <v>0.51329999999999998</v>
      </c>
      <c r="D118" s="912">
        <f>ROUND(0.7043-0.012*B113,4)</f>
        <v>0.44729999999999998</v>
      </c>
      <c r="E118" s="912">
        <f>D118</f>
        <v>0.44729999999999998</v>
      </c>
      <c r="F118" s="912">
        <f>E118</f>
        <v>0.44729999999999998</v>
      </c>
      <c r="G118" s="912">
        <f>ROUND(0.6299-0.0122*B113,4)</f>
        <v>0.36859999999999998</v>
      </c>
      <c r="H118" s="912">
        <f>G118</f>
        <v>0.36859999999999998</v>
      </c>
      <c r="I118" s="912">
        <f>ROUND(0.5667-0.0136*B113,4)</f>
        <v>0.27539999999999998</v>
      </c>
      <c r="J118" s="912">
        <f t="shared" si="33"/>
        <v>0.27539999999999998</v>
      </c>
      <c r="K118" s="912">
        <f t="shared" si="33"/>
        <v>0.27539999999999998</v>
      </c>
      <c r="L118" s="912">
        <f t="shared" si="33"/>
        <v>0.27539999999999998</v>
      </c>
      <c r="M118" s="913">
        <f t="shared" si="33"/>
        <v>0.27539999999999998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2" t="s">
        <v>614</v>
      </c>
      <c r="C61" s="818" t="s">
        <v>615</v>
      </c>
      <c r="D61" s="818" t="s">
        <v>616</v>
      </c>
      <c r="E61" s="895">
        <v>0.5</v>
      </c>
      <c r="F61" s="882">
        <v>80</v>
      </c>
    </row>
    <row r="62" spans="1:8" s="878" customFormat="1" ht="36">
      <c r="A62" s="882">
        <v>2</v>
      </c>
      <c r="B62" s="3262"/>
      <c r="C62" s="818" t="s">
        <v>617</v>
      </c>
      <c r="D62" s="818" t="s">
        <v>618</v>
      </c>
      <c r="E62" s="895">
        <v>0.5</v>
      </c>
      <c r="F62" s="882">
        <v>80</v>
      </c>
    </row>
    <row r="63" spans="1:8" s="878" customFormat="1" ht="48">
      <c r="A63" s="882">
        <v>3</v>
      </c>
      <c r="B63" s="3262"/>
      <c r="C63" s="818" t="s">
        <v>619</v>
      </c>
      <c r="D63" s="818" t="s">
        <v>620</v>
      </c>
      <c r="E63" s="895">
        <v>0.5</v>
      </c>
      <c r="F63" s="882">
        <v>80</v>
      </c>
    </row>
    <row r="64" spans="1:8" s="878" customFormat="1" ht="48">
      <c r="A64" s="882">
        <v>4</v>
      </c>
      <c r="B64" s="3262"/>
      <c r="C64" s="818" t="s">
        <v>621</v>
      </c>
      <c r="D64" s="818" t="s">
        <v>622</v>
      </c>
      <c r="E64" s="895">
        <v>0.4</v>
      </c>
      <c r="F64" s="882">
        <v>60</v>
      </c>
    </row>
    <row r="65" spans="1:6" s="878" customFormat="1" ht="48">
      <c r="A65" s="882">
        <v>5</v>
      </c>
      <c r="B65" s="3262"/>
      <c r="C65" s="818" t="s">
        <v>623</v>
      </c>
      <c r="D65" s="818" t="s">
        <v>624</v>
      </c>
      <c r="E65" s="895">
        <v>0.2</v>
      </c>
      <c r="F65" s="882">
        <v>30</v>
      </c>
    </row>
    <row r="66" spans="1:6" s="878" customFormat="1" ht="48">
      <c r="A66" s="882">
        <v>6</v>
      </c>
      <c r="B66" s="3262"/>
      <c r="C66" s="818" t="s">
        <v>625</v>
      </c>
      <c r="D66" s="818" t="s">
        <v>626</v>
      </c>
      <c r="E66" s="895">
        <v>0.3</v>
      </c>
      <c r="F66" s="882">
        <v>50</v>
      </c>
    </row>
    <row r="67" spans="1:6" s="878" customFormat="1" ht="48">
      <c r="A67" s="882">
        <v>7</v>
      </c>
      <c r="B67" s="3262"/>
      <c r="C67" s="818" t="s">
        <v>627</v>
      </c>
      <c r="D67" s="818" t="s">
        <v>628</v>
      </c>
      <c r="E67" s="895">
        <v>0.2</v>
      </c>
      <c r="F67" s="882">
        <v>30</v>
      </c>
    </row>
    <row r="68" spans="1:6" s="878" customFormat="1" ht="48">
      <c r="A68" s="882">
        <v>8</v>
      </c>
      <c r="B68" s="3262"/>
      <c r="C68" s="818" t="s">
        <v>629</v>
      </c>
      <c r="D68" s="818" t="s">
        <v>630</v>
      </c>
      <c r="E68" s="895">
        <v>0.2</v>
      </c>
      <c r="F68" s="882">
        <v>30</v>
      </c>
    </row>
    <row r="69" spans="1:6" s="878" customFormat="1" ht="48">
      <c r="A69" s="882">
        <v>9</v>
      </c>
      <c r="B69" s="3262"/>
      <c r="C69" s="818" t="s">
        <v>631</v>
      </c>
      <c r="D69" s="818" t="s">
        <v>632</v>
      </c>
      <c r="E69" s="895">
        <v>0.2</v>
      </c>
      <c r="F69" s="882">
        <v>30</v>
      </c>
    </row>
    <row r="70" spans="1:6" s="878" customFormat="1" ht="60">
      <c r="A70" s="882">
        <v>10</v>
      </c>
      <c r="B70" s="3262"/>
      <c r="C70" s="818" t="s">
        <v>633</v>
      </c>
      <c r="D70" s="818" t="s">
        <v>634</v>
      </c>
      <c r="E70" s="895">
        <v>0.2</v>
      </c>
      <c r="F70" s="882">
        <v>30</v>
      </c>
    </row>
    <row r="71" spans="1:6" s="878" customFormat="1" ht="60">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36">
      <c r="A73" s="882">
        <v>13</v>
      </c>
      <c r="B73" s="3262"/>
      <c r="C73" s="818" t="s">
        <v>639</v>
      </c>
      <c r="D73" s="818" t="s">
        <v>640</v>
      </c>
      <c r="E73" s="895">
        <v>0.4</v>
      </c>
      <c r="F73" s="882">
        <v>60</v>
      </c>
    </row>
    <row r="74" spans="1:6" s="878" customFormat="1" ht="36">
      <c r="A74" s="882">
        <v>14</v>
      </c>
      <c r="B74" s="3262"/>
      <c r="C74" s="818" t="s">
        <v>641</v>
      </c>
      <c r="D74" s="818" t="s">
        <v>642</v>
      </c>
      <c r="E74" s="895">
        <v>0.2</v>
      </c>
      <c r="F74" s="882">
        <v>30</v>
      </c>
    </row>
    <row r="75" spans="1:6" s="878" customFormat="1" ht="36">
      <c r="A75" s="882">
        <v>15</v>
      </c>
      <c r="B75" s="3262"/>
      <c r="C75" s="818" t="s">
        <v>643</v>
      </c>
      <c r="D75" s="818" t="s">
        <v>644</v>
      </c>
      <c r="E75" s="895">
        <v>0.2</v>
      </c>
      <c r="F75" s="882">
        <v>30</v>
      </c>
    </row>
    <row r="76" spans="1:6" s="878" customFormat="1" ht="36">
      <c r="A76" s="882">
        <v>16</v>
      </c>
      <c r="B76" s="3262" t="s">
        <v>645</v>
      </c>
      <c r="C76" s="818" t="s">
        <v>646</v>
      </c>
      <c r="D76" s="818" t="s">
        <v>647</v>
      </c>
      <c r="E76" s="895">
        <v>0.5</v>
      </c>
      <c r="F76" s="882">
        <v>80</v>
      </c>
    </row>
    <row r="77" spans="1:6" s="878" customFormat="1" ht="36">
      <c r="A77" s="882">
        <v>17</v>
      </c>
      <c r="B77" s="3262"/>
      <c r="C77" s="818" t="s">
        <v>648</v>
      </c>
      <c r="D77" s="818" t="s">
        <v>649</v>
      </c>
      <c r="E77" s="895">
        <v>0.5</v>
      </c>
      <c r="F77" s="882">
        <v>80</v>
      </c>
    </row>
    <row r="78" spans="1:6" s="878" customFormat="1" ht="36">
      <c r="A78" s="882">
        <v>18</v>
      </c>
      <c r="B78" s="3262"/>
      <c r="C78" s="818" t="s">
        <v>650</v>
      </c>
      <c r="D78" s="818" t="s">
        <v>651</v>
      </c>
      <c r="E78" s="895">
        <v>0.2</v>
      </c>
      <c r="F78" s="882">
        <v>30</v>
      </c>
    </row>
    <row r="79" spans="1:6" s="878" customFormat="1" ht="36">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60">
      <c r="A82" s="882">
        <v>22</v>
      </c>
      <c r="B82" s="3262"/>
      <c r="C82" s="818" t="s">
        <v>658</v>
      </c>
      <c r="D82" s="818" t="s">
        <v>659</v>
      </c>
      <c r="E82" s="895">
        <v>0.2</v>
      </c>
      <c r="F82" s="882">
        <v>30</v>
      </c>
    </row>
    <row r="83" spans="1:6" s="878" customFormat="1" ht="60">
      <c r="A83" s="882">
        <v>23</v>
      </c>
      <c r="B83" s="3262"/>
      <c r="C83" s="818" t="s">
        <v>660</v>
      </c>
      <c r="D83" s="818" t="s">
        <v>661</v>
      </c>
      <c r="E83" s="895">
        <v>0.2</v>
      </c>
      <c r="F83" s="882">
        <v>30</v>
      </c>
    </row>
    <row r="84" spans="1:6" s="878" customFormat="1" ht="48">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36">
      <c r="A89" s="882">
        <v>29</v>
      </c>
      <c r="B89" s="3262"/>
      <c r="C89" s="818" t="s">
        <v>672</v>
      </c>
      <c r="D89" s="818" t="s">
        <v>673</v>
      </c>
      <c r="E89" s="895">
        <v>0.2</v>
      </c>
      <c r="F89" s="882">
        <v>30</v>
      </c>
    </row>
    <row r="90" spans="1:6" s="878" customFormat="1" ht="36">
      <c r="A90" s="882">
        <v>30</v>
      </c>
      <c r="B90" s="3262"/>
      <c r="C90" s="818" t="s">
        <v>674</v>
      </c>
      <c r="D90" s="818" t="s">
        <v>675</v>
      </c>
      <c r="E90" s="895">
        <v>0.2</v>
      </c>
      <c r="F90" s="882">
        <v>30</v>
      </c>
    </row>
    <row r="91" spans="1:6" s="878" customFormat="1" ht="48">
      <c r="A91" s="882">
        <v>31</v>
      </c>
      <c r="B91" s="3262"/>
      <c r="C91" s="818" t="s">
        <v>676</v>
      </c>
      <c r="D91" s="818" t="s">
        <v>677</v>
      </c>
      <c r="E91" s="895">
        <v>0.2</v>
      </c>
      <c r="F91" s="882">
        <v>30</v>
      </c>
    </row>
    <row r="92" spans="1:6" s="878" customFormat="1" ht="36">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60">
      <c r="A94" s="882">
        <v>34</v>
      </c>
      <c r="B94" s="3262"/>
      <c r="C94" s="882" t="s">
        <v>683</v>
      </c>
      <c r="D94" s="818" t="s">
        <v>684</v>
      </c>
      <c r="E94" s="895">
        <v>0.2</v>
      </c>
      <c r="F94" s="882">
        <v>30</v>
      </c>
    </row>
    <row r="95" spans="1:6" s="878" customFormat="1" ht="48">
      <c r="A95" s="882">
        <v>35</v>
      </c>
      <c r="B95" s="3262"/>
      <c r="C95" s="882" t="s">
        <v>685</v>
      </c>
      <c r="D95" s="818" t="s">
        <v>686</v>
      </c>
      <c r="E95" s="895">
        <v>0.2</v>
      </c>
      <c r="F95" s="882">
        <v>30</v>
      </c>
    </row>
    <row r="96" spans="1:6" s="878" customFormat="1" ht="72">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36">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2" t="s">
        <v>708</v>
      </c>
      <c r="C105" s="882" t="s">
        <v>709</v>
      </c>
      <c r="D105" s="818" t="s">
        <v>710</v>
      </c>
      <c r="E105" s="895">
        <v>0.2</v>
      </c>
      <c r="F105" s="882">
        <v>30</v>
      </c>
    </row>
    <row r="106" spans="1:6" s="878" customFormat="1" ht="48">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48">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2" t="s">
        <v>724</v>
      </c>
      <c r="C111" s="882" t="s">
        <v>725</v>
      </c>
      <c r="D111" s="818" t="s">
        <v>726</v>
      </c>
      <c r="E111" s="895">
        <v>0.2</v>
      </c>
      <c r="F111" s="882">
        <v>30</v>
      </c>
    </row>
    <row r="112" spans="1:6" s="878" customFormat="1" ht="36">
      <c r="A112" s="882">
        <v>52</v>
      </c>
      <c r="B112" s="3262"/>
      <c r="C112" s="882" t="s">
        <v>727</v>
      </c>
      <c r="D112" s="818" t="s">
        <v>728</v>
      </c>
      <c r="E112" s="895">
        <v>0.2</v>
      </c>
      <c r="F112" s="882">
        <v>30</v>
      </c>
    </row>
    <row r="113" spans="1:6" s="878" customFormat="1" ht="36">
      <c r="A113" s="882">
        <v>53</v>
      </c>
      <c r="B113" s="326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3" t="s">
        <v>3003</v>
      </c>
    </row>
    <row r="2" spans="1:5" ht="15.6">
      <c r="A2" s="2902" t="s">
        <v>2995</v>
      </c>
      <c r="B2" s="2903" t="e">
        <f ca="1">SUMIF(B6:B13,"&lt;&gt;#ref!",B6:B13)</f>
        <v>#DIV/0!</v>
      </c>
      <c r="C2" s="2902" t="s">
        <v>2996</v>
      </c>
      <c r="D2" s="2902" t="s">
        <v>2997</v>
      </c>
      <c r="E2" s="2903">
        <f ca="1">SUMIF(E6:E13,"&lt;&gt;#ref!",E6:E13)</f>
        <v>0</v>
      </c>
    </row>
    <row r="3" spans="1:5" ht="15.6">
      <c r="A3" s="2902" t="s">
        <v>2998</v>
      </c>
      <c r="B3" s="2903" t="e">
        <f ca="1">ROUND(B2*10000/E2,0)</f>
        <v>#DIV/0!</v>
      </c>
      <c r="C3" s="2902" t="s">
        <v>3004</v>
      </c>
      <c r="D3" s="2904"/>
      <c r="E3" s="2904"/>
    </row>
    <row r="4" spans="1:5" ht="15.6">
      <c r="A4" s="2905"/>
      <c r="B4" s="2904"/>
      <c r="C4" s="2904"/>
      <c r="D4" s="2904"/>
      <c r="E4" s="2904"/>
    </row>
    <row r="5" spans="1:5" ht="31.2">
      <c r="A5" s="2906" t="s">
        <v>2999</v>
      </c>
      <c r="B5" s="2902" t="s">
        <v>3000</v>
      </c>
      <c r="C5" s="2903"/>
      <c r="D5" s="2904"/>
      <c r="E5" s="2902" t="s">
        <v>3001</v>
      </c>
    </row>
    <row r="6" spans="1:5" ht="15.6">
      <c r="A6" s="2907" t="s">
        <v>3002</v>
      </c>
      <c r="B6" s="2903" t="e">
        <f ca="1">SUMIF(INDIRECT("'"&amp;A6&amp;"'"&amp;"!A:A"),"总价",INDIRECT("'"&amp;A6&amp;"'"&amp;"!B:B"))</f>
        <v>#DIV/0!</v>
      </c>
      <c r="C6" s="2902" t="s">
        <v>2996</v>
      </c>
      <c r="D6" s="2904"/>
      <c r="E6" s="2577">
        <f ca="1">SUMIF(INDIRECT("'"&amp;A6&amp;"'"&amp;"!C:C"),"建筑面积",INDIRECT("'"&amp;A6&amp;"'"&amp;"!D:D"))</f>
        <v>0</v>
      </c>
    </row>
    <row r="7" spans="1:5" ht="15.6">
      <c r="A7" s="2907"/>
      <c r="B7" s="2903" t="e">
        <f ca="1">SUMIF(INDIRECT("'"&amp;A7&amp;"'"&amp;"!A:A"),"总价",INDIRECT("'"&amp;A7&amp;"'"&amp;"!B:B"))</f>
        <v>#REF!</v>
      </c>
      <c r="C7" s="2902" t="s">
        <v>2996</v>
      </c>
      <c r="D7" s="2904"/>
      <c r="E7" s="2577" t="e">
        <f t="shared" ref="E7:E13" ca="1" si="0">SUMIF(INDIRECT("'"&amp;A7&amp;"'"&amp;"!C:C"),"建筑面积",INDIRECT("'"&amp;A7&amp;"'"&amp;"!D:D"))</f>
        <v>#REF!</v>
      </c>
    </row>
    <row r="8" spans="1:5" ht="15.6">
      <c r="A8" s="2907"/>
      <c r="B8" s="2903" t="e">
        <f t="shared" ref="B8:B13" ca="1" si="1">SUMIF(INDIRECT("'"&amp;A8&amp;"'"&amp;"!A:A"),"总价",INDIRECT("'"&amp;A8&amp;"'"&amp;"!B:B"))</f>
        <v>#REF!</v>
      </c>
      <c r="C8" s="2902" t="s">
        <v>2996</v>
      </c>
      <c r="D8" s="2904"/>
      <c r="E8" s="2577" t="e">
        <f t="shared" ca="1" si="0"/>
        <v>#REF!</v>
      </c>
    </row>
    <row r="9" spans="1:5" ht="15.6">
      <c r="A9" s="2907"/>
      <c r="B9" s="2903" t="e">
        <f t="shared" ca="1" si="1"/>
        <v>#REF!</v>
      </c>
      <c r="C9" s="2902" t="s">
        <v>2996</v>
      </c>
      <c r="D9" s="2904"/>
      <c r="E9" s="2577" t="e">
        <f t="shared" ca="1" si="0"/>
        <v>#REF!</v>
      </c>
    </row>
    <row r="10" spans="1:5" ht="15.6">
      <c r="A10" s="2907"/>
      <c r="B10" s="2903" t="e">
        <f t="shared" ca="1" si="1"/>
        <v>#REF!</v>
      </c>
      <c r="C10" s="2902" t="s">
        <v>2996</v>
      </c>
      <c r="D10" s="2904"/>
      <c r="E10" s="2577" t="e">
        <f t="shared" ca="1" si="0"/>
        <v>#REF!</v>
      </c>
    </row>
    <row r="11" spans="1:5" ht="15.6">
      <c r="A11" s="2907"/>
      <c r="B11" s="2903" t="e">
        <f t="shared" ca="1" si="1"/>
        <v>#REF!</v>
      </c>
      <c r="C11" s="2902" t="s">
        <v>2996</v>
      </c>
      <c r="D11" s="2904"/>
      <c r="E11" s="2577" t="e">
        <f t="shared" ca="1" si="0"/>
        <v>#REF!</v>
      </c>
    </row>
    <row r="12" spans="1:5" ht="15.6">
      <c r="A12" s="2907"/>
      <c r="B12" s="2903" t="e">
        <f t="shared" ca="1" si="1"/>
        <v>#REF!</v>
      </c>
      <c r="C12" s="2902" t="s">
        <v>2996</v>
      </c>
      <c r="D12" s="2904"/>
      <c r="E12" s="2577" t="e">
        <f t="shared" ca="1" si="0"/>
        <v>#REF!</v>
      </c>
    </row>
    <row r="13" spans="1:5" ht="15.6">
      <c r="A13" s="2907"/>
      <c r="B13" s="2903" t="e">
        <f t="shared" ca="1" si="1"/>
        <v>#REF!</v>
      </c>
      <c r="C13" s="2902" t="s">
        <v>2996</v>
      </c>
      <c r="D13" s="290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68" t="s">
        <v>1146</v>
      </c>
      <c r="C1" s="3268"/>
      <c r="D1" s="3268"/>
      <c r="E1" s="3268"/>
      <c r="F1" s="3268"/>
      <c r="G1" s="3267" t="s">
        <v>1147</v>
      </c>
      <c r="H1" s="3267"/>
      <c r="I1" s="3267"/>
      <c r="J1" s="3267"/>
      <c r="K1" s="3267"/>
      <c r="L1" s="3267"/>
      <c r="N1" s="3267" t="s">
        <v>1148</v>
      </c>
      <c r="O1" s="3267"/>
      <c r="P1" s="3267"/>
      <c r="Q1" s="3267"/>
      <c r="R1" s="1445"/>
      <c r="S1" s="3267" t="s">
        <v>1149</v>
      </c>
      <c r="T1" s="3267"/>
      <c r="U1" s="3267"/>
      <c r="V1" s="3267"/>
      <c r="X1" s="3266" t="s">
        <v>1150</v>
      </c>
      <c r="Y1" s="3267"/>
      <c r="Z1" s="3267"/>
      <c r="AA1" s="3267"/>
      <c r="AB1" s="3267"/>
      <c r="AD1" s="3266" t="s">
        <v>1151</v>
      </c>
      <c r="AE1" s="3267"/>
      <c r="AF1" s="3267"/>
      <c r="AG1" s="3267"/>
      <c r="AH1" s="3267"/>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4">
      <c r="A3" s="2927" t="s">
        <v>3036</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3053</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3037</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3052</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3049</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3054</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6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3043</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6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3042</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6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3035</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273"/>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3032</v>
      </c>
      <c r="B12" s="1468">
        <v>439</v>
      </c>
      <c r="C12" s="1468">
        <v>327</v>
      </c>
      <c r="D12" s="1468">
        <f>C12</f>
        <v>327</v>
      </c>
      <c r="E12" s="1468">
        <v>627</v>
      </c>
      <c r="F12" s="1469">
        <v>283</v>
      </c>
      <c r="G12" s="3269">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3033</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6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6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273"/>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269">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6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6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6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26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6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6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6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26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6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6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6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270">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271"/>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271"/>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272"/>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26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6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6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26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26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6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6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6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26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6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6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6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26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6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6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6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26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6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6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6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26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6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6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6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26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6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6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6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26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6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6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6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26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6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6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6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263">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64">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64">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265">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263">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64">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64">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265">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7.399999999999999">
      <c r="A3" s="2959" t="str">
        <f>IF(项目基本情况!B9="房地产市场价值","估价结果一览表（市场价值不需“结果表-1”）","估价结果一览表")</f>
        <v>估价结果一览表</v>
      </c>
      <c r="B3" s="2959"/>
      <c r="C3" s="2959"/>
      <c r="D3" s="2959"/>
      <c r="E3" s="2959"/>
    </row>
    <row r="4" spans="1:5" ht="18" thickBot="1">
      <c r="A4" s="1959"/>
      <c r="B4" s="2957" t="s">
        <v>1625</v>
      </c>
      <c r="C4" s="2957"/>
      <c r="D4" s="2957"/>
      <c r="E4" s="1959"/>
    </row>
    <row r="5" spans="1:5" ht="16.2" thickTop="1">
      <c r="A5" s="1957"/>
      <c r="B5" s="2955" t="s">
        <v>1617</v>
      </c>
      <c r="C5" s="1960" t="s">
        <v>1618</v>
      </c>
      <c r="D5" s="1040">
        <f ca="1">结果表!H101</f>
        <v>375</v>
      </c>
      <c r="E5" s="1957"/>
    </row>
    <row r="6" spans="1:5" ht="15.6">
      <c r="A6" s="1957"/>
      <c r="B6" s="2955"/>
      <c r="C6" s="1960" t="s">
        <v>1619</v>
      </c>
      <c r="D6" s="1040" t="str">
        <f ca="1">NUMBERSTRING(INT(D5*10000),2)&amp;"元整"</f>
        <v>叁佰柒拾伍万元整</v>
      </c>
      <c r="E6" s="1957"/>
    </row>
    <row r="7" spans="1:5" ht="15.6">
      <c r="A7" s="1957"/>
      <c r="B7" s="2960"/>
      <c r="C7" s="1961" t="s">
        <v>1620</v>
      </c>
      <c r="D7" s="1041">
        <f ca="1">结果表!H102</f>
        <v>21172</v>
      </c>
      <c r="E7" s="1957"/>
    </row>
    <row r="8" spans="1:5" ht="15.6">
      <c r="A8" s="1957"/>
      <c r="B8" s="2961" t="str">
        <f>结果表!E103</f>
        <v>2.估价师知悉的法定优先受偿款</v>
      </c>
      <c r="C8" s="1962" t="s">
        <v>1621</v>
      </c>
      <c r="D8" s="1041">
        <f>结果表!H103</f>
        <v>0</v>
      </c>
      <c r="E8" s="1957"/>
    </row>
    <row r="9" spans="1:5" ht="15.6">
      <c r="A9" s="1957"/>
      <c r="B9" s="2963"/>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54" t="str">
        <f>结果表!E107</f>
        <v>3.房地产抵押价值</v>
      </c>
      <c r="C13" s="1965" t="s">
        <v>1618</v>
      </c>
      <c r="D13" s="1043">
        <f ca="1">结果表!H107</f>
        <v>375</v>
      </c>
      <c r="E13" s="1957"/>
    </row>
    <row r="14" spans="1:5" ht="15.6">
      <c r="A14" s="1957"/>
      <c r="B14" s="2955"/>
      <c r="C14" s="1960" t="s">
        <v>1619</v>
      </c>
      <c r="D14" s="1040" t="str">
        <f ca="1">NUMBERSTRING(INT(D13*10000),2)&amp;"元整"</f>
        <v>叁佰柒拾伍万元整</v>
      </c>
      <c r="E14" s="1957"/>
    </row>
    <row r="15" spans="1:5" ht="15.6">
      <c r="A15" s="1957"/>
      <c r="B15" s="2960"/>
      <c r="C15" s="1961" t="s">
        <v>1629</v>
      </c>
      <c r="D15" s="1052">
        <f ca="1">结果表!H108</f>
        <v>21172</v>
      </c>
      <c r="E15" s="1957"/>
    </row>
    <row r="16" spans="1:5" ht="15.6">
      <c r="A16" s="1957"/>
      <c r="B16" s="2961" t="str">
        <f>结果表!E109</f>
        <v>——</v>
      </c>
      <c r="C16" s="1965" t="s">
        <v>1630</v>
      </c>
      <c r="D16" s="1966" t="str">
        <f>结果表!H109</f>
        <v>——</v>
      </c>
      <c r="E16" s="1957"/>
    </row>
    <row r="17" spans="1:5" ht="15.6">
      <c r="A17" s="1957"/>
      <c r="B17" s="2962"/>
      <c r="C17" s="1960" t="s">
        <v>1631</v>
      </c>
      <c r="D17" s="1040" t="e">
        <f>NUMBERSTRING(INT(D16*10000),2)&amp;"元整"</f>
        <v>#VALUE!</v>
      </c>
      <c r="E17" s="1957"/>
    </row>
    <row r="18" spans="1:5" ht="15.6">
      <c r="A18" s="1957"/>
      <c r="B18" s="2963"/>
      <c r="C18" s="1961" t="s">
        <v>1620</v>
      </c>
      <c r="D18" s="1052" t="str">
        <f>结果表!H110</f>
        <v>——</v>
      </c>
      <c r="E18" s="1957"/>
    </row>
    <row r="19" spans="1:5" ht="15.6">
      <c r="A19" s="1957"/>
      <c r="B19" s="2954" t="str">
        <f>结果表!E111</f>
        <v>——</v>
      </c>
      <c r="C19" s="1965" t="s">
        <v>1618</v>
      </c>
      <c r="D19" s="1041" t="str">
        <f>结果表!H111</f>
        <v>——</v>
      </c>
      <c r="E19" s="1957"/>
    </row>
    <row r="20" spans="1:5" ht="15.6">
      <c r="A20" s="1957"/>
      <c r="B20" s="2955"/>
      <c r="C20" s="1960" t="s">
        <v>1631</v>
      </c>
      <c r="D20" s="1040" t="e">
        <f>NUMBERSTRING(INT(D19*10000),2)&amp;"元整"</f>
        <v>#VALUE!</v>
      </c>
      <c r="E20" s="1957"/>
    </row>
    <row r="21" spans="1:5" ht="16.2" thickBot="1">
      <c r="A21" s="1957"/>
      <c r="B21" s="2956"/>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66" sqref="W66:X6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5" t="s">
        <v>3006</v>
      </c>
      <c r="D1" s="3276"/>
      <c r="E1" s="3276"/>
      <c r="F1" s="3276"/>
      <c r="G1" s="3276"/>
      <c r="H1" s="3276"/>
      <c r="I1" s="3276"/>
      <c r="J1" s="3276"/>
      <c r="K1" s="3276"/>
      <c r="L1" s="3276"/>
      <c r="M1" s="3276"/>
      <c r="N1" s="3276"/>
      <c r="O1" s="3276"/>
      <c r="P1" s="3276"/>
      <c r="Q1" s="3276"/>
      <c r="R1" s="3276"/>
      <c r="S1" s="3277"/>
      <c r="T1" s="1204" t="s">
        <v>3007</v>
      </c>
    </row>
    <row r="2" spans="1:45" s="707" customFormat="1">
      <c r="A2" s="1205"/>
      <c r="B2" s="703" t="s">
        <v>3008</v>
      </c>
      <c r="C2" s="704" t="str">
        <f t="shared" ref="C2:L2" si="0">C3&amp;"(含)"&amp;"-"&amp;D3</f>
        <v>0(含)-90</v>
      </c>
      <c r="D2" s="705" t="str">
        <f t="shared" si="0"/>
        <v>90(含)-150</v>
      </c>
      <c r="E2" s="705" t="str">
        <f t="shared" si="0"/>
        <v>150(含)-210</v>
      </c>
      <c r="F2" s="705" t="str">
        <f t="shared" si="0"/>
        <v>210(含)-270</v>
      </c>
      <c r="G2" s="705" t="str">
        <f t="shared" si="0"/>
        <v>270(含)-330</v>
      </c>
      <c r="H2" s="705" t="str">
        <f t="shared" si="0"/>
        <v>330(含)-390</v>
      </c>
      <c r="I2" s="705" t="str">
        <f t="shared" si="0"/>
        <v>390(含)-450</v>
      </c>
      <c r="J2" s="705" t="str">
        <f t="shared" si="0"/>
        <v>450(含)-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90</v>
      </c>
      <c r="E3" s="710">
        <v>150</v>
      </c>
      <c r="F3" s="1703">
        <v>210</v>
      </c>
      <c r="G3" s="1703">
        <v>270</v>
      </c>
      <c r="H3" s="1703">
        <v>330</v>
      </c>
      <c r="I3" s="1703">
        <v>390</v>
      </c>
      <c r="J3" s="1703">
        <v>450</v>
      </c>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f>C4-0.5</f>
        <v>99.5</v>
      </c>
      <c r="E4" s="1211">
        <f t="shared" ref="E4:J4" si="7">D4-0.5</f>
        <v>99</v>
      </c>
      <c r="F4" s="1211">
        <f t="shared" si="7"/>
        <v>98.5</v>
      </c>
      <c r="G4" s="1211">
        <f t="shared" si="7"/>
        <v>98</v>
      </c>
      <c r="H4" s="1211">
        <f t="shared" si="7"/>
        <v>97.5</v>
      </c>
      <c r="I4" s="1211">
        <f t="shared" si="7"/>
        <v>97</v>
      </c>
      <c r="J4" s="1211">
        <f t="shared" si="7"/>
        <v>96.5</v>
      </c>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8">D6-$T5</f>
        <v>100</v>
      </c>
      <c r="F6" s="1714">
        <f t="shared" si="8"/>
        <v>100</v>
      </c>
      <c r="G6" s="1714">
        <f t="shared" si="8"/>
        <v>100</v>
      </c>
      <c r="H6" s="1714">
        <f t="shared" si="8"/>
        <v>100</v>
      </c>
      <c r="I6" s="1714">
        <f t="shared" si="8"/>
        <v>100</v>
      </c>
      <c r="J6" s="1714">
        <f t="shared" si="8"/>
        <v>100</v>
      </c>
      <c r="K6" s="1714">
        <f t="shared" si="8"/>
        <v>100</v>
      </c>
      <c r="L6" s="1714">
        <f t="shared" si="8"/>
        <v>100</v>
      </c>
      <c r="M6" s="1714">
        <f t="shared" si="8"/>
        <v>100</v>
      </c>
      <c r="N6" s="1714">
        <f t="shared" si="8"/>
        <v>100</v>
      </c>
      <c r="O6" s="1714">
        <f t="shared" si="8"/>
        <v>100</v>
      </c>
      <c r="P6" s="1714">
        <f t="shared" si="8"/>
        <v>100</v>
      </c>
      <c r="Q6" s="1714">
        <f t="shared" si="8"/>
        <v>100</v>
      </c>
      <c r="R6" s="1714">
        <f t="shared" si="8"/>
        <v>100</v>
      </c>
      <c r="S6" s="1714">
        <f t="shared" si="8"/>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9">D8-$T7</f>
        <v>100</v>
      </c>
      <c r="F8" s="1714">
        <f t="shared" si="9"/>
        <v>100</v>
      </c>
      <c r="G8" s="1714">
        <f t="shared" si="9"/>
        <v>100</v>
      </c>
      <c r="H8" s="1714">
        <f t="shared" si="9"/>
        <v>100</v>
      </c>
      <c r="I8" s="1714">
        <f t="shared" si="9"/>
        <v>100</v>
      </c>
      <c r="J8" s="1714">
        <f t="shared" si="9"/>
        <v>100</v>
      </c>
      <c r="K8" s="1714">
        <f t="shared" si="9"/>
        <v>100</v>
      </c>
      <c r="L8" s="1714">
        <f t="shared" si="9"/>
        <v>100</v>
      </c>
      <c r="M8" s="1714">
        <f t="shared" si="9"/>
        <v>100</v>
      </c>
      <c r="N8" s="1714">
        <f t="shared" si="9"/>
        <v>100</v>
      </c>
      <c r="O8" s="1714">
        <f t="shared" si="9"/>
        <v>100</v>
      </c>
      <c r="P8" s="1714">
        <f t="shared" si="9"/>
        <v>100</v>
      </c>
      <c r="Q8" s="1714">
        <f t="shared" si="9"/>
        <v>100</v>
      </c>
      <c r="R8" s="1714">
        <f t="shared" si="9"/>
        <v>100</v>
      </c>
      <c r="S8" s="1714">
        <f t="shared" si="9"/>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10">D10-$T9</f>
        <v>100</v>
      </c>
      <c r="F10" s="1724">
        <f t="shared" si="10"/>
        <v>100</v>
      </c>
      <c r="G10" s="1724">
        <f t="shared" si="10"/>
        <v>100</v>
      </c>
      <c r="H10" s="1724">
        <f t="shared" si="10"/>
        <v>100</v>
      </c>
      <c r="I10" s="1724">
        <f t="shared" si="10"/>
        <v>100</v>
      </c>
      <c r="J10" s="1724">
        <f t="shared" si="10"/>
        <v>100</v>
      </c>
      <c r="K10" s="1724">
        <f t="shared" si="10"/>
        <v>100</v>
      </c>
      <c r="L10" s="1724">
        <f t="shared" si="10"/>
        <v>100</v>
      </c>
      <c r="M10" s="1724">
        <f t="shared" si="10"/>
        <v>100</v>
      </c>
      <c r="N10" s="1724">
        <f t="shared" si="10"/>
        <v>100</v>
      </c>
      <c r="O10" s="1724">
        <f t="shared" si="10"/>
        <v>100</v>
      </c>
      <c r="P10" s="1724">
        <f t="shared" si="10"/>
        <v>100</v>
      </c>
      <c r="Q10" s="1724">
        <f t="shared" si="10"/>
        <v>100</v>
      </c>
      <c r="R10" s="1724">
        <f t="shared" si="10"/>
        <v>100</v>
      </c>
      <c r="S10" s="1724">
        <f t="shared" si="10"/>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1">D12-$T11</f>
        <v>100</v>
      </c>
      <c r="F12" s="1119">
        <f t="shared" si="11"/>
        <v>100</v>
      </c>
      <c r="G12" s="1119">
        <f t="shared" si="11"/>
        <v>100</v>
      </c>
      <c r="H12" s="1119">
        <f t="shared" si="11"/>
        <v>100</v>
      </c>
      <c r="I12" s="1119">
        <f t="shared" si="11"/>
        <v>100</v>
      </c>
      <c r="J12" s="1119">
        <f t="shared" si="11"/>
        <v>100</v>
      </c>
      <c r="K12" s="1119">
        <f t="shared" si="11"/>
        <v>100</v>
      </c>
      <c r="L12" s="1119">
        <f t="shared" si="11"/>
        <v>100</v>
      </c>
      <c r="M12" s="1119">
        <f t="shared" si="11"/>
        <v>100</v>
      </c>
      <c r="N12" s="1119">
        <f t="shared" si="11"/>
        <v>100</v>
      </c>
      <c r="O12" s="1119">
        <f t="shared" si="11"/>
        <v>100</v>
      </c>
      <c r="P12" s="1119">
        <f t="shared" si="11"/>
        <v>100</v>
      </c>
      <c r="Q12" s="1119">
        <f t="shared" si="11"/>
        <v>100</v>
      </c>
      <c r="R12" s="1119">
        <f>Q12-$T11</f>
        <v>100</v>
      </c>
      <c r="S12" s="1119">
        <f t="shared" si="11"/>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3303" t="s">
        <v>3279</v>
      </c>
      <c r="D17" s="3304" t="s">
        <v>3281</v>
      </c>
      <c r="E17" s="3304" t="s">
        <v>3283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v>100</v>
      </c>
      <c r="D18" s="1243">
        <v>102</v>
      </c>
      <c r="E18" s="1243">
        <v>104</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3017</v>
      </c>
      <c r="E19" s="1791"/>
      <c r="F19" s="1791"/>
      <c r="G19" s="1791"/>
      <c r="H19" s="1279"/>
      <c r="I19" s="168"/>
      <c r="J19" s="168"/>
      <c r="K19" s="168"/>
      <c r="L19" s="168"/>
      <c r="M19" s="168"/>
      <c r="N19" s="168"/>
      <c r="O19" s="168"/>
      <c r="P19" s="168"/>
      <c r="Q19" s="168"/>
      <c r="R19" s="788"/>
      <c r="S19" s="138"/>
    </row>
    <row r="20" spans="1:45" ht="16.2" thickBot="1">
      <c r="A20" s="715" t="s">
        <v>3018</v>
      </c>
      <c r="B20" s="338">
        <f ca="1">IF(D20="——",S22,S22-F20)</f>
        <v>57184</v>
      </c>
      <c r="C20" s="168"/>
      <c r="D20" s="2911" t="s">
        <v>70</v>
      </c>
      <c r="E20" s="1792"/>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6">
      <c r="A21" s="715" t="s">
        <v>3020</v>
      </c>
      <c r="B21" s="338">
        <f ca="1">R22</f>
        <v>21500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26597.459999999995</v>
      </c>
      <c r="C22" s="3134" t="s">
        <v>33</v>
      </c>
      <c r="D22" s="3135"/>
      <c r="E22" s="3135"/>
      <c r="F22" s="3135"/>
      <c r="G22" s="3135"/>
      <c r="H22" s="3135"/>
      <c r="I22" s="3135"/>
      <c r="J22" s="3135"/>
      <c r="K22" s="3135"/>
      <c r="L22" s="3135"/>
      <c r="M22" s="3135"/>
      <c r="N22" s="3135"/>
      <c r="O22" s="3135"/>
      <c r="P22" s="3135"/>
      <c r="Q22" s="3274"/>
      <c r="R22" s="716">
        <f ca="1">ROUND(S22*10000/B22,0)</f>
        <v>21500</v>
      </c>
      <c r="S22" s="24">
        <f ca="1">SUM(S24:S10000)</f>
        <v>57184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3305" t="s">
        <v>3284</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面积表!C3</f>
        <v>202</v>
      </c>
      <c r="B24" s="718">
        <f>面积表!E3</f>
        <v>177.12</v>
      </c>
      <c r="C24" s="719">
        <v>1</v>
      </c>
      <c r="D24" s="720"/>
      <c r="E24" s="719">
        <v>1</v>
      </c>
      <c r="F24" s="720"/>
      <c r="G24" s="719">
        <v>1</v>
      </c>
      <c r="H24" s="720"/>
      <c r="I24" s="719">
        <v>1</v>
      </c>
      <c r="J24" s="720"/>
      <c r="K24" s="719">
        <v>1</v>
      </c>
      <c r="L24" s="720"/>
      <c r="M24" s="719">
        <v>1</v>
      </c>
      <c r="N24" s="720"/>
      <c r="O24" s="719">
        <v>1</v>
      </c>
      <c r="P24" s="720" t="s">
        <v>3278</v>
      </c>
      <c r="Q24" s="719">
        <v>1</v>
      </c>
      <c r="R24" s="721">
        <f ca="1">结果表!G20</f>
        <v>21156</v>
      </c>
      <c r="S24" s="719">
        <f t="shared" ref="S24:S54" ca="1" si="12">ROUND(R24*B24/10000,0)</f>
        <v>375</v>
      </c>
      <c r="T24" s="800">
        <f>面积表!G3</f>
        <v>2</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面积表!C4</f>
        <v>203</v>
      </c>
      <c r="B25" s="718">
        <f>面积表!E4</f>
        <v>177.12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3278</v>
      </c>
      <c r="Q25" s="24">
        <f>(SUMIF($17:$17,P25,$18:$18)-SUMIF($17:$17,$P$24,$18:$18)+100)/100</f>
        <v>1</v>
      </c>
      <c r="R25" s="716">
        <f ca="1">IF(B25="",0,ROUND($R$24*C25*E25*G25*I25*K25*M25*O25*Q25,0))</f>
        <v>21156</v>
      </c>
      <c r="S25" s="361">
        <f t="shared" ca="1" si="12"/>
        <v>375</v>
      </c>
      <c r="T25" s="800">
        <f>面积表!G4</f>
        <v>2</v>
      </c>
    </row>
    <row r="26" spans="1:45">
      <c r="A26" s="718">
        <f>面积表!C5</f>
        <v>205</v>
      </c>
      <c r="B26" s="718">
        <f>面积表!E5</f>
        <v>146</v>
      </c>
      <c r="C26" s="24">
        <f t="shared" ref="C26:C89" si="13">IF(B26="",1,(LOOKUP(B26,$3:$3,$4:$4)-LOOKUP($B$24,$3:$3,$4:$4)+100)/100)</f>
        <v>1.0049999999999999</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t="s">
        <v>3278</v>
      </c>
      <c r="Q26" s="24">
        <f t="shared" ref="Q26:Q89" si="20">(SUMIF($17:$17,P26,$18:$18)-SUMIF($17:$17,$P$24,$18:$18)+100)/100</f>
        <v>1</v>
      </c>
      <c r="R26" s="716">
        <f t="shared" ref="R26:R89" ca="1" si="21">IF(B26="",0,ROUND($R$24*C26*E26*G26*I26*K26*M26*O26*Q26,0))</f>
        <v>21262</v>
      </c>
      <c r="S26" s="361">
        <f t="shared" ca="1" si="12"/>
        <v>310</v>
      </c>
      <c r="T26" s="800">
        <f>面积表!G5</f>
        <v>2</v>
      </c>
    </row>
    <row r="27" spans="1:45">
      <c r="A27" s="718">
        <f>面积表!C6</f>
        <v>301</v>
      </c>
      <c r="B27" s="718">
        <f>面积表!E6</f>
        <v>144.38</v>
      </c>
      <c r="C27" s="24">
        <f t="shared" si="13"/>
        <v>1.0049999999999999</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t="s">
        <v>3278</v>
      </c>
      <c r="Q27" s="24">
        <f t="shared" si="20"/>
        <v>1</v>
      </c>
      <c r="R27" s="716">
        <f t="shared" ca="1" si="21"/>
        <v>21262</v>
      </c>
      <c r="S27" s="361">
        <f t="shared" ca="1" si="12"/>
        <v>307</v>
      </c>
      <c r="T27" s="800">
        <f>面积表!G6</f>
        <v>3</v>
      </c>
    </row>
    <row r="28" spans="1:45">
      <c r="A28" s="718">
        <f>面积表!C7</f>
        <v>305</v>
      </c>
      <c r="B28" s="718">
        <f>面积表!E7</f>
        <v>146.88999999999999</v>
      </c>
      <c r="C28" s="24">
        <f t="shared" si="13"/>
        <v>1.0049999999999999</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t="s">
        <v>3278</v>
      </c>
      <c r="Q28" s="24">
        <f t="shared" si="20"/>
        <v>1</v>
      </c>
      <c r="R28" s="716">
        <f t="shared" ca="1" si="21"/>
        <v>21262</v>
      </c>
      <c r="S28" s="361">
        <f t="shared" ca="1" si="12"/>
        <v>312</v>
      </c>
      <c r="T28" s="800">
        <f>面积表!G7</f>
        <v>3</v>
      </c>
    </row>
    <row r="29" spans="1:45">
      <c r="A29" s="718">
        <f>面积表!C8</f>
        <v>501</v>
      </c>
      <c r="B29" s="718">
        <f>面积表!E8</f>
        <v>144.41999999999999</v>
      </c>
      <c r="C29" s="24">
        <f t="shared" si="13"/>
        <v>1.0049999999999999</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t="s">
        <v>3278</v>
      </c>
      <c r="Q29" s="24">
        <f t="shared" si="20"/>
        <v>1</v>
      </c>
      <c r="R29" s="716">
        <f t="shared" ca="1" si="21"/>
        <v>21262</v>
      </c>
      <c r="S29" s="361">
        <f t="shared" ca="1" si="12"/>
        <v>307</v>
      </c>
      <c r="T29" s="800">
        <f>面积表!G8</f>
        <v>4</v>
      </c>
    </row>
    <row r="30" spans="1:45">
      <c r="A30" s="718">
        <f>面积表!C9</f>
        <v>502</v>
      </c>
      <c r="B30" s="718">
        <f>面积表!E9</f>
        <v>176.86</v>
      </c>
      <c r="C30" s="24">
        <f t="shared" si="13"/>
        <v>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t="s">
        <v>3278</v>
      </c>
      <c r="Q30" s="24">
        <f t="shared" si="20"/>
        <v>1</v>
      </c>
      <c r="R30" s="716">
        <f t="shared" ca="1" si="21"/>
        <v>21156</v>
      </c>
      <c r="S30" s="361">
        <f t="shared" ca="1" si="12"/>
        <v>374</v>
      </c>
      <c r="T30" s="800">
        <f>面积表!G9</f>
        <v>4</v>
      </c>
    </row>
    <row r="31" spans="1:45">
      <c r="A31" s="718">
        <f>面积表!C10</f>
        <v>602</v>
      </c>
      <c r="B31" s="718">
        <f>面积表!E10</f>
        <v>176.68</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t="s">
        <v>3278</v>
      </c>
      <c r="Q31" s="24">
        <f t="shared" si="20"/>
        <v>1</v>
      </c>
      <c r="R31" s="716">
        <f t="shared" ca="1" si="21"/>
        <v>21156</v>
      </c>
      <c r="S31" s="361">
        <f t="shared" ca="1" si="12"/>
        <v>374</v>
      </c>
      <c r="T31" s="800">
        <f>面积表!G10</f>
        <v>5</v>
      </c>
    </row>
    <row r="32" spans="1:45">
      <c r="A32" s="718">
        <f>面积表!C11</f>
        <v>603</v>
      </c>
      <c r="B32" s="718">
        <f>面积表!E11</f>
        <v>176.68</v>
      </c>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t="s">
        <v>3278</v>
      </c>
      <c r="Q32" s="24">
        <f t="shared" si="20"/>
        <v>1</v>
      </c>
      <c r="R32" s="716">
        <f t="shared" ca="1" si="21"/>
        <v>21156</v>
      </c>
      <c r="S32" s="361">
        <f t="shared" ca="1" si="12"/>
        <v>374</v>
      </c>
      <c r="T32" s="800">
        <f>面积表!G11</f>
        <v>5</v>
      </c>
    </row>
    <row r="33" spans="1:20">
      <c r="A33" s="718">
        <f>面积表!C12</f>
        <v>701</v>
      </c>
      <c r="B33" s="718">
        <f>面积表!E12</f>
        <v>145.59</v>
      </c>
      <c r="C33" s="24">
        <f t="shared" si="13"/>
        <v>1.0049999999999999</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t="s">
        <v>3278</v>
      </c>
      <c r="Q33" s="24">
        <f t="shared" si="20"/>
        <v>1</v>
      </c>
      <c r="R33" s="716">
        <f t="shared" ca="1" si="21"/>
        <v>21262</v>
      </c>
      <c r="S33" s="361">
        <f t="shared" ca="1" si="12"/>
        <v>310</v>
      </c>
      <c r="T33" s="800">
        <f>面积表!G12</f>
        <v>6</v>
      </c>
    </row>
    <row r="34" spans="1:20">
      <c r="A34" s="718">
        <f>面积表!C13</f>
        <v>801</v>
      </c>
      <c r="B34" s="718">
        <f>面积表!E13</f>
        <v>145.34</v>
      </c>
      <c r="C34" s="24">
        <f t="shared" si="13"/>
        <v>1.0049999999999999</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t="s">
        <v>3278</v>
      </c>
      <c r="Q34" s="24">
        <f t="shared" si="20"/>
        <v>1</v>
      </c>
      <c r="R34" s="716">
        <f t="shared" ca="1" si="21"/>
        <v>21262</v>
      </c>
      <c r="S34" s="361">
        <f t="shared" ca="1" si="12"/>
        <v>309</v>
      </c>
      <c r="T34" s="800">
        <f>面积表!G13</f>
        <v>7</v>
      </c>
    </row>
    <row r="35" spans="1:20">
      <c r="A35" s="718">
        <f>面积表!C14</f>
        <v>901</v>
      </c>
      <c r="B35" s="718">
        <f>面积表!E14</f>
        <v>145.16</v>
      </c>
      <c r="C35" s="24">
        <f t="shared" si="13"/>
        <v>1.0049999999999999</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t="s">
        <v>3278</v>
      </c>
      <c r="Q35" s="24">
        <f t="shared" si="20"/>
        <v>1</v>
      </c>
      <c r="R35" s="716">
        <f t="shared" ca="1" si="21"/>
        <v>21262</v>
      </c>
      <c r="S35" s="361">
        <f t="shared" ca="1" si="12"/>
        <v>309</v>
      </c>
      <c r="T35" s="800">
        <f>面积表!G14</f>
        <v>8</v>
      </c>
    </row>
    <row r="36" spans="1:20">
      <c r="A36" s="718">
        <f>面积表!C15</f>
        <v>902</v>
      </c>
      <c r="B36" s="718">
        <f>面积表!E15</f>
        <v>176.45</v>
      </c>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t="s">
        <v>3278</v>
      </c>
      <c r="Q36" s="24">
        <f t="shared" si="20"/>
        <v>1</v>
      </c>
      <c r="R36" s="716">
        <f t="shared" ca="1" si="21"/>
        <v>21156</v>
      </c>
      <c r="S36" s="361">
        <f t="shared" ca="1" si="12"/>
        <v>373</v>
      </c>
      <c r="T36" s="800">
        <f>面积表!G15</f>
        <v>8</v>
      </c>
    </row>
    <row r="37" spans="1:20">
      <c r="A37" s="718">
        <f>面积表!C16</f>
        <v>1001</v>
      </c>
      <c r="B37" s="718">
        <f>面积表!E16</f>
        <v>145.02000000000001</v>
      </c>
      <c r="C37" s="24">
        <f t="shared" si="13"/>
        <v>1.0049999999999999</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t="s">
        <v>3280</v>
      </c>
      <c r="Q37" s="24">
        <f t="shared" si="20"/>
        <v>1.02</v>
      </c>
      <c r="R37" s="716">
        <f t="shared" ca="1" si="21"/>
        <v>21687</v>
      </c>
      <c r="S37" s="361">
        <f t="shared" ca="1" si="12"/>
        <v>315</v>
      </c>
      <c r="T37" s="800">
        <f>面积表!G16</f>
        <v>9</v>
      </c>
    </row>
    <row r="38" spans="1:20">
      <c r="A38" s="718">
        <f>面积表!C17</f>
        <v>1102</v>
      </c>
      <c r="B38" s="718">
        <f>面积表!E17</f>
        <v>176.4</v>
      </c>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t="s">
        <v>3280</v>
      </c>
      <c r="Q38" s="24">
        <f t="shared" si="20"/>
        <v>1.02</v>
      </c>
      <c r="R38" s="716">
        <f t="shared" ca="1" si="21"/>
        <v>21579</v>
      </c>
      <c r="S38" s="361">
        <f t="shared" ca="1" si="12"/>
        <v>381</v>
      </c>
      <c r="T38" s="800">
        <f>面积表!G17</f>
        <v>10</v>
      </c>
    </row>
    <row r="39" spans="1:20">
      <c r="A39" s="718">
        <f>面积表!C18</f>
        <v>1201</v>
      </c>
      <c r="B39" s="718">
        <f>面积表!E18</f>
        <v>144.82</v>
      </c>
      <c r="C39" s="24">
        <f t="shared" si="13"/>
        <v>1.0049999999999999</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t="s">
        <v>3280</v>
      </c>
      <c r="Q39" s="24">
        <f t="shared" si="20"/>
        <v>1.02</v>
      </c>
      <c r="R39" s="716">
        <f t="shared" ca="1" si="21"/>
        <v>21687</v>
      </c>
      <c r="S39" s="361">
        <f t="shared" ca="1" si="12"/>
        <v>314</v>
      </c>
      <c r="T39" s="800">
        <f>面积表!G18</f>
        <v>11</v>
      </c>
    </row>
    <row r="40" spans="1:20">
      <c r="A40" s="718">
        <f>面积表!C19</f>
        <v>1202</v>
      </c>
      <c r="B40" s="718">
        <f>面积表!E19</f>
        <v>176.4</v>
      </c>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t="s">
        <v>3280</v>
      </c>
      <c r="Q40" s="24">
        <f t="shared" si="20"/>
        <v>1.02</v>
      </c>
      <c r="R40" s="716">
        <f t="shared" ca="1" si="21"/>
        <v>21579</v>
      </c>
      <c r="S40" s="361">
        <f t="shared" ca="1" si="12"/>
        <v>381</v>
      </c>
      <c r="T40" s="800">
        <f>面积表!G19</f>
        <v>11</v>
      </c>
    </row>
    <row r="41" spans="1:20">
      <c r="A41" s="718">
        <f>面积表!C20</f>
        <v>1502</v>
      </c>
      <c r="B41" s="718">
        <f>面积表!E20</f>
        <v>176.43</v>
      </c>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t="s">
        <v>3280</v>
      </c>
      <c r="Q41" s="24">
        <f t="shared" si="20"/>
        <v>1.02</v>
      </c>
      <c r="R41" s="716">
        <f t="shared" ca="1" si="21"/>
        <v>21579</v>
      </c>
      <c r="S41" s="361">
        <f t="shared" ca="1" si="12"/>
        <v>381</v>
      </c>
      <c r="T41" s="800">
        <f>面积表!G20</f>
        <v>12</v>
      </c>
    </row>
    <row r="42" spans="1:20">
      <c r="A42" s="718">
        <f>面积表!C21</f>
        <v>1601</v>
      </c>
      <c r="B42" s="718">
        <f>面积表!E21</f>
        <v>144.75</v>
      </c>
      <c r="C42" s="24">
        <f t="shared" si="13"/>
        <v>1.0049999999999999</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t="s">
        <v>3280</v>
      </c>
      <c r="Q42" s="24">
        <f t="shared" si="20"/>
        <v>1.02</v>
      </c>
      <c r="R42" s="716">
        <f t="shared" ca="1" si="21"/>
        <v>21687</v>
      </c>
      <c r="S42" s="361">
        <f t="shared" ca="1" si="12"/>
        <v>314</v>
      </c>
      <c r="T42" s="800">
        <f>面积表!G21</f>
        <v>13</v>
      </c>
    </row>
    <row r="43" spans="1:20">
      <c r="A43" s="718">
        <f>面积表!C22</f>
        <v>1702</v>
      </c>
      <c r="B43" s="718">
        <f>面积表!E22</f>
        <v>176.53</v>
      </c>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t="s">
        <v>3280</v>
      </c>
      <c r="Q43" s="24">
        <f t="shared" si="20"/>
        <v>1.02</v>
      </c>
      <c r="R43" s="716">
        <f t="shared" ca="1" si="21"/>
        <v>21579</v>
      </c>
      <c r="S43" s="361">
        <f t="shared" ca="1" si="12"/>
        <v>381</v>
      </c>
      <c r="T43" s="800">
        <f>面积表!G22</f>
        <v>14</v>
      </c>
    </row>
    <row r="44" spans="1:20">
      <c r="A44" s="718">
        <f>面积表!C23</f>
        <v>1801</v>
      </c>
      <c r="B44" s="718">
        <f>面积表!E23</f>
        <v>144.75</v>
      </c>
      <c r="C44" s="24">
        <f t="shared" si="13"/>
        <v>1.0049999999999999</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t="s">
        <v>3280</v>
      </c>
      <c r="Q44" s="24">
        <f t="shared" si="20"/>
        <v>1.02</v>
      </c>
      <c r="R44" s="716">
        <f t="shared" ca="1" si="21"/>
        <v>21687</v>
      </c>
      <c r="S44" s="361">
        <f t="shared" ca="1" si="12"/>
        <v>314</v>
      </c>
      <c r="T44" s="800">
        <f>面积表!G23</f>
        <v>15</v>
      </c>
    </row>
    <row r="45" spans="1:20">
      <c r="A45" s="718">
        <f>面积表!C24</f>
        <v>1902</v>
      </c>
      <c r="B45" s="718">
        <f>面积表!E24</f>
        <v>176.72</v>
      </c>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t="s">
        <v>3280</v>
      </c>
      <c r="Q45" s="24">
        <f t="shared" si="20"/>
        <v>1.02</v>
      </c>
      <c r="R45" s="716">
        <f t="shared" ca="1" si="21"/>
        <v>21579</v>
      </c>
      <c r="S45" s="361">
        <f t="shared" ca="1" si="12"/>
        <v>381</v>
      </c>
      <c r="T45" s="800">
        <f>面积表!G24</f>
        <v>16</v>
      </c>
    </row>
    <row r="46" spans="1:20">
      <c r="A46" s="718">
        <f>面积表!C25</f>
        <v>1903</v>
      </c>
      <c r="B46" s="718">
        <f>面积表!E25</f>
        <v>176.72</v>
      </c>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t="s">
        <v>3280</v>
      </c>
      <c r="Q46" s="24">
        <f t="shared" si="20"/>
        <v>1.02</v>
      </c>
      <c r="R46" s="716">
        <f t="shared" ca="1" si="21"/>
        <v>21579</v>
      </c>
      <c r="S46" s="361">
        <f t="shared" ca="1" si="12"/>
        <v>381</v>
      </c>
      <c r="T46" s="800">
        <f>面积表!G25</f>
        <v>16</v>
      </c>
    </row>
    <row r="47" spans="1:20">
      <c r="A47" s="718">
        <f>面积表!C26</f>
        <v>2001</v>
      </c>
      <c r="B47" s="718">
        <f>面积表!E26</f>
        <v>144.84</v>
      </c>
      <c r="C47" s="24">
        <f t="shared" si="13"/>
        <v>1.0049999999999999</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t="s">
        <v>3282</v>
      </c>
      <c r="Q47" s="24">
        <f t="shared" si="20"/>
        <v>1.04</v>
      </c>
      <c r="R47" s="716">
        <f t="shared" ca="1" si="21"/>
        <v>22112</v>
      </c>
      <c r="S47" s="361">
        <f t="shared" ca="1" si="12"/>
        <v>320</v>
      </c>
      <c r="T47" s="800">
        <f>面积表!G26</f>
        <v>17</v>
      </c>
    </row>
    <row r="48" spans="1:20">
      <c r="A48" s="718">
        <f>面积表!C27</f>
        <v>2203</v>
      </c>
      <c r="B48" s="718">
        <f>面积表!E27</f>
        <v>177.17</v>
      </c>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t="s">
        <v>3282</v>
      </c>
      <c r="Q48" s="24">
        <f t="shared" si="20"/>
        <v>1.04</v>
      </c>
      <c r="R48" s="716">
        <f t="shared" ca="1" si="21"/>
        <v>22002</v>
      </c>
      <c r="S48" s="361">
        <f t="shared" ca="1" si="12"/>
        <v>390</v>
      </c>
      <c r="T48" s="800">
        <f>面积表!G27</f>
        <v>19</v>
      </c>
    </row>
    <row r="49" spans="1:20">
      <c r="A49" s="718">
        <f>面积表!C28</f>
        <v>2302</v>
      </c>
      <c r="B49" s="718">
        <f>面积表!E28</f>
        <v>177.57</v>
      </c>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t="s">
        <v>3282</v>
      </c>
      <c r="Q49" s="24">
        <f t="shared" si="20"/>
        <v>1.04</v>
      </c>
      <c r="R49" s="716">
        <f t="shared" ca="1" si="21"/>
        <v>22002</v>
      </c>
      <c r="S49" s="361">
        <f t="shared" ca="1" si="12"/>
        <v>391</v>
      </c>
      <c r="T49" s="800">
        <f>面积表!G28</f>
        <v>20</v>
      </c>
    </row>
    <row r="50" spans="1:20">
      <c r="A50" s="718">
        <f>面积表!C29</f>
        <v>2602</v>
      </c>
      <c r="B50" s="718">
        <f>面积表!E29</f>
        <v>178.24</v>
      </c>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t="s">
        <v>3282</v>
      </c>
      <c r="Q50" s="24">
        <f t="shared" si="20"/>
        <v>1.04</v>
      </c>
      <c r="R50" s="716">
        <f t="shared" ca="1" si="21"/>
        <v>22002</v>
      </c>
      <c r="S50" s="361">
        <f t="shared" ca="1" si="12"/>
        <v>392</v>
      </c>
      <c r="T50" s="800">
        <f>面积表!G29</f>
        <v>22</v>
      </c>
    </row>
    <row r="51" spans="1:20">
      <c r="A51" s="718">
        <f>面积表!C30</f>
        <v>2701</v>
      </c>
      <c r="B51" s="718">
        <f>面积表!E30</f>
        <v>144.38</v>
      </c>
      <c r="C51" s="24">
        <f t="shared" si="13"/>
        <v>1.0049999999999999</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t="s">
        <v>3282</v>
      </c>
      <c r="Q51" s="24">
        <f t="shared" si="20"/>
        <v>1.04</v>
      </c>
      <c r="R51" s="716">
        <f t="shared" ca="1" si="21"/>
        <v>22112</v>
      </c>
      <c r="S51" s="361">
        <f t="shared" ca="1" si="12"/>
        <v>319</v>
      </c>
      <c r="T51" s="800">
        <f>面积表!G30</f>
        <v>23</v>
      </c>
    </row>
    <row r="52" spans="1:20">
      <c r="A52" s="718">
        <f>面积表!C31</f>
        <v>2702</v>
      </c>
      <c r="B52" s="718">
        <f>面积表!E31</f>
        <v>178.77</v>
      </c>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t="s">
        <v>3282</v>
      </c>
      <c r="Q52" s="24">
        <f t="shared" si="20"/>
        <v>1.04</v>
      </c>
      <c r="R52" s="716">
        <f t="shared" ca="1" si="21"/>
        <v>22002</v>
      </c>
      <c r="S52" s="361">
        <f t="shared" ca="1" si="12"/>
        <v>393</v>
      </c>
      <c r="T52" s="800">
        <f>面积表!G31</f>
        <v>23</v>
      </c>
    </row>
    <row r="53" spans="1:20">
      <c r="A53" s="718">
        <f>面积表!C32</f>
        <v>2703</v>
      </c>
      <c r="B53" s="718">
        <f>面积表!E32</f>
        <v>178.77</v>
      </c>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t="s">
        <v>3282</v>
      </c>
      <c r="Q53" s="24">
        <f t="shared" si="20"/>
        <v>1.04</v>
      </c>
      <c r="R53" s="716">
        <f t="shared" ca="1" si="21"/>
        <v>22002</v>
      </c>
      <c r="S53" s="361">
        <f t="shared" ca="1" si="12"/>
        <v>393</v>
      </c>
      <c r="T53" s="800">
        <f>面积表!G32</f>
        <v>23</v>
      </c>
    </row>
    <row r="54" spans="1:20">
      <c r="A54" s="718">
        <f>面积表!C33</f>
        <v>2801</v>
      </c>
      <c r="B54" s="718">
        <f>面积表!E33</f>
        <v>402.32</v>
      </c>
      <c r="C54" s="24">
        <f t="shared" si="13"/>
        <v>0.98</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t="s">
        <v>3282</v>
      </c>
      <c r="Q54" s="24">
        <f t="shared" si="20"/>
        <v>1.04</v>
      </c>
      <c r="R54" s="716">
        <f t="shared" ca="1" si="21"/>
        <v>21562</v>
      </c>
      <c r="S54" s="361">
        <f t="shared" ca="1" si="12"/>
        <v>867</v>
      </c>
      <c r="T54" s="800">
        <f>面积表!G33</f>
        <v>24</v>
      </c>
    </row>
    <row r="55" spans="1:20">
      <c r="A55" s="718">
        <f>面积表!C34</f>
        <v>201</v>
      </c>
      <c r="B55" s="718">
        <f>面积表!E34</f>
        <v>142.97999999999999</v>
      </c>
      <c r="C55" s="24">
        <f t="shared" si="13"/>
        <v>1.0049999999999999</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t="s">
        <v>3278</v>
      </c>
      <c r="Q55" s="24">
        <f t="shared" si="20"/>
        <v>1</v>
      </c>
      <c r="R55" s="716">
        <f t="shared" ca="1" si="21"/>
        <v>21262</v>
      </c>
      <c r="S55" s="361">
        <f t="shared" ref="S55:S77" ca="1" si="22">ROUND(R55*B55/10000,0)</f>
        <v>304</v>
      </c>
      <c r="T55" s="800">
        <f>面积表!G34</f>
        <v>2</v>
      </c>
    </row>
    <row r="56" spans="1:20">
      <c r="A56" s="718">
        <f>面积表!C35</f>
        <v>202</v>
      </c>
      <c r="B56" s="718">
        <f>面积表!E35</f>
        <v>176.49</v>
      </c>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t="s">
        <v>3278</v>
      </c>
      <c r="Q56" s="24">
        <f t="shared" si="20"/>
        <v>1</v>
      </c>
      <c r="R56" s="716">
        <f t="shared" ca="1" si="21"/>
        <v>21156</v>
      </c>
      <c r="S56" s="361">
        <f t="shared" ca="1" si="22"/>
        <v>373</v>
      </c>
      <c r="T56" s="800">
        <f>面积表!G35</f>
        <v>2</v>
      </c>
    </row>
    <row r="57" spans="1:20">
      <c r="A57" s="718">
        <f>面积表!C36</f>
        <v>203</v>
      </c>
      <c r="B57" s="718">
        <f>面积表!E36</f>
        <v>176.49</v>
      </c>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t="s">
        <v>3278</v>
      </c>
      <c r="Q57" s="24">
        <f t="shared" si="20"/>
        <v>1</v>
      </c>
      <c r="R57" s="716">
        <f t="shared" ca="1" si="21"/>
        <v>21156</v>
      </c>
      <c r="S57" s="361">
        <f t="shared" ca="1" si="22"/>
        <v>373</v>
      </c>
      <c r="T57" s="800">
        <f>面积表!G36</f>
        <v>2</v>
      </c>
    </row>
    <row r="58" spans="1:20">
      <c r="A58" s="718">
        <f>面积表!C37</f>
        <v>205</v>
      </c>
      <c r="B58" s="718">
        <f>面积表!E37</f>
        <v>145.47999999999999</v>
      </c>
      <c r="C58" s="24">
        <f t="shared" si="13"/>
        <v>1.0049999999999999</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t="s">
        <v>3278</v>
      </c>
      <c r="Q58" s="24">
        <f t="shared" si="20"/>
        <v>1</v>
      </c>
      <c r="R58" s="716">
        <f t="shared" ca="1" si="21"/>
        <v>21262</v>
      </c>
      <c r="S58" s="361">
        <f t="shared" ca="1" si="22"/>
        <v>309</v>
      </c>
      <c r="T58" s="800">
        <f>面积表!G37</f>
        <v>2</v>
      </c>
    </row>
    <row r="59" spans="1:20">
      <c r="A59" s="718">
        <f>面积表!C38</f>
        <v>301</v>
      </c>
      <c r="B59" s="718">
        <f>面积表!E38</f>
        <v>143.86000000000001</v>
      </c>
      <c r="C59" s="24">
        <f t="shared" si="13"/>
        <v>1.0049999999999999</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t="s">
        <v>3278</v>
      </c>
      <c r="Q59" s="24">
        <f t="shared" si="20"/>
        <v>1</v>
      </c>
      <c r="R59" s="716">
        <f t="shared" ca="1" si="21"/>
        <v>21262</v>
      </c>
      <c r="S59" s="361">
        <f t="shared" ca="1" si="22"/>
        <v>306</v>
      </c>
      <c r="T59" s="800">
        <f>面积表!G38</f>
        <v>3</v>
      </c>
    </row>
    <row r="60" spans="1:20">
      <c r="A60" s="718">
        <f>面积表!C39</f>
        <v>302</v>
      </c>
      <c r="B60" s="718">
        <f>面积表!E39</f>
        <v>176.32</v>
      </c>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t="s">
        <v>3278</v>
      </c>
      <c r="Q60" s="24">
        <f t="shared" si="20"/>
        <v>1</v>
      </c>
      <c r="R60" s="716">
        <f t="shared" ca="1" si="21"/>
        <v>21156</v>
      </c>
      <c r="S60" s="361">
        <f t="shared" ca="1" si="22"/>
        <v>373</v>
      </c>
      <c r="T60" s="800">
        <f>面积表!G39</f>
        <v>3</v>
      </c>
    </row>
    <row r="61" spans="1:20">
      <c r="A61" s="718">
        <f>面积表!C40</f>
        <v>303</v>
      </c>
      <c r="B61" s="718">
        <f>面积表!E40</f>
        <v>176.32</v>
      </c>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t="s">
        <v>3278</v>
      </c>
      <c r="Q61" s="24">
        <f t="shared" si="20"/>
        <v>1</v>
      </c>
      <c r="R61" s="716">
        <f t="shared" ca="1" si="21"/>
        <v>21156</v>
      </c>
      <c r="S61" s="361">
        <f t="shared" ca="1" si="22"/>
        <v>373</v>
      </c>
      <c r="T61" s="800">
        <f>面积表!G40</f>
        <v>3</v>
      </c>
    </row>
    <row r="62" spans="1:20">
      <c r="A62" s="718">
        <f>面积表!C41</f>
        <v>305</v>
      </c>
      <c r="B62" s="718">
        <f>面积表!E41</f>
        <v>146.36000000000001</v>
      </c>
      <c r="C62" s="24">
        <f t="shared" si="13"/>
        <v>1.0049999999999999</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t="s">
        <v>3278</v>
      </c>
      <c r="Q62" s="24">
        <f t="shared" si="20"/>
        <v>1</v>
      </c>
      <c r="R62" s="716">
        <f t="shared" ca="1" si="21"/>
        <v>21262</v>
      </c>
      <c r="S62" s="361">
        <f t="shared" ca="1" si="22"/>
        <v>311</v>
      </c>
      <c r="T62" s="800">
        <f>面积表!G41</f>
        <v>3</v>
      </c>
    </row>
    <row r="63" spans="1:20">
      <c r="A63" s="718">
        <f>面积表!C42</f>
        <v>505</v>
      </c>
      <c r="B63" s="718">
        <f>面积表!E42</f>
        <v>146.44</v>
      </c>
      <c r="C63" s="24">
        <f t="shared" si="13"/>
        <v>1.0049999999999999</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t="s">
        <v>3278</v>
      </c>
      <c r="Q63" s="24">
        <f t="shared" si="20"/>
        <v>1</v>
      </c>
      <c r="R63" s="716">
        <f t="shared" ca="1" si="21"/>
        <v>21262</v>
      </c>
      <c r="S63" s="361">
        <f t="shared" ca="1" si="22"/>
        <v>311</v>
      </c>
      <c r="T63" s="800">
        <f>面积表!G42</f>
        <v>4</v>
      </c>
    </row>
    <row r="64" spans="1:20">
      <c r="A64" s="718">
        <f>面积表!C43</f>
        <v>605</v>
      </c>
      <c r="B64" s="718">
        <f>面积表!E43</f>
        <v>146.36000000000001</v>
      </c>
      <c r="C64" s="24">
        <f t="shared" si="13"/>
        <v>1.0049999999999999</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t="s">
        <v>3278</v>
      </c>
      <c r="Q64" s="24">
        <f t="shared" si="20"/>
        <v>1</v>
      </c>
      <c r="R64" s="716">
        <f t="shared" ca="1" si="21"/>
        <v>21262</v>
      </c>
      <c r="S64" s="361">
        <f t="shared" ca="1" si="22"/>
        <v>311</v>
      </c>
      <c r="T64" s="800">
        <f>面积表!G43</f>
        <v>5</v>
      </c>
    </row>
    <row r="65" spans="1:20">
      <c r="A65" s="718">
        <f>面积表!C44</f>
        <v>701</v>
      </c>
      <c r="B65" s="718">
        <f>面积表!E44</f>
        <v>145.07</v>
      </c>
      <c r="C65" s="24">
        <f t="shared" si="13"/>
        <v>1.0049999999999999</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t="s">
        <v>3278</v>
      </c>
      <c r="Q65" s="24">
        <f t="shared" si="20"/>
        <v>1</v>
      </c>
      <c r="R65" s="716">
        <f t="shared" ca="1" si="21"/>
        <v>21262</v>
      </c>
      <c r="S65" s="361">
        <f t="shared" ca="1" si="22"/>
        <v>308</v>
      </c>
      <c r="T65" s="800">
        <f>面积表!G44</f>
        <v>6</v>
      </c>
    </row>
    <row r="66" spans="1:20">
      <c r="A66" s="718">
        <f>面积表!C45</f>
        <v>702</v>
      </c>
      <c r="B66" s="718">
        <f>面积表!E45</f>
        <v>175.95</v>
      </c>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t="s">
        <v>3278</v>
      </c>
      <c r="Q66" s="24">
        <f t="shared" si="20"/>
        <v>1</v>
      </c>
      <c r="R66" s="716">
        <f t="shared" ca="1" si="21"/>
        <v>21156</v>
      </c>
      <c r="S66" s="361">
        <f t="shared" ca="1" si="22"/>
        <v>372</v>
      </c>
      <c r="T66" s="800">
        <f>面积表!G45</f>
        <v>6</v>
      </c>
    </row>
    <row r="67" spans="1:20">
      <c r="A67" s="718">
        <f>面积表!C46</f>
        <v>703</v>
      </c>
      <c r="B67" s="718">
        <f>面积表!E46</f>
        <v>175.95</v>
      </c>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t="s">
        <v>3278</v>
      </c>
      <c r="Q67" s="24">
        <f t="shared" si="20"/>
        <v>1</v>
      </c>
      <c r="R67" s="716">
        <f t="shared" ca="1" si="21"/>
        <v>21156</v>
      </c>
      <c r="S67" s="361">
        <f t="shared" ca="1" si="22"/>
        <v>372</v>
      </c>
      <c r="T67" s="800">
        <f>面积表!G46</f>
        <v>6</v>
      </c>
    </row>
    <row r="68" spans="1:20">
      <c r="A68" s="718">
        <f>面积表!C47</f>
        <v>705</v>
      </c>
      <c r="B68" s="718">
        <f>面积表!E47</f>
        <v>147.53</v>
      </c>
      <c r="C68" s="24">
        <f t="shared" si="13"/>
        <v>1.0049999999999999</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t="s">
        <v>3278</v>
      </c>
      <c r="Q68" s="24">
        <f t="shared" si="20"/>
        <v>1</v>
      </c>
      <c r="R68" s="716">
        <f t="shared" ca="1" si="21"/>
        <v>21262</v>
      </c>
      <c r="S68" s="361">
        <f t="shared" ca="1" si="22"/>
        <v>314</v>
      </c>
      <c r="T68" s="800">
        <f>面积表!G47</f>
        <v>6</v>
      </c>
    </row>
    <row r="69" spans="1:20">
      <c r="A69" s="718">
        <f>面积表!C48</f>
        <v>802</v>
      </c>
      <c r="B69" s="718">
        <f>面积表!E48</f>
        <v>175.87</v>
      </c>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t="s">
        <v>3278</v>
      </c>
      <c r="Q69" s="24">
        <f t="shared" si="20"/>
        <v>1</v>
      </c>
      <c r="R69" s="716">
        <f t="shared" ca="1" si="21"/>
        <v>21156</v>
      </c>
      <c r="S69" s="361">
        <f t="shared" ca="1" si="22"/>
        <v>372</v>
      </c>
      <c r="T69" s="800">
        <f>面积表!G48</f>
        <v>7</v>
      </c>
    </row>
    <row r="70" spans="1:20">
      <c r="A70" s="718">
        <f>面积表!C49</f>
        <v>803</v>
      </c>
      <c r="B70" s="718">
        <f>面积表!E49</f>
        <v>175.87</v>
      </c>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t="s">
        <v>3278</v>
      </c>
      <c r="Q70" s="24">
        <f t="shared" si="20"/>
        <v>1</v>
      </c>
      <c r="R70" s="716">
        <f t="shared" ca="1" si="21"/>
        <v>21156</v>
      </c>
      <c r="S70" s="361">
        <f t="shared" ca="1" si="22"/>
        <v>372</v>
      </c>
      <c r="T70" s="800">
        <f>面积表!G49</f>
        <v>7</v>
      </c>
    </row>
    <row r="71" spans="1:20">
      <c r="A71" s="718">
        <f>面积表!C50</f>
        <v>805</v>
      </c>
      <c r="B71" s="718">
        <f>面积表!E50</f>
        <v>147.32</v>
      </c>
      <c r="C71" s="24">
        <f t="shared" si="13"/>
        <v>1.0049999999999999</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t="s">
        <v>3278</v>
      </c>
      <c r="Q71" s="24">
        <f t="shared" si="20"/>
        <v>1</v>
      </c>
      <c r="R71" s="716">
        <f t="shared" ca="1" si="21"/>
        <v>21262</v>
      </c>
      <c r="S71" s="361">
        <f t="shared" ca="1" si="22"/>
        <v>313</v>
      </c>
      <c r="T71" s="800">
        <f>面积表!G50</f>
        <v>7</v>
      </c>
    </row>
    <row r="72" spans="1:20">
      <c r="A72" s="718">
        <f>面积表!C51</f>
        <v>905</v>
      </c>
      <c r="B72" s="718">
        <f>面积表!E51</f>
        <v>147.13999999999999</v>
      </c>
      <c r="C72" s="24">
        <f t="shared" si="13"/>
        <v>1.0049999999999999</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t="s">
        <v>3278</v>
      </c>
      <c r="Q72" s="24">
        <f t="shared" si="20"/>
        <v>1</v>
      </c>
      <c r="R72" s="716">
        <f t="shared" ca="1" si="21"/>
        <v>21262</v>
      </c>
      <c r="S72" s="361">
        <f t="shared" ca="1" si="22"/>
        <v>313</v>
      </c>
      <c r="T72" s="800">
        <f>面积表!G51</f>
        <v>8</v>
      </c>
    </row>
    <row r="73" spans="1:20">
      <c r="A73" s="718">
        <f>面积表!C52</f>
        <v>1003</v>
      </c>
      <c r="B73" s="718">
        <f>面积表!E52</f>
        <v>175.78</v>
      </c>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t="s">
        <v>3280</v>
      </c>
      <c r="Q73" s="24">
        <f t="shared" si="20"/>
        <v>1.02</v>
      </c>
      <c r="R73" s="716">
        <f t="shared" ca="1" si="21"/>
        <v>21579</v>
      </c>
      <c r="S73" s="361">
        <f t="shared" ca="1" si="22"/>
        <v>379</v>
      </c>
      <c r="T73" s="800">
        <f>面积表!G52</f>
        <v>9</v>
      </c>
    </row>
    <row r="74" spans="1:20">
      <c r="A74" s="718">
        <f>面积表!C53</f>
        <v>1005</v>
      </c>
      <c r="B74" s="718">
        <f>面积表!E53</f>
        <v>147</v>
      </c>
      <c r="C74" s="24">
        <f t="shared" si="13"/>
        <v>1.0049999999999999</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t="s">
        <v>3280</v>
      </c>
      <c r="Q74" s="24">
        <f t="shared" si="20"/>
        <v>1.02</v>
      </c>
      <c r="R74" s="716">
        <f t="shared" ca="1" si="21"/>
        <v>21687</v>
      </c>
      <c r="S74" s="361">
        <f t="shared" ca="1" si="22"/>
        <v>319</v>
      </c>
      <c r="T74" s="800">
        <f>面积表!G53</f>
        <v>9</v>
      </c>
    </row>
    <row r="75" spans="1:20">
      <c r="A75" s="718">
        <f>面积表!C54</f>
        <v>1601</v>
      </c>
      <c r="B75" s="718">
        <f>面积表!E54</f>
        <v>144.22999999999999</v>
      </c>
      <c r="C75" s="24">
        <f t="shared" si="13"/>
        <v>1.0049999999999999</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t="s">
        <v>3280</v>
      </c>
      <c r="Q75" s="24">
        <f t="shared" si="20"/>
        <v>1.02</v>
      </c>
      <c r="R75" s="716">
        <f t="shared" ca="1" si="21"/>
        <v>21687</v>
      </c>
      <c r="S75" s="361">
        <f t="shared" ca="1" si="22"/>
        <v>313</v>
      </c>
      <c r="T75" s="800">
        <f>面积表!G54</f>
        <v>13</v>
      </c>
    </row>
    <row r="76" spans="1:20">
      <c r="A76" s="718">
        <f>面积表!C55</f>
        <v>1605</v>
      </c>
      <c r="B76" s="718">
        <f>面积表!E55</f>
        <v>146.72999999999999</v>
      </c>
      <c r="C76" s="24">
        <f t="shared" si="13"/>
        <v>1.0049999999999999</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t="s">
        <v>3280</v>
      </c>
      <c r="Q76" s="24">
        <f t="shared" si="20"/>
        <v>1.02</v>
      </c>
      <c r="R76" s="716">
        <f t="shared" ca="1" si="21"/>
        <v>21687</v>
      </c>
      <c r="S76" s="361">
        <f t="shared" ca="1" si="22"/>
        <v>318</v>
      </c>
      <c r="T76" s="800">
        <f>面积表!G55</f>
        <v>13</v>
      </c>
    </row>
    <row r="77" spans="1:20">
      <c r="A77" s="718">
        <f>面积表!C56</f>
        <v>1705</v>
      </c>
      <c r="B77" s="718">
        <f>面积表!E56</f>
        <v>146.72999999999999</v>
      </c>
      <c r="C77" s="24">
        <f t="shared" si="13"/>
        <v>1.0049999999999999</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t="s">
        <v>3280</v>
      </c>
      <c r="Q77" s="24">
        <f t="shared" si="20"/>
        <v>1.02</v>
      </c>
      <c r="R77" s="716">
        <f t="shared" ca="1" si="21"/>
        <v>21687</v>
      </c>
      <c r="S77" s="361">
        <f t="shared" ca="1" si="22"/>
        <v>318</v>
      </c>
      <c r="T77" s="800">
        <f>面积表!G56</f>
        <v>14</v>
      </c>
    </row>
    <row r="78" spans="1:20">
      <c r="A78" s="718">
        <f>面积表!C57</f>
        <v>1905</v>
      </c>
      <c r="B78" s="718">
        <f>面积表!E57</f>
        <v>146.77000000000001</v>
      </c>
      <c r="C78" s="24">
        <f t="shared" si="13"/>
        <v>1.0049999999999999</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t="s">
        <v>3280</v>
      </c>
      <c r="Q78" s="24">
        <f t="shared" si="20"/>
        <v>1.02</v>
      </c>
      <c r="R78" s="716">
        <f t="shared" ca="1" si="21"/>
        <v>21687</v>
      </c>
      <c r="S78" s="361">
        <f t="shared" ref="S78:S122" ca="1" si="23">ROUND(R78*B78/10000,0)</f>
        <v>318</v>
      </c>
      <c r="T78" s="800">
        <f>面积表!G57</f>
        <v>16</v>
      </c>
    </row>
    <row r="79" spans="1:20">
      <c r="A79" s="718">
        <f>面积表!C58</f>
        <v>2001</v>
      </c>
      <c r="B79" s="718">
        <f>面积表!E58</f>
        <v>144.32</v>
      </c>
      <c r="C79" s="24">
        <f t="shared" si="13"/>
        <v>1.0049999999999999</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t="s">
        <v>3282</v>
      </c>
      <c r="Q79" s="24">
        <f t="shared" si="20"/>
        <v>1.04</v>
      </c>
      <c r="R79" s="716">
        <f t="shared" ca="1" si="21"/>
        <v>22112</v>
      </c>
      <c r="S79" s="361">
        <f t="shared" ca="1" si="23"/>
        <v>319</v>
      </c>
      <c r="T79" s="800">
        <f>面积表!G58</f>
        <v>17</v>
      </c>
    </row>
    <row r="80" spans="1:20">
      <c r="A80" s="718">
        <f>面积表!C59</f>
        <v>2005</v>
      </c>
      <c r="B80" s="718">
        <f>面积表!E59</f>
        <v>146.83000000000001</v>
      </c>
      <c r="C80" s="24">
        <f t="shared" si="13"/>
        <v>1.0049999999999999</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t="s">
        <v>3282</v>
      </c>
      <c r="Q80" s="24">
        <f t="shared" si="20"/>
        <v>1.04</v>
      </c>
      <c r="R80" s="716">
        <f t="shared" ca="1" si="21"/>
        <v>22112</v>
      </c>
      <c r="S80" s="361">
        <f t="shared" ca="1" si="23"/>
        <v>325</v>
      </c>
      <c r="T80" s="800">
        <f>面积表!G59</f>
        <v>17</v>
      </c>
    </row>
    <row r="81" spans="1:20">
      <c r="A81" s="718">
        <f>面积表!C60</f>
        <v>2102</v>
      </c>
      <c r="B81" s="718">
        <f>面积表!E60</f>
        <v>176.37</v>
      </c>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t="s">
        <v>3282</v>
      </c>
      <c r="Q81" s="24">
        <f t="shared" si="20"/>
        <v>1.04</v>
      </c>
      <c r="R81" s="716">
        <f t="shared" ca="1" si="21"/>
        <v>22002</v>
      </c>
      <c r="S81" s="361">
        <f t="shared" ca="1" si="23"/>
        <v>388</v>
      </c>
      <c r="T81" s="800">
        <f>面积表!G60</f>
        <v>18</v>
      </c>
    </row>
    <row r="82" spans="1:20">
      <c r="A82" s="718">
        <f>面积表!C61</f>
        <v>2103</v>
      </c>
      <c r="B82" s="718">
        <f>面积表!E61</f>
        <v>176.37</v>
      </c>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t="s">
        <v>3282</v>
      </c>
      <c r="Q82" s="24">
        <f t="shared" si="20"/>
        <v>1.04</v>
      </c>
      <c r="R82" s="716">
        <f t="shared" ca="1" si="21"/>
        <v>22002</v>
      </c>
      <c r="S82" s="361">
        <f t="shared" ca="1" si="23"/>
        <v>388</v>
      </c>
      <c r="T82" s="800">
        <f>面积表!G61</f>
        <v>18</v>
      </c>
    </row>
    <row r="83" spans="1:20">
      <c r="A83" s="718">
        <f>面积表!C62</f>
        <v>2205</v>
      </c>
      <c r="B83" s="718">
        <f>面积表!E62</f>
        <v>146.35</v>
      </c>
      <c r="C83" s="24">
        <f t="shared" si="13"/>
        <v>1.0049999999999999</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t="s">
        <v>3282</v>
      </c>
      <c r="Q83" s="24">
        <f t="shared" si="20"/>
        <v>1.04</v>
      </c>
      <c r="R83" s="716">
        <f t="shared" ca="1" si="21"/>
        <v>22112</v>
      </c>
      <c r="S83" s="361">
        <f t="shared" ca="1" si="23"/>
        <v>324</v>
      </c>
      <c r="T83" s="800">
        <f>面积表!G62</f>
        <v>19</v>
      </c>
    </row>
    <row r="84" spans="1:20">
      <c r="A84" s="718">
        <f>面积表!C63</f>
        <v>2302</v>
      </c>
      <c r="B84" s="718">
        <f>面积表!E63</f>
        <v>177.01</v>
      </c>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t="s">
        <v>3282</v>
      </c>
      <c r="Q84" s="24">
        <f t="shared" si="20"/>
        <v>1.04</v>
      </c>
      <c r="R84" s="716">
        <f t="shared" ca="1" si="21"/>
        <v>22002</v>
      </c>
      <c r="S84" s="361">
        <f t="shared" ca="1" si="23"/>
        <v>389</v>
      </c>
      <c r="T84" s="800">
        <f>面积表!G63</f>
        <v>20</v>
      </c>
    </row>
    <row r="85" spans="1:20">
      <c r="A85" s="718">
        <f>面积表!C64</f>
        <v>2501</v>
      </c>
      <c r="B85" s="718">
        <f>面积表!E64</f>
        <v>143.85</v>
      </c>
      <c r="C85" s="24">
        <f t="shared" si="13"/>
        <v>1.0049999999999999</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t="s">
        <v>3282</v>
      </c>
      <c r="Q85" s="24">
        <f t="shared" si="20"/>
        <v>1.04</v>
      </c>
      <c r="R85" s="716">
        <f t="shared" ca="1" si="21"/>
        <v>22112</v>
      </c>
      <c r="S85" s="361">
        <f t="shared" ca="1" si="23"/>
        <v>318</v>
      </c>
      <c r="T85" s="800">
        <f>面积表!G64</f>
        <v>21</v>
      </c>
    </row>
    <row r="86" spans="1:20">
      <c r="A86" s="718">
        <f>面积表!C65</f>
        <v>2502</v>
      </c>
      <c r="B86" s="718">
        <f>面积表!E65</f>
        <v>177.4</v>
      </c>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t="s">
        <v>3282</v>
      </c>
      <c r="Q86" s="24">
        <f t="shared" si="20"/>
        <v>1.04</v>
      </c>
      <c r="R86" s="716">
        <f t="shared" ca="1" si="21"/>
        <v>22002</v>
      </c>
      <c r="S86" s="361">
        <f t="shared" ca="1" si="23"/>
        <v>390</v>
      </c>
      <c r="T86" s="800">
        <f>面积表!G65</f>
        <v>21</v>
      </c>
    </row>
    <row r="87" spans="1:20">
      <c r="A87" s="718">
        <f>面积表!C66</f>
        <v>2602</v>
      </c>
      <c r="B87" s="718">
        <f>面积表!E66</f>
        <v>177.91</v>
      </c>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t="s">
        <v>3282</v>
      </c>
      <c r="Q87" s="24">
        <f t="shared" si="20"/>
        <v>1.04</v>
      </c>
      <c r="R87" s="716">
        <f t="shared" ca="1" si="21"/>
        <v>22002</v>
      </c>
      <c r="S87" s="361">
        <f t="shared" ca="1" si="23"/>
        <v>391</v>
      </c>
      <c r="T87" s="800">
        <f>面积表!G66</f>
        <v>22</v>
      </c>
    </row>
    <row r="88" spans="1:20">
      <c r="A88" s="718">
        <f>面积表!C67</f>
        <v>2605</v>
      </c>
      <c r="B88" s="718">
        <f>面积表!E67</f>
        <v>146.35</v>
      </c>
      <c r="C88" s="24">
        <f t="shared" si="13"/>
        <v>1.0049999999999999</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t="s">
        <v>3282</v>
      </c>
      <c r="Q88" s="24">
        <f t="shared" si="20"/>
        <v>1.04</v>
      </c>
      <c r="R88" s="716">
        <f t="shared" ca="1" si="21"/>
        <v>22112</v>
      </c>
      <c r="S88" s="361">
        <f t="shared" ca="1" si="23"/>
        <v>324</v>
      </c>
      <c r="T88" s="800">
        <f>面积表!G67</f>
        <v>22</v>
      </c>
    </row>
    <row r="89" spans="1:20">
      <c r="A89" s="718">
        <f>面积表!C68</f>
        <v>2701</v>
      </c>
      <c r="B89" s="718">
        <f>面积表!E68</f>
        <v>400.84</v>
      </c>
      <c r="C89" s="24">
        <f t="shared" si="13"/>
        <v>0.98</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t="s">
        <v>3282</v>
      </c>
      <c r="Q89" s="24">
        <f t="shared" si="20"/>
        <v>1.04</v>
      </c>
      <c r="R89" s="716">
        <f t="shared" ca="1" si="21"/>
        <v>21562</v>
      </c>
      <c r="S89" s="361">
        <f t="shared" ca="1" si="23"/>
        <v>864</v>
      </c>
      <c r="T89" s="800">
        <f>面积表!G68</f>
        <v>23</v>
      </c>
    </row>
    <row r="90" spans="1:20">
      <c r="A90" s="718">
        <f>面积表!C69</f>
        <v>201</v>
      </c>
      <c r="B90" s="718">
        <f>面积表!E69</f>
        <v>145.71</v>
      </c>
      <c r="C90" s="24">
        <f t="shared" ref="C90:C153" si="24">IF(B90="",1,(LOOKUP(B90,$3:$3,$4:$4)-LOOKUP($B$24,$3:$3,$4:$4)+100)/100)</f>
        <v>1.0049999999999999</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t="s">
        <v>3278</v>
      </c>
      <c r="Q90" s="24">
        <f t="shared" ref="Q90:Q153" si="31">(SUMIF($17:$17,P90,$18:$18)-SUMIF($17:$17,$P$24,$18:$18)+100)/100</f>
        <v>1</v>
      </c>
      <c r="R90" s="716">
        <f t="shared" ref="R90:R153" ca="1" si="32">IF(B90="",0,ROUND($R$24*C90*E90*G90*I90*K90*M90*O90*Q90,0))</f>
        <v>21262</v>
      </c>
      <c r="S90" s="361">
        <f t="shared" ca="1" si="23"/>
        <v>310</v>
      </c>
      <c r="T90" s="800">
        <f>面积表!G69</f>
        <v>2</v>
      </c>
    </row>
    <row r="91" spans="1:20">
      <c r="A91" s="718">
        <f>面积表!C70</f>
        <v>202</v>
      </c>
      <c r="B91" s="718">
        <f>面积表!E70</f>
        <v>121.44</v>
      </c>
      <c r="C91" s="24">
        <f t="shared" si="24"/>
        <v>1.0049999999999999</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t="s">
        <v>3278</v>
      </c>
      <c r="Q91" s="24">
        <f t="shared" si="31"/>
        <v>1</v>
      </c>
      <c r="R91" s="716">
        <f t="shared" ca="1" si="32"/>
        <v>21262</v>
      </c>
      <c r="S91" s="361">
        <f t="shared" ca="1" si="23"/>
        <v>258</v>
      </c>
      <c r="T91" s="800">
        <f>面积表!G70</f>
        <v>2</v>
      </c>
    </row>
    <row r="92" spans="1:20">
      <c r="A92" s="718">
        <f>面积表!C71</f>
        <v>203</v>
      </c>
      <c r="B92" s="718">
        <f>面积表!E71</f>
        <v>177.57</v>
      </c>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t="s">
        <v>3278</v>
      </c>
      <c r="Q92" s="24">
        <f t="shared" si="31"/>
        <v>1</v>
      </c>
      <c r="R92" s="716">
        <f t="shared" ca="1" si="32"/>
        <v>21156</v>
      </c>
      <c r="S92" s="361">
        <f t="shared" ca="1" si="23"/>
        <v>376</v>
      </c>
      <c r="T92" s="800">
        <f>面积表!G71</f>
        <v>2</v>
      </c>
    </row>
    <row r="93" spans="1:20">
      <c r="A93" s="718">
        <f>面积表!C72</f>
        <v>205</v>
      </c>
      <c r="B93" s="718">
        <f>面积表!E72</f>
        <v>177.57</v>
      </c>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t="s">
        <v>3278</v>
      </c>
      <c r="Q93" s="24">
        <f t="shared" si="31"/>
        <v>1</v>
      </c>
      <c r="R93" s="716">
        <f t="shared" ca="1" si="32"/>
        <v>21156</v>
      </c>
      <c r="S93" s="361">
        <f t="shared" ca="1" si="23"/>
        <v>376</v>
      </c>
      <c r="T93" s="800">
        <f>面积表!G72</f>
        <v>2</v>
      </c>
    </row>
    <row r="94" spans="1:20">
      <c r="A94" s="718">
        <f>面积表!C73</f>
        <v>207</v>
      </c>
      <c r="B94" s="718">
        <f>面积表!E73</f>
        <v>145.71</v>
      </c>
      <c r="C94" s="24">
        <f t="shared" si="24"/>
        <v>1.0049999999999999</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t="s">
        <v>3278</v>
      </c>
      <c r="Q94" s="24">
        <f t="shared" si="31"/>
        <v>1</v>
      </c>
      <c r="R94" s="716">
        <f t="shared" ca="1" si="32"/>
        <v>21262</v>
      </c>
      <c r="S94" s="361">
        <f t="shared" ca="1" si="23"/>
        <v>310</v>
      </c>
      <c r="T94" s="800">
        <f>面积表!G73</f>
        <v>2</v>
      </c>
    </row>
    <row r="95" spans="1:20">
      <c r="A95" s="718">
        <f>面积表!C74</f>
        <v>301</v>
      </c>
      <c r="B95" s="718">
        <f>面积表!E74</f>
        <v>145.71</v>
      </c>
      <c r="C95" s="24">
        <f t="shared" si="24"/>
        <v>1.0049999999999999</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t="s">
        <v>3278</v>
      </c>
      <c r="Q95" s="24">
        <f t="shared" si="31"/>
        <v>1</v>
      </c>
      <c r="R95" s="716">
        <f t="shared" ca="1" si="32"/>
        <v>21262</v>
      </c>
      <c r="S95" s="361">
        <f t="shared" ca="1" si="23"/>
        <v>310</v>
      </c>
      <c r="T95" s="800">
        <f>面积表!G74</f>
        <v>3</v>
      </c>
    </row>
    <row r="96" spans="1:20">
      <c r="A96" s="718">
        <f>面积表!C75</f>
        <v>702</v>
      </c>
      <c r="B96" s="718">
        <f>面积表!E75</f>
        <v>122.93</v>
      </c>
      <c r="C96" s="24">
        <f t="shared" si="24"/>
        <v>1.0049999999999999</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t="s">
        <v>3278</v>
      </c>
      <c r="Q96" s="24">
        <f t="shared" si="31"/>
        <v>1</v>
      </c>
      <c r="R96" s="716">
        <f t="shared" ca="1" si="32"/>
        <v>21262</v>
      </c>
      <c r="S96" s="361">
        <f t="shared" ca="1" si="23"/>
        <v>261</v>
      </c>
      <c r="T96" s="800">
        <f>面积表!G75</f>
        <v>6</v>
      </c>
    </row>
    <row r="97" spans="1:20">
      <c r="A97" s="718">
        <f>面积表!C76</f>
        <v>1101</v>
      </c>
      <c r="B97" s="718">
        <f>面积表!E76</f>
        <v>145.71</v>
      </c>
      <c r="C97" s="24">
        <f t="shared" si="24"/>
        <v>1.0049999999999999</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t="s">
        <v>3280</v>
      </c>
      <c r="Q97" s="24">
        <f t="shared" si="31"/>
        <v>1.02</v>
      </c>
      <c r="R97" s="716">
        <f t="shared" ca="1" si="32"/>
        <v>21687</v>
      </c>
      <c r="S97" s="361">
        <f t="shared" ca="1" si="23"/>
        <v>316</v>
      </c>
      <c r="T97" s="800">
        <f>面积表!G76</f>
        <v>10</v>
      </c>
    </row>
    <row r="98" spans="1:20">
      <c r="A98" s="718">
        <f>面积表!C77</f>
        <v>1102</v>
      </c>
      <c r="B98" s="718">
        <f>面积表!E77</f>
        <v>122.08</v>
      </c>
      <c r="C98" s="24">
        <f t="shared" si="24"/>
        <v>1.0049999999999999</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t="s">
        <v>3280</v>
      </c>
      <c r="Q98" s="24">
        <f t="shared" si="31"/>
        <v>1.02</v>
      </c>
      <c r="R98" s="716">
        <f t="shared" ca="1" si="32"/>
        <v>21687</v>
      </c>
      <c r="S98" s="361">
        <f t="shared" ca="1" si="23"/>
        <v>265</v>
      </c>
      <c r="T98" s="800">
        <f>面积表!G77</f>
        <v>10</v>
      </c>
    </row>
    <row r="99" spans="1:20">
      <c r="A99" s="718">
        <f>面积表!C78</f>
        <v>1103</v>
      </c>
      <c r="B99" s="718">
        <f>面积表!E78</f>
        <v>176.85</v>
      </c>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t="s">
        <v>3280</v>
      </c>
      <c r="Q99" s="24">
        <f t="shared" si="31"/>
        <v>1.02</v>
      </c>
      <c r="R99" s="716">
        <f t="shared" ca="1" si="32"/>
        <v>21579</v>
      </c>
      <c r="S99" s="361">
        <f t="shared" ca="1" si="23"/>
        <v>382</v>
      </c>
      <c r="T99" s="800">
        <f>面积表!G78</f>
        <v>10</v>
      </c>
    </row>
    <row r="100" spans="1:20">
      <c r="A100" s="718">
        <f>面积表!C79</f>
        <v>2006</v>
      </c>
      <c r="B100" s="718">
        <f>面积表!E79</f>
        <v>122.13</v>
      </c>
      <c r="C100" s="24">
        <f t="shared" si="24"/>
        <v>1.0049999999999999</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t="s">
        <v>3282</v>
      </c>
      <c r="Q100" s="24">
        <f t="shared" si="31"/>
        <v>1.04</v>
      </c>
      <c r="R100" s="716">
        <f t="shared" ca="1" si="32"/>
        <v>22112</v>
      </c>
      <c r="S100" s="361">
        <f t="shared" ca="1" si="23"/>
        <v>270</v>
      </c>
      <c r="T100" s="800">
        <f>面积表!G79</f>
        <v>17</v>
      </c>
    </row>
    <row r="101" spans="1:20">
      <c r="A101" s="718">
        <f>面积表!C80</f>
        <v>201</v>
      </c>
      <c r="B101" s="718">
        <f>面积表!E80</f>
        <v>145.71</v>
      </c>
      <c r="C101" s="24">
        <f t="shared" si="24"/>
        <v>1.0049999999999999</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t="s">
        <v>3278</v>
      </c>
      <c r="Q101" s="24">
        <f t="shared" si="31"/>
        <v>1</v>
      </c>
      <c r="R101" s="716">
        <f t="shared" ca="1" si="32"/>
        <v>21262</v>
      </c>
      <c r="S101" s="361">
        <f t="shared" ca="1" si="23"/>
        <v>310</v>
      </c>
      <c r="T101" s="800">
        <f>面积表!G80</f>
        <v>2</v>
      </c>
    </row>
    <row r="102" spans="1:20">
      <c r="A102" s="718">
        <f>面积表!C81</f>
        <v>203</v>
      </c>
      <c r="B102" s="718">
        <f>面积表!E81</f>
        <v>177.57</v>
      </c>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t="s">
        <v>3278</v>
      </c>
      <c r="Q102" s="24">
        <f t="shared" si="31"/>
        <v>1</v>
      </c>
      <c r="R102" s="716">
        <f t="shared" ca="1" si="32"/>
        <v>21156</v>
      </c>
      <c r="S102" s="361">
        <f t="shared" ca="1" si="23"/>
        <v>376</v>
      </c>
      <c r="T102" s="800">
        <f>面积表!G81</f>
        <v>2</v>
      </c>
    </row>
    <row r="103" spans="1:20">
      <c r="A103" s="718">
        <f>面积表!C82</f>
        <v>205</v>
      </c>
      <c r="B103" s="718">
        <f>面积表!E82</f>
        <v>177.57</v>
      </c>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t="s">
        <v>3278</v>
      </c>
      <c r="Q103" s="24">
        <f t="shared" si="31"/>
        <v>1</v>
      </c>
      <c r="R103" s="716">
        <f t="shared" ca="1" si="32"/>
        <v>21156</v>
      </c>
      <c r="S103" s="361">
        <f t="shared" ca="1" si="23"/>
        <v>376</v>
      </c>
      <c r="T103" s="800">
        <f>面积表!G82</f>
        <v>2</v>
      </c>
    </row>
    <row r="104" spans="1:20">
      <c r="A104" s="718">
        <f>面积表!C83</f>
        <v>207</v>
      </c>
      <c r="B104" s="718">
        <f>面积表!E83</f>
        <v>145.71</v>
      </c>
      <c r="C104" s="24">
        <f t="shared" si="24"/>
        <v>1.0049999999999999</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t="s">
        <v>3278</v>
      </c>
      <c r="Q104" s="24">
        <f t="shared" si="31"/>
        <v>1</v>
      </c>
      <c r="R104" s="716">
        <f t="shared" ca="1" si="32"/>
        <v>21262</v>
      </c>
      <c r="S104" s="361">
        <f t="shared" ca="1" si="23"/>
        <v>310</v>
      </c>
      <c r="T104" s="800">
        <f>面积表!G83</f>
        <v>2</v>
      </c>
    </row>
    <row r="105" spans="1:20">
      <c r="A105" s="718">
        <f>面积表!C84</f>
        <v>303</v>
      </c>
      <c r="B105" s="718">
        <f>面积表!E84</f>
        <v>177.4</v>
      </c>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t="s">
        <v>3278</v>
      </c>
      <c r="Q105" s="24">
        <f t="shared" si="31"/>
        <v>1</v>
      </c>
      <c r="R105" s="716">
        <f t="shared" ca="1" si="32"/>
        <v>21156</v>
      </c>
      <c r="S105" s="361">
        <f t="shared" ca="1" si="23"/>
        <v>375</v>
      </c>
      <c r="T105" s="800">
        <f>面积表!G84</f>
        <v>3</v>
      </c>
    </row>
    <row r="106" spans="1:20">
      <c r="A106" s="718">
        <f>面积表!C85</f>
        <v>305</v>
      </c>
      <c r="B106" s="718">
        <f>面积表!E85</f>
        <v>177.4</v>
      </c>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t="s">
        <v>3278</v>
      </c>
      <c r="Q106" s="24">
        <f t="shared" si="31"/>
        <v>1</v>
      </c>
      <c r="R106" s="716">
        <f t="shared" ca="1" si="32"/>
        <v>21156</v>
      </c>
      <c r="S106" s="361">
        <f t="shared" ca="1" si="23"/>
        <v>375</v>
      </c>
      <c r="T106" s="800">
        <f>面积表!G85</f>
        <v>3</v>
      </c>
    </row>
    <row r="107" spans="1:20">
      <c r="A107" s="718">
        <f>面积表!C86</f>
        <v>707</v>
      </c>
      <c r="B107" s="718">
        <f>面积表!E86</f>
        <v>145.71</v>
      </c>
      <c r="C107" s="24">
        <f t="shared" si="24"/>
        <v>1.0049999999999999</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t="s">
        <v>3278</v>
      </c>
      <c r="Q107" s="24">
        <f t="shared" si="31"/>
        <v>1</v>
      </c>
      <c r="R107" s="716">
        <f t="shared" ca="1" si="32"/>
        <v>21262</v>
      </c>
      <c r="S107" s="361">
        <f t="shared" ca="1" si="23"/>
        <v>310</v>
      </c>
      <c r="T107" s="800">
        <f>面积表!G86</f>
        <v>6</v>
      </c>
    </row>
    <row r="108" spans="1:20">
      <c r="A108" s="718">
        <f>面积表!C87</f>
        <v>2501</v>
      </c>
      <c r="B108" s="718">
        <f>面积表!E87</f>
        <v>145.71</v>
      </c>
      <c r="C108" s="24">
        <f t="shared" si="24"/>
        <v>1.0049999999999999</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t="s">
        <v>3282</v>
      </c>
      <c r="Q108" s="24">
        <f t="shared" si="31"/>
        <v>1.04</v>
      </c>
      <c r="R108" s="716">
        <f t="shared" ca="1" si="32"/>
        <v>22112</v>
      </c>
      <c r="S108" s="361">
        <f t="shared" ca="1" si="23"/>
        <v>322</v>
      </c>
      <c r="T108" s="800">
        <f>面积表!G87</f>
        <v>21</v>
      </c>
    </row>
    <row r="109" spans="1:20">
      <c r="A109" s="718">
        <f>面积表!C88</f>
        <v>2502</v>
      </c>
      <c r="B109" s="718">
        <f>面积表!E88</f>
        <v>121.44</v>
      </c>
      <c r="C109" s="24">
        <f t="shared" si="24"/>
        <v>1.0049999999999999</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t="s">
        <v>3282</v>
      </c>
      <c r="Q109" s="24">
        <f t="shared" si="31"/>
        <v>1.04</v>
      </c>
      <c r="R109" s="716">
        <f t="shared" ca="1" si="32"/>
        <v>22112</v>
      </c>
      <c r="S109" s="361">
        <f t="shared" ca="1" si="23"/>
        <v>269</v>
      </c>
      <c r="T109" s="800">
        <f>面积表!G88</f>
        <v>21</v>
      </c>
    </row>
    <row r="110" spans="1:20">
      <c r="A110" s="718">
        <f>面积表!C89</f>
        <v>2503</v>
      </c>
      <c r="B110" s="718">
        <f>面积表!E89</f>
        <v>178.8</v>
      </c>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t="s">
        <v>3282</v>
      </c>
      <c r="Q110" s="24">
        <f t="shared" si="31"/>
        <v>1.04</v>
      </c>
      <c r="R110" s="716">
        <f t="shared" ca="1" si="32"/>
        <v>22002</v>
      </c>
      <c r="S110" s="361">
        <f t="shared" ca="1" si="23"/>
        <v>393</v>
      </c>
      <c r="T110" s="800">
        <f>面积表!G89</f>
        <v>21</v>
      </c>
    </row>
    <row r="111" spans="1:20">
      <c r="A111" s="718">
        <f>面积表!C90</f>
        <v>2602</v>
      </c>
      <c r="B111" s="718">
        <f>面积表!E90</f>
        <v>398.12</v>
      </c>
      <c r="C111" s="24">
        <f t="shared" si="24"/>
        <v>0.98</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t="s">
        <v>3282</v>
      </c>
      <c r="Q111" s="24">
        <f t="shared" si="31"/>
        <v>1.04</v>
      </c>
      <c r="R111" s="716">
        <f t="shared" ca="1" si="32"/>
        <v>21562</v>
      </c>
      <c r="S111" s="361">
        <f t="shared" ca="1" si="23"/>
        <v>858</v>
      </c>
      <c r="T111" s="800">
        <f>面积表!G90</f>
        <v>22</v>
      </c>
    </row>
    <row r="112" spans="1:20">
      <c r="A112" s="718">
        <f>面积表!C91</f>
        <v>201</v>
      </c>
      <c r="B112" s="718">
        <f>面积表!E91</f>
        <v>145.44999999999999</v>
      </c>
      <c r="C112" s="24">
        <f t="shared" si="24"/>
        <v>1.0049999999999999</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t="s">
        <v>3278</v>
      </c>
      <c r="Q112" s="24">
        <f t="shared" si="31"/>
        <v>1</v>
      </c>
      <c r="R112" s="716">
        <f t="shared" ca="1" si="32"/>
        <v>21262</v>
      </c>
      <c r="S112" s="361">
        <f t="shared" ca="1" si="23"/>
        <v>309</v>
      </c>
      <c r="T112" s="800">
        <f>面积表!G91</f>
        <v>2</v>
      </c>
    </row>
    <row r="113" spans="1:20">
      <c r="A113" s="718">
        <f>面积表!C92</f>
        <v>202</v>
      </c>
      <c r="B113" s="718">
        <f>面积表!E92</f>
        <v>176.46</v>
      </c>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t="s">
        <v>3278</v>
      </c>
      <c r="Q113" s="24">
        <f t="shared" si="31"/>
        <v>1</v>
      </c>
      <c r="R113" s="716">
        <f t="shared" ca="1" si="32"/>
        <v>21156</v>
      </c>
      <c r="S113" s="361">
        <f t="shared" ca="1" si="23"/>
        <v>373</v>
      </c>
      <c r="T113" s="800">
        <f>面积表!G92</f>
        <v>2</v>
      </c>
    </row>
    <row r="114" spans="1:20">
      <c r="A114" s="718">
        <f>面积表!C93</f>
        <v>203</v>
      </c>
      <c r="B114" s="718">
        <f>面积表!E93</f>
        <v>176.46</v>
      </c>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t="s">
        <v>3278</v>
      </c>
      <c r="Q114" s="24">
        <f t="shared" si="31"/>
        <v>1</v>
      </c>
      <c r="R114" s="716">
        <f t="shared" ca="1" si="32"/>
        <v>21156</v>
      </c>
      <c r="S114" s="361">
        <f t="shared" ca="1" si="23"/>
        <v>373</v>
      </c>
      <c r="T114" s="800">
        <f>面积表!G93</f>
        <v>2</v>
      </c>
    </row>
    <row r="115" spans="1:20">
      <c r="A115" s="718">
        <f>面积表!C94</f>
        <v>205</v>
      </c>
      <c r="B115" s="718">
        <f>面积表!E94</f>
        <v>145.79</v>
      </c>
      <c r="C115" s="24">
        <f t="shared" si="24"/>
        <v>1.0049999999999999</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t="s">
        <v>3278</v>
      </c>
      <c r="Q115" s="24">
        <f t="shared" si="31"/>
        <v>1</v>
      </c>
      <c r="R115" s="716">
        <f t="shared" ca="1" si="32"/>
        <v>21262</v>
      </c>
      <c r="S115" s="361">
        <f t="shared" ca="1" si="23"/>
        <v>310</v>
      </c>
      <c r="T115" s="800">
        <f>面积表!G94</f>
        <v>2</v>
      </c>
    </row>
    <row r="116" spans="1:20">
      <c r="A116" s="718">
        <f>面积表!C95</f>
        <v>301</v>
      </c>
      <c r="B116" s="718">
        <f>面积表!E95</f>
        <v>146.32</v>
      </c>
      <c r="C116" s="24">
        <f t="shared" si="24"/>
        <v>1.0049999999999999</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t="s">
        <v>3278</v>
      </c>
      <c r="Q116" s="24">
        <f t="shared" si="31"/>
        <v>1</v>
      </c>
      <c r="R116" s="716">
        <f t="shared" ca="1" si="32"/>
        <v>21262</v>
      </c>
      <c r="S116" s="361">
        <f t="shared" ca="1" si="23"/>
        <v>311</v>
      </c>
      <c r="T116" s="800">
        <f>面积表!G95</f>
        <v>3</v>
      </c>
    </row>
    <row r="117" spans="1:20">
      <c r="A117" s="718">
        <f>面积表!C96</f>
        <v>302</v>
      </c>
      <c r="B117" s="718">
        <f>面积表!E96</f>
        <v>176.29</v>
      </c>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t="s">
        <v>3278</v>
      </c>
      <c r="Q117" s="24">
        <f t="shared" si="31"/>
        <v>1</v>
      </c>
      <c r="R117" s="716">
        <f t="shared" ca="1" si="32"/>
        <v>21156</v>
      </c>
      <c r="S117" s="361">
        <f t="shared" ca="1" si="23"/>
        <v>373</v>
      </c>
      <c r="T117" s="800">
        <f>面积表!G96</f>
        <v>3</v>
      </c>
    </row>
    <row r="118" spans="1:20">
      <c r="A118" s="718">
        <f>面积表!C97</f>
        <v>303</v>
      </c>
      <c r="B118" s="718">
        <f>面积表!E97</f>
        <v>176.29</v>
      </c>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t="s">
        <v>3278</v>
      </c>
      <c r="Q118" s="24">
        <f t="shared" si="31"/>
        <v>1</v>
      </c>
      <c r="R118" s="716">
        <f t="shared" ca="1" si="32"/>
        <v>21156</v>
      </c>
      <c r="S118" s="361">
        <f t="shared" ca="1" si="23"/>
        <v>373</v>
      </c>
      <c r="T118" s="800">
        <f>面积表!G97</f>
        <v>3</v>
      </c>
    </row>
    <row r="119" spans="1:20">
      <c r="A119" s="718">
        <f>面积表!C98</f>
        <v>503</v>
      </c>
      <c r="B119" s="718">
        <f>面积表!E98</f>
        <v>176.15</v>
      </c>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t="s">
        <v>3278</v>
      </c>
      <c r="Q119" s="24">
        <f t="shared" si="31"/>
        <v>1</v>
      </c>
      <c r="R119" s="716">
        <f t="shared" ca="1" si="32"/>
        <v>21156</v>
      </c>
      <c r="S119" s="361">
        <f t="shared" ca="1" si="23"/>
        <v>373</v>
      </c>
      <c r="T119" s="800">
        <f>面积表!G98</f>
        <v>4</v>
      </c>
    </row>
    <row r="120" spans="1:20">
      <c r="A120" s="718">
        <f>面积表!C99</f>
        <v>701</v>
      </c>
      <c r="B120" s="718">
        <f>面积表!E99</f>
        <v>147.49</v>
      </c>
      <c r="C120" s="24">
        <f t="shared" si="24"/>
        <v>1.0049999999999999</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t="s">
        <v>3278</v>
      </c>
      <c r="Q120" s="24">
        <f t="shared" si="31"/>
        <v>1</v>
      </c>
      <c r="R120" s="716">
        <f t="shared" ca="1" si="32"/>
        <v>21262</v>
      </c>
      <c r="S120" s="361">
        <f t="shared" ca="1" si="23"/>
        <v>314</v>
      </c>
      <c r="T120" s="800">
        <f>面积表!G99</f>
        <v>6</v>
      </c>
    </row>
    <row r="121" spans="1:20">
      <c r="A121" s="718">
        <f>面积表!C100</f>
        <v>703</v>
      </c>
      <c r="B121" s="718">
        <f>面积表!E100</f>
        <v>175.93</v>
      </c>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t="s">
        <v>3278</v>
      </c>
      <c r="Q121" s="24">
        <f t="shared" si="31"/>
        <v>1</v>
      </c>
      <c r="R121" s="716">
        <f t="shared" ca="1" si="32"/>
        <v>21156</v>
      </c>
      <c r="S121" s="361">
        <f t="shared" ca="1" si="23"/>
        <v>372</v>
      </c>
      <c r="T121" s="800">
        <f>面积表!G100</f>
        <v>6</v>
      </c>
    </row>
    <row r="122" spans="1:20">
      <c r="A122" s="718">
        <f>面积表!C101</f>
        <v>802</v>
      </c>
      <c r="B122" s="718">
        <f>面积表!E101</f>
        <v>175.84</v>
      </c>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t="s">
        <v>3278</v>
      </c>
      <c r="Q122" s="24">
        <f t="shared" si="31"/>
        <v>1</v>
      </c>
      <c r="R122" s="716">
        <f t="shared" ca="1" si="32"/>
        <v>21156</v>
      </c>
      <c r="S122" s="361">
        <f t="shared" ca="1" si="23"/>
        <v>372</v>
      </c>
      <c r="T122" s="800">
        <f>面积表!G101</f>
        <v>7</v>
      </c>
    </row>
    <row r="123" spans="1:20">
      <c r="A123" s="718">
        <f>面积表!C102</f>
        <v>803</v>
      </c>
      <c r="B123" s="718">
        <f>面积表!E102</f>
        <v>175.84</v>
      </c>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t="s">
        <v>3278</v>
      </c>
      <c r="Q123" s="24">
        <f t="shared" si="31"/>
        <v>1</v>
      </c>
      <c r="R123" s="716">
        <f t="shared" ca="1" si="32"/>
        <v>21156</v>
      </c>
      <c r="S123" s="361">
        <f t="shared" ref="S123:S186" ca="1" si="33">ROUND(R123*B123/10000,0)</f>
        <v>372</v>
      </c>
      <c r="T123" s="800">
        <f>面积表!G102</f>
        <v>7</v>
      </c>
    </row>
    <row r="124" spans="1:20">
      <c r="A124" s="718">
        <f>面积表!C103</f>
        <v>1001</v>
      </c>
      <c r="B124" s="718">
        <f>面积表!E103</f>
        <v>146.94999999999999</v>
      </c>
      <c r="C124" s="24">
        <f t="shared" si="24"/>
        <v>1.0049999999999999</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t="s">
        <v>3280</v>
      </c>
      <c r="Q124" s="24">
        <f t="shared" si="31"/>
        <v>1.02</v>
      </c>
      <c r="R124" s="716">
        <f t="shared" ca="1" si="32"/>
        <v>21687</v>
      </c>
      <c r="S124" s="361">
        <f t="shared" ca="1" si="33"/>
        <v>319</v>
      </c>
      <c r="T124" s="800">
        <f>面积表!G103</f>
        <v>9</v>
      </c>
    </row>
    <row r="125" spans="1:20">
      <c r="A125" s="718">
        <f>面积表!C104</f>
        <v>1102</v>
      </c>
      <c r="B125" s="718">
        <f>面积表!E104</f>
        <v>175.75</v>
      </c>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t="s">
        <v>3280</v>
      </c>
      <c r="Q125" s="24">
        <f t="shared" si="31"/>
        <v>1.02</v>
      </c>
      <c r="R125" s="716">
        <f t="shared" ca="1" si="32"/>
        <v>21579</v>
      </c>
      <c r="S125" s="361">
        <f t="shared" ca="1" si="33"/>
        <v>379</v>
      </c>
      <c r="T125" s="800">
        <f>面积表!G104</f>
        <v>9</v>
      </c>
    </row>
    <row r="126" spans="1:20">
      <c r="A126" s="718">
        <f>面积表!C105</f>
        <v>1202</v>
      </c>
      <c r="B126" s="718">
        <f>面积表!E105</f>
        <v>175.75</v>
      </c>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t="s">
        <v>3280</v>
      </c>
      <c r="Q126" s="24">
        <f t="shared" si="31"/>
        <v>1.02</v>
      </c>
      <c r="R126" s="716">
        <f t="shared" ca="1" si="32"/>
        <v>21579</v>
      </c>
      <c r="S126" s="361">
        <f t="shared" ca="1" si="33"/>
        <v>379</v>
      </c>
      <c r="T126" s="800">
        <f>面积表!G105</f>
        <v>10</v>
      </c>
    </row>
    <row r="127" spans="1:20">
      <c r="A127" s="718">
        <f>面积表!C106</f>
        <v>1501</v>
      </c>
      <c r="B127" s="718">
        <f>面积表!E106</f>
        <v>146.71</v>
      </c>
      <c r="C127" s="24">
        <f t="shared" si="24"/>
        <v>1.0049999999999999</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t="s">
        <v>3280</v>
      </c>
      <c r="Q127" s="24">
        <f t="shared" si="31"/>
        <v>1.02</v>
      </c>
      <c r="R127" s="716">
        <f t="shared" ca="1" si="32"/>
        <v>21687</v>
      </c>
      <c r="S127" s="361">
        <f t="shared" ca="1" si="33"/>
        <v>318</v>
      </c>
      <c r="T127" s="800">
        <f>面积表!G106</f>
        <v>12</v>
      </c>
    </row>
    <row r="128" spans="1:20">
      <c r="A128" s="718">
        <f>面积表!C107</f>
        <v>1503</v>
      </c>
      <c r="B128" s="718">
        <f>面积表!E107</f>
        <v>175.77</v>
      </c>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t="s">
        <v>3280</v>
      </c>
      <c r="Q128" s="24">
        <f t="shared" si="31"/>
        <v>1.02</v>
      </c>
      <c r="R128" s="716">
        <f t="shared" ca="1" si="32"/>
        <v>21579</v>
      </c>
      <c r="S128" s="361">
        <f t="shared" ca="1" si="33"/>
        <v>379</v>
      </c>
      <c r="T128" s="800">
        <f>面积表!G107</f>
        <v>12</v>
      </c>
    </row>
    <row r="129" spans="1:20">
      <c r="A129" s="718">
        <f>面积表!C108</f>
        <v>1603</v>
      </c>
      <c r="B129" s="718">
        <f>面积表!E108</f>
        <v>175.81</v>
      </c>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t="s">
        <v>3280</v>
      </c>
      <c r="Q129" s="24">
        <f t="shared" si="31"/>
        <v>1.02</v>
      </c>
      <c r="R129" s="716">
        <f t="shared" ca="1" si="32"/>
        <v>21579</v>
      </c>
      <c r="S129" s="361">
        <f t="shared" ca="1" si="33"/>
        <v>379</v>
      </c>
      <c r="T129" s="800">
        <f>面积表!G108</f>
        <v>13</v>
      </c>
    </row>
    <row r="130" spans="1:20">
      <c r="A130" s="718">
        <f>面积表!C109</f>
        <v>1703</v>
      </c>
      <c r="B130" s="718">
        <f>面积表!E109</f>
        <v>175.87</v>
      </c>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t="s">
        <v>3280</v>
      </c>
      <c r="Q130" s="24">
        <f t="shared" si="31"/>
        <v>1.02</v>
      </c>
      <c r="R130" s="716">
        <f t="shared" ca="1" si="32"/>
        <v>21579</v>
      </c>
      <c r="S130" s="361">
        <f t="shared" ca="1" si="33"/>
        <v>380</v>
      </c>
      <c r="T130" s="800">
        <f>面积表!G109</f>
        <v>14</v>
      </c>
    </row>
    <row r="131" spans="1:20">
      <c r="A131" s="718">
        <f>面积表!C110</f>
        <v>1803</v>
      </c>
      <c r="B131" s="718">
        <f>面积表!E110</f>
        <v>175.95</v>
      </c>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t="s">
        <v>3280</v>
      </c>
      <c r="Q131" s="24">
        <f t="shared" si="31"/>
        <v>1.02</v>
      </c>
      <c r="R131" s="716">
        <f t="shared" ca="1" si="32"/>
        <v>21579</v>
      </c>
      <c r="S131" s="361">
        <f t="shared" ca="1" si="33"/>
        <v>380</v>
      </c>
      <c r="T131" s="800">
        <f>面积表!G110</f>
        <v>15</v>
      </c>
    </row>
    <row r="132" spans="1:20">
      <c r="A132" s="718">
        <f>面积表!C111</f>
        <v>2103</v>
      </c>
      <c r="B132" s="718">
        <f>面积表!E111</f>
        <v>176.56</v>
      </c>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t="s">
        <v>3282</v>
      </c>
      <c r="Q132" s="24">
        <f t="shared" si="31"/>
        <v>1.04</v>
      </c>
      <c r="R132" s="716">
        <f t="shared" ca="1" si="32"/>
        <v>22002</v>
      </c>
      <c r="S132" s="361">
        <f t="shared" ca="1" si="33"/>
        <v>388</v>
      </c>
      <c r="T132" s="800">
        <f>面积表!G111</f>
        <v>18</v>
      </c>
    </row>
    <row r="133" spans="1:20">
      <c r="A133" s="718">
        <f>面积表!C112</f>
        <v>2303</v>
      </c>
      <c r="B133" s="718">
        <f>面积表!E112</f>
        <v>177.19</v>
      </c>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t="s">
        <v>3282</v>
      </c>
      <c r="Q133" s="24">
        <f t="shared" si="31"/>
        <v>1.04</v>
      </c>
      <c r="R133" s="716">
        <f t="shared" ca="1" si="32"/>
        <v>22002</v>
      </c>
      <c r="S133" s="361">
        <f t="shared" ca="1" si="33"/>
        <v>390</v>
      </c>
      <c r="T133" s="800">
        <f>面积表!G112</f>
        <v>20</v>
      </c>
    </row>
    <row r="134" spans="1:20">
      <c r="A134" s="718">
        <f>面积表!C113</f>
        <v>2502</v>
      </c>
      <c r="B134" s="718">
        <f>面积表!E113</f>
        <v>177.69</v>
      </c>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t="s">
        <v>3282</v>
      </c>
      <c r="Q134" s="24">
        <f t="shared" si="31"/>
        <v>1.04</v>
      </c>
      <c r="R134" s="716">
        <f t="shared" ca="1" si="32"/>
        <v>22002</v>
      </c>
      <c r="S134" s="361">
        <f t="shared" ca="1" si="33"/>
        <v>391</v>
      </c>
      <c r="T134" s="800">
        <f>面积表!G113</f>
        <v>21</v>
      </c>
    </row>
    <row r="135" spans="1:20">
      <c r="A135" s="718">
        <f>面积表!C114</f>
        <v>2601</v>
      </c>
      <c r="B135" s="718">
        <f>面积表!E114</f>
        <v>406.38</v>
      </c>
      <c r="C135" s="24">
        <f t="shared" si="24"/>
        <v>0.98</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t="s">
        <v>3282</v>
      </c>
      <c r="Q135" s="24">
        <f t="shared" si="31"/>
        <v>1.04</v>
      </c>
      <c r="R135" s="716">
        <f t="shared" ca="1" si="32"/>
        <v>21562</v>
      </c>
      <c r="S135" s="361">
        <f t="shared" ca="1" si="33"/>
        <v>876</v>
      </c>
      <c r="T135" s="800">
        <f>面积表!G114</f>
        <v>22</v>
      </c>
    </row>
    <row r="136" spans="1:20">
      <c r="A136" s="718">
        <f>面积表!C115</f>
        <v>2602</v>
      </c>
      <c r="B136" s="718">
        <f>面积表!E115</f>
        <v>395.56</v>
      </c>
      <c r="C136" s="24">
        <f t="shared" si="24"/>
        <v>0.98</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t="s">
        <v>3282</v>
      </c>
      <c r="Q136" s="24">
        <f t="shared" si="31"/>
        <v>1.04</v>
      </c>
      <c r="R136" s="716">
        <f t="shared" ca="1" si="32"/>
        <v>21562</v>
      </c>
      <c r="S136" s="361">
        <f t="shared" ca="1" si="33"/>
        <v>853</v>
      </c>
      <c r="T136" s="800">
        <f>面积表!G115</f>
        <v>22</v>
      </c>
    </row>
    <row r="137" spans="1:20">
      <c r="A137" s="718">
        <f>面积表!C116</f>
        <v>201</v>
      </c>
      <c r="B137" s="718">
        <f>面积表!E116</f>
        <v>145.79</v>
      </c>
      <c r="C137" s="24">
        <f t="shared" si="24"/>
        <v>1.0049999999999999</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t="s">
        <v>3278</v>
      </c>
      <c r="Q137" s="24">
        <f t="shared" si="31"/>
        <v>1</v>
      </c>
      <c r="R137" s="716">
        <f t="shared" ca="1" si="32"/>
        <v>21262</v>
      </c>
      <c r="S137" s="361">
        <f t="shared" ca="1" si="33"/>
        <v>310</v>
      </c>
      <c r="T137" s="800">
        <f>面积表!G116</f>
        <v>2</v>
      </c>
    </row>
    <row r="138" spans="1:20">
      <c r="A138" s="718">
        <f>面积表!C117</f>
        <v>202</v>
      </c>
      <c r="B138" s="718">
        <f>面积表!E117</f>
        <v>176.46</v>
      </c>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t="s">
        <v>3278</v>
      </c>
      <c r="Q138" s="24">
        <f t="shared" si="31"/>
        <v>1</v>
      </c>
      <c r="R138" s="716">
        <f t="shared" ca="1" si="32"/>
        <v>21156</v>
      </c>
      <c r="S138" s="361">
        <f t="shared" ca="1" si="33"/>
        <v>373</v>
      </c>
      <c r="T138" s="800">
        <f>面积表!G117</f>
        <v>2</v>
      </c>
    </row>
    <row r="139" spans="1:20">
      <c r="A139" s="718">
        <f>面积表!C118</f>
        <v>203</v>
      </c>
      <c r="B139" s="718">
        <f>面积表!E118</f>
        <v>176.46</v>
      </c>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t="s">
        <v>3278</v>
      </c>
      <c r="Q139" s="24">
        <f t="shared" si="31"/>
        <v>1</v>
      </c>
      <c r="R139" s="716">
        <f t="shared" ca="1" si="32"/>
        <v>21156</v>
      </c>
      <c r="S139" s="361">
        <f t="shared" ca="1" si="33"/>
        <v>373</v>
      </c>
      <c r="T139" s="800">
        <f>面积表!G118</f>
        <v>2</v>
      </c>
    </row>
    <row r="140" spans="1:20">
      <c r="A140" s="718">
        <f>面积表!C119</f>
        <v>205</v>
      </c>
      <c r="B140" s="718">
        <f>面积表!E119</f>
        <v>145.44999999999999</v>
      </c>
      <c r="C140" s="24">
        <f t="shared" si="24"/>
        <v>1.0049999999999999</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t="s">
        <v>3278</v>
      </c>
      <c r="Q140" s="24">
        <f t="shared" si="31"/>
        <v>1</v>
      </c>
      <c r="R140" s="716">
        <f t="shared" ca="1" si="32"/>
        <v>21262</v>
      </c>
      <c r="S140" s="361">
        <f t="shared" ca="1" si="33"/>
        <v>309</v>
      </c>
      <c r="T140" s="800">
        <f>面积表!G119</f>
        <v>2</v>
      </c>
    </row>
    <row r="141" spans="1:20">
      <c r="A141" s="718">
        <f>面积表!C120</f>
        <v>302</v>
      </c>
      <c r="B141" s="718">
        <f>面积表!E120</f>
        <v>176.29</v>
      </c>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t="s">
        <v>3278</v>
      </c>
      <c r="Q141" s="24">
        <f t="shared" si="31"/>
        <v>1</v>
      </c>
      <c r="R141" s="716">
        <f t="shared" ca="1" si="32"/>
        <v>21156</v>
      </c>
      <c r="S141" s="361">
        <f t="shared" ca="1" si="33"/>
        <v>373</v>
      </c>
      <c r="T141" s="800">
        <f>面积表!G120</f>
        <v>3</v>
      </c>
    </row>
    <row r="142" spans="1:20">
      <c r="A142" s="718">
        <f>面积表!C121</f>
        <v>303</v>
      </c>
      <c r="B142" s="718">
        <f>面积表!E121</f>
        <v>176.29</v>
      </c>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t="s">
        <v>3278</v>
      </c>
      <c r="Q142" s="24">
        <f t="shared" si="31"/>
        <v>1</v>
      </c>
      <c r="R142" s="716">
        <f t="shared" ca="1" si="32"/>
        <v>21156</v>
      </c>
      <c r="S142" s="361">
        <f t="shared" ca="1" si="33"/>
        <v>373</v>
      </c>
      <c r="T142" s="800">
        <f>面积表!G121</f>
        <v>3</v>
      </c>
    </row>
    <row r="143" spans="1:20">
      <c r="A143" s="718">
        <f>面积表!C122</f>
        <v>502</v>
      </c>
      <c r="B143" s="718">
        <f>面积表!E122</f>
        <v>176.15</v>
      </c>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t="s">
        <v>3278</v>
      </c>
      <c r="Q143" s="24">
        <f t="shared" si="31"/>
        <v>1</v>
      </c>
      <c r="R143" s="716">
        <f t="shared" ca="1" si="32"/>
        <v>21156</v>
      </c>
      <c r="S143" s="361">
        <f t="shared" ca="1" si="33"/>
        <v>373</v>
      </c>
      <c r="T143" s="800">
        <f>面积表!G122</f>
        <v>4</v>
      </c>
    </row>
    <row r="144" spans="1:20">
      <c r="A144" s="718">
        <f>面积表!C123</f>
        <v>503</v>
      </c>
      <c r="B144" s="718">
        <f>面积表!E123</f>
        <v>176.15</v>
      </c>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t="s">
        <v>3278</v>
      </c>
      <c r="Q144" s="24">
        <f t="shared" si="31"/>
        <v>1</v>
      </c>
      <c r="R144" s="716">
        <f t="shared" ca="1" si="32"/>
        <v>21156</v>
      </c>
      <c r="S144" s="361">
        <f t="shared" ca="1" si="33"/>
        <v>373</v>
      </c>
      <c r="T144" s="800">
        <f>面积表!G123</f>
        <v>4</v>
      </c>
    </row>
    <row r="145" spans="1:20">
      <c r="A145" s="718">
        <f>面积表!C124</f>
        <v>505</v>
      </c>
      <c r="B145" s="718">
        <f>面积表!E124</f>
        <v>146.32</v>
      </c>
      <c r="C145" s="24">
        <f t="shared" si="24"/>
        <v>1.0049999999999999</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t="s">
        <v>3278</v>
      </c>
      <c r="Q145" s="24">
        <f t="shared" si="31"/>
        <v>1</v>
      </c>
      <c r="R145" s="716">
        <f t="shared" ca="1" si="32"/>
        <v>21262</v>
      </c>
      <c r="S145" s="361">
        <f t="shared" ca="1" si="33"/>
        <v>311</v>
      </c>
      <c r="T145" s="800">
        <f>面积表!G124</f>
        <v>4</v>
      </c>
    </row>
    <row r="146" spans="1:20">
      <c r="A146" s="718">
        <f>面积表!C125</f>
        <v>602</v>
      </c>
      <c r="B146" s="718">
        <f>面积表!E125</f>
        <v>176.02</v>
      </c>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t="s">
        <v>3278</v>
      </c>
      <c r="Q146" s="24">
        <f t="shared" si="31"/>
        <v>1</v>
      </c>
      <c r="R146" s="716">
        <f t="shared" ca="1" si="32"/>
        <v>21156</v>
      </c>
      <c r="S146" s="361">
        <f t="shared" ca="1" si="33"/>
        <v>372</v>
      </c>
      <c r="T146" s="800">
        <f>面积表!G125</f>
        <v>5</v>
      </c>
    </row>
    <row r="147" spans="1:20">
      <c r="A147" s="718">
        <f>面积表!C126</f>
        <v>603</v>
      </c>
      <c r="B147" s="718">
        <f>面积表!E126</f>
        <v>176.02</v>
      </c>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t="s">
        <v>3278</v>
      </c>
      <c r="Q147" s="24">
        <f t="shared" si="31"/>
        <v>1</v>
      </c>
      <c r="R147" s="716">
        <f t="shared" ca="1" si="32"/>
        <v>21156</v>
      </c>
      <c r="S147" s="361">
        <f t="shared" ca="1" si="33"/>
        <v>372</v>
      </c>
      <c r="T147" s="800">
        <f>面积表!G126</f>
        <v>5</v>
      </c>
    </row>
    <row r="148" spans="1:20">
      <c r="A148" s="718">
        <f>面积表!C127</f>
        <v>702</v>
      </c>
      <c r="B148" s="718">
        <f>面积表!E127</f>
        <v>175.93</v>
      </c>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t="s">
        <v>3278</v>
      </c>
      <c r="Q148" s="24">
        <f t="shared" si="31"/>
        <v>1</v>
      </c>
      <c r="R148" s="716">
        <f t="shared" ca="1" si="32"/>
        <v>21156</v>
      </c>
      <c r="S148" s="361">
        <f t="shared" ca="1" si="33"/>
        <v>372</v>
      </c>
      <c r="T148" s="800">
        <f>面积表!G127</f>
        <v>6</v>
      </c>
    </row>
    <row r="149" spans="1:20">
      <c r="A149" s="718">
        <f>面积表!C128</f>
        <v>703</v>
      </c>
      <c r="B149" s="718">
        <f>面积表!E128</f>
        <v>175.93</v>
      </c>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t="s">
        <v>3278</v>
      </c>
      <c r="Q149" s="24">
        <f t="shared" si="31"/>
        <v>1</v>
      </c>
      <c r="R149" s="716">
        <f t="shared" ca="1" si="32"/>
        <v>21156</v>
      </c>
      <c r="S149" s="361">
        <f t="shared" ca="1" si="33"/>
        <v>372</v>
      </c>
      <c r="T149" s="800">
        <f>面积表!G128</f>
        <v>6</v>
      </c>
    </row>
    <row r="150" spans="1:20">
      <c r="A150" s="718">
        <f>面积表!C129</f>
        <v>801</v>
      </c>
      <c r="B150" s="718">
        <f>面积表!E129</f>
        <v>146.66</v>
      </c>
      <c r="C150" s="24">
        <f t="shared" si="24"/>
        <v>1.0049999999999999</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t="s">
        <v>3278</v>
      </c>
      <c r="Q150" s="24">
        <f t="shared" si="31"/>
        <v>1</v>
      </c>
      <c r="R150" s="716">
        <f t="shared" ca="1" si="32"/>
        <v>21262</v>
      </c>
      <c r="S150" s="361">
        <f t="shared" ca="1" si="33"/>
        <v>312</v>
      </c>
      <c r="T150" s="800">
        <f>面积表!G129</f>
        <v>7</v>
      </c>
    </row>
    <row r="151" spans="1:20">
      <c r="A151" s="718">
        <f>面积表!C130</f>
        <v>802</v>
      </c>
      <c r="B151" s="718">
        <f>面积表!E130</f>
        <v>175.84</v>
      </c>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t="s">
        <v>3278</v>
      </c>
      <c r="Q151" s="24">
        <f t="shared" si="31"/>
        <v>1</v>
      </c>
      <c r="R151" s="716">
        <f t="shared" ca="1" si="32"/>
        <v>21156</v>
      </c>
      <c r="S151" s="361">
        <f t="shared" ca="1" si="33"/>
        <v>372</v>
      </c>
      <c r="T151" s="800">
        <f>面积表!G130</f>
        <v>7</v>
      </c>
    </row>
    <row r="152" spans="1:20">
      <c r="A152" s="718">
        <f>面积表!C131</f>
        <v>803</v>
      </c>
      <c r="B152" s="718">
        <f>面积表!E131</f>
        <v>175.84</v>
      </c>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t="s">
        <v>3278</v>
      </c>
      <c r="Q152" s="24">
        <f t="shared" si="31"/>
        <v>1</v>
      </c>
      <c r="R152" s="716">
        <f t="shared" ca="1" si="32"/>
        <v>21156</v>
      </c>
      <c r="S152" s="361">
        <f t="shared" ca="1" si="33"/>
        <v>372</v>
      </c>
      <c r="T152" s="800">
        <f>面积表!G131</f>
        <v>7</v>
      </c>
    </row>
    <row r="153" spans="1:20">
      <c r="A153" s="718">
        <f>面积表!C132</f>
        <v>902</v>
      </c>
      <c r="B153" s="718">
        <f>面积表!E132</f>
        <v>175.79</v>
      </c>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t="s">
        <v>3278</v>
      </c>
      <c r="Q153" s="24">
        <f t="shared" si="31"/>
        <v>1</v>
      </c>
      <c r="R153" s="716">
        <f t="shared" ca="1" si="32"/>
        <v>21156</v>
      </c>
      <c r="S153" s="361">
        <f t="shared" ca="1" si="33"/>
        <v>372</v>
      </c>
      <c r="T153" s="800">
        <f>面积表!G132</f>
        <v>8</v>
      </c>
    </row>
    <row r="154" spans="1:20">
      <c r="A154" s="718">
        <f>面积表!C133</f>
        <v>903</v>
      </c>
      <c r="B154" s="718">
        <f>面积表!E133</f>
        <v>175.79</v>
      </c>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t="s">
        <v>3278</v>
      </c>
      <c r="Q154" s="24">
        <f t="shared" ref="Q154:Q217" si="41">(SUMIF($17:$17,P154,$18:$18)-SUMIF($17:$17,$P$24,$18:$18)+100)/100</f>
        <v>1</v>
      </c>
      <c r="R154" s="716">
        <f t="shared" ref="R154:R217" ca="1" si="42">IF(B154="",0,ROUND($R$24*C154*E154*G154*I154*K154*M154*O154*Q154,0))</f>
        <v>21156</v>
      </c>
      <c r="S154" s="361">
        <f t="shared" ca="1" si="33"/>
        <v>372</v>
      </c>
      <c r="T154" s="800">
        <f>面积表!G133</f>
        <v>8</v>
      </c>
    </row>
    <row r="155" spans="1:20">
      <c r="A155" s="718">
        <f>面积表!C134</f>
        <v>905</v>
      </c>
      <c r="B155" s="718">
        <f>面积表!E134</f>
        <v>147.1</v>
      </c>
      <c r="C155" s="24">
        <f t="shared" si="34"/>
        <v>1.0049999999999999</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t="s">
        <v>3278</v>
      </c>
      <c r="Q155" s="24">
        <f t="shared" si="41"/>
        <v>1</v>
      </c>
      <c r="R155" s="716">
        <f t="shared" ca="1" si="42"/>
        <v>21262</v>
      </c>
      <c r="S155" s="361">
        <f t="shared" ca="1" si="33"/>
        <v>313</v>
      </c>
      <c r="T155" s="800">
        <f>面积表!G134</f>
        <v>8</v>
      </c>
    </row>
    <row r="156" spans="1:20">
      <c r="A156" s="718">
        <f>面积表!C135</f>
        <v>1002</v>
      </c>
      <c r="B156" s="718">
        <f>面积表!E135</f>
        <v>175.76</v>
      </c>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t="s">
        <v>3280</v>
      </c>
      <c r="Q156" s="24">
        <f t="shared" si="41"/>
        <v>1.02</v>
      </c>
      <c r="R156" s="716">
        <f t="shared" ca="1" si="42"/>
        <v>21579</v>
      </c>
      <c r="S156" s="361">
        <f t="shared" ca="1" si="33"/>
        <v>379</v>
      </c>
      <c r="T156" s="800">
        <f>面积表!G135</f>
        <v>9</v>
      </c>
    </row>
    <row r="157" spans="1:20">
      <c r="A157" s="718">
        <f>面积表!C136</f>
        <v>1003</v>
      </c>
      <c r="B157" s="718">
        <f>面积表!E136</f>
        <v>175.76</v>
      </c>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t="s">
        <v>3280</v>
      </c>
      <c r="Q157" s="24">
        <f t="shared" si="41"/>
        <v>1.02</v>
      </c>
      <c r="R157" s="716">
        <f t="shared" ca="1" si="42"/>
        <v>21579</v>
      </c>
      <c r="S157" s="361">
        <f t="shared" ca="1" si="33"/>
        <v>379</v>
      </c>
      <c r="T157" s="800">
        <f>面积表!G136</f>
        <v>9</v>
      </c>
    </row>
    <row r="158" spans="1:20">
      <c r="A158" s="718">
        <f>面积表!C137</f>
        <v>1005</v>
      </c>
      <c r="B158" s="718">
        <f>面积表!E137</f>
        <v>146.94999999999999</v>
      </c>
      <c r="C158" s="24">
        <f t="shared" si="34"/>
        <v>1.0049999999999999</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t="s">
        <v>3280</v>
      </c>
      <c r="Q158" s="24">
        <f t="shared" si="41"/>
        <v>1.02</v>
      </c>
      <c r="R158" s="716">
        <f t="shared" ca="1" si="42"/>
        <v>21687</v>
      </c>
      <c r="S158" s="361">
        <f t="shared" ca="1" si="33"/>
        <v>319</v>
      </c>
      <c r="T158" s="800">
        <f>面积表!G137</f>
        <v>9</v>
      </c>
    </row>
    <row r="159" spans="1:20">
      <c r="A159" s="718">
        <f>面积表!C138</f>
        <v>1105</v>
      </c>
      <c r="B159" s="718">
        <f>面积表!E138</f>
        <v>146.85</v>
      </c>
      <c r="C159" s="24">
        <f t="shared" si="34"/>
        <v>1.0049999999999999</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t="s">
        <v>3280</v>
      </c>
      <c r="Q159" s="24">
        <f t="shared" si="41"/>
        <v>1.02</v>
      </c>
      <c r="R159" s="716">
        <f t="shared" ca="1" si="42"/>
        <v>21687</v>
      </c>
      <c r="S159" s="361">
        <f t="shared" ca="1" si="33"/>
        <v>318</v>
      </c>
      <c r="T159" s="800">
        <f>面积表!G138</f>
        <v>10</v>
      </c>
    </row>
    <row r="160" spans="1:20">
      <c r="A160" s="718">
        <f>面积表!C139</f>
        <v>1205</v>
      </c>
      <c r="B160" s="718">
        <f>面积表!E139</f>
        <v>146.76</v>
      </c>
      <c r="C160" s="24">
        <f t="shared" si="34"/>
        <v>1.0049999999999999</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t="s">
        <v>3280</v>
      </c>
      <c r="Q160" s="24">
        <f t="shared" si="41"/>
        <v>1.02</v>
      </c>
      <c r="R160" s="716">
        <f t="shared" ca="1" si="42"/>
        <v>21687</v>
      </c>
      <c r="S160" s="361">
        <f t="shared" ca="1" si="33"/>
        <v>318</v>
      </c>
      <c r="T160" s="800">
        <f>面积表!G139</f>
        <v>11</v>
      </c>
    </row>
    <row r="161" spans="1:20">
      <c r="A161" s="718">
        <f>面积表!C140</f>
        <v>1502</v>
      </c>
      <c r="B161" s="718">
        <f>面积表!E140</f>
        <v>175.77</v>
      </c>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t="s">
        <v>3280</v>
      </c>
      <c r="Q161" s="24">
        <f t="shared" si="41"/>
        <v>1.02</v>
      </c>
      <c r="R161" s="716">
        <f t="shared" ca="1" si="42"/>
        <v>21579</v>
      </c>
      <c r="S161" s="361">
        <f t="shared" ca="1" si="33"/>
        <v>379</v>
      </c>
      <c r="T161" s="800">
        <f>面积表!G140</f>
        <v>12</v>
      </c>
    </row>
    <row r="162" spans="1:20">
      <c r="A162" s="718">
        <f>面积表!C141</f>
        <v>1503</v>
      </c>
      <c r="B162" s="718">
        <f>面积表!E141</f>
        <v>175.77</v>
      </c>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t="s">
        <v>3280</v>
      </c>
      <c r="Q162" s="24">
        <f t="shared" si="41"/>
        <v>1.02</v>
      </c>
      <c r="R162" s="716">
        <f t="shared" ca="1" si="42"/>
        <v>21579</v>
      </c>
      <c r="S162" s="361">
        <f t="shared" ca="1" si="33"/>
        <v>379</v>
      </c>
      <c r="T162" s="800">
        <f>面积表!G141</f>
        <v>12</v>
      </c>
    </row>
    <row r="163" spans="1:20">
      <c r="A163" s="718">
        <f>面积表!C142</f>
        <v>1602</v>
      </c>
      <c r="B163" s="718">
        <f>面积表!E142</f>
        <v>175.81</v>
      </c>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t="s">
        <v>3280</v>
      </c>
      <c r="Q163" s="24">
        <f t="shared" si="41"/>
        <v>1.02</v>
      </c>
      <c r="R163" s="716">
        <f t="shared" ca="1" si="42"/>
        <v>21579</v>
      </c>
      <c r="S163" s="361">
        <f t="shared" ca="1" si="33"/>
        <v>379</v>
      </c>
      <c r="T163" s="800">
        <f>面积表!G142</f>
        <v>13</v>
      </c>
    </row>
    <row r="164" spans="1:20">
      <c r="A164" s="718">
        <f>面积表!C143</f>
        <v>1603</v>
      </c>
      <c r="B164" s="718">
        <f>面积表!E143</f>
        <v>175.81</v>
      </c>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t="s">
        <v>3280</v>
      </c>
      <c r="Q164" s="24">
        <f t="shared" si="41"/>
        <v>1.02</v>
      </c>
      <c r="R164" s="716">
        <f t="shared" ca="1" si="42"/>
        <v>21579</v>
      </c>
      <c r="S164" s="361">
        <f t="shared" ca="1" si="33"/>
        <v>379</v>
      </c>
      <c r="T164" s="800">
        <f>面积表!G143</f>
        <v>13</v>
      </c>
    </row>
    <row r="165" spans="1:20">
      <c r="A165" s="718">
        <f>面积表!C144</f>
        <v>1702</v>
      </c>
      <c r="B165" s="718">
        <f>面积表!E144</f>
        <v>175.87</v>
      </c>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t="s">
        <v>3280</v>
      </c>
      <c r="Q165" s="24">
        <f t="shared" si="41"/>
        <v>1.02</v>
      </c>
      <c r="R165" s="716">
        <f t="shared" ca="1" si="42"/>
        <v>21579</v>
      </c>
      <c r="S165" s="361">
        <f t="shared" ca="1" si="33"/>
        <v>380</v>
      </c>
      <c r="T165" s="800">
        <f>面积表!G144</f>
        <v>14</v>
      </c>
    </row>
    <row r="166" spans="1:20">
      <c r="A166" s="718">
        <f>面积表!C145</f>
        <v>1703</v>
      </c>
      <c r="B166" s="718">
        <f>面积表!E145</f>
        <v>175.87</v>
      </c>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t="s">
        <v>3280</v>
      </c>
      <c r="Q166" s="24">
        <f t="shared" si="41"/>
        <v>1.02</v>
      </c>
      <c r="R166" s="716">
        <f t="shared" ca="1" si="42"/>
        <v>21579</v>
      </c>
      <c r="S166" s="361">
        <f t="shared" ca="1" si="33"/>
        <v>380</v>
      </c>
      <c r="T166" s="800">
        <f>面积表!G145</f>
        <v>14</v>
      </c>
    </row>
    <row r="167" spans="1:20">
      <c r="A167" s="718">
        <f>面积表!C146</f>
        <v>1802</v>
      </c>
      <c r="B167" s="718">
        <f>面积表!E146</f>
        <v>175.95</v>
      </c>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t="s">
        <v>3280</v>
      </c>
      <c r="Q167" s="24">
        <f t="shared" si="41"/>
        <v>1.02</v>
      </c>
      <c r="R167" s="716">
        <f t="shared" ca="1" si="42"/>
        <v>21579</v>
      </c>
      <c r="S167" s="361">
        <f t="shared" ca="1" si="33"/>
        <v>380</v>
      </c>
      <c r="T167" s="800">
        <f>面积表!G146</f>
        <v>15</v>
      </c>
    </row>
    <row r="168" spans="1:20">
      <c r="A168" s="718">
        <f>面积表!C147</f>
        <v>1805</v>
      </c>
      <c r="B168" s="718">
        <f>面积表!E147</f>
        <v>146.69</v>
      </c>
      <c r="C168" s="24">
        <f t="shared" si="34"/>
        <v>1.0049999999999999</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t="s">
        <v>3280</v>
      </c>
      <c r="Q168" s="24">
        <f t="shared" si="41"/>
        <v>1.02</v>
      </c>
      <c r="R168" s="716">
        <f t="shared" ca="1" si="42"/>
        <v>21687</v>
      </c>
      <c r="S168" s="361">
        <f t="shared" ca="1" si="33"/>
        <v>318</v>
      </c>
      <c r="T168" s="800">
        <f>面积表!G147</f>
        <v>15</v>
      </c>
    </row>
    <row r="169" spans="1:20">
      <c r="A169" s="718">
        <f>面积表!C148</f>
        <v>1902</v>
      </c>
      <c r="B169" s="718">
        <f>面积表!E148</f>
        <v>176.06</v>
      </c>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t="s">
        <v>3280</v>
      </c>
      <c r="Q169" s="24">
        <f t="shared" si="41"/>
        <v>1.02</v>
      </c>
      <c r="R169" s="716">
        <f t="shared" ca="1" si="42"/>
        <v>21579</v>
      </c>
      <c r="S169" s="361">
        <f t="shared" ca="1" si="33"/>
        <v>380</v>
      </c>
      <c r="T169" s="800">
        <f>面积表!G148</f>
        <v>16</v>
      </c>
    </row>
    <row r="170" spans="1:20">
      <c r="A170" s="718">
        <f>面积表!C149</f>
        <v>2102</v>
      </c>
      <c r="B170" s="718">
        <f>面积表!E149</f>
        <v>176.56</v>
      </c>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t="s">
        <v>3282</v>
      </c>
      <c r="Q170" s="24">
        <f t="shared" si="41"/>
        <v>1.04</v>
      </c>
      <c r="R170" s="716">
        <f t="shared" ca="1" si="42"/>
        <v>22002</v>
      </c>
      <c r="S170" s="361">
        <f t="shared" ca="1" si="33"/>
        <v>388</v>
      </c>
      <c r="T170" s="800">
        <f>面积表!G149</f>
        <v>18</v>
      </c>
    </row>
    <row r="171" spans="1:20">
      <c r="A171" s="718">
        <f>面积表!C150</f>
        <v>2105</v>
      </c>
      <c r="B171" s="718">
        <f>面积表!E150</f>
        <v>147.36000000000001</v>
      </c>
      <c r="C171" s="24">
        <f t="shared" si="34"/>
        <v>1.0049999999999999</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t="s">
        <v>3282</v>
      </c>
      <c r="Q171" s="24">
        <f t="shared" si="41"/>
        <v>1.04</v>
      </c>
      <c r="R171" s="716">
        <f t="shared" ca="1" si="42"/>
        <v>22112</v>
      </c>
      <c r="S171" s="361">
        <f t="shared" ca="1" si="33"/>
        <v>326</v>
      </c>
      <c r="T171" s="800">
        <f>面积表!G150</f>
        <v>18</v>
      </c>
    </row>
    <row r="172" spans="1:20">
      <c r="A172" s="718">
        <f>面积表!C151</f>
        <v>2203</v>
      </c>
      <c r="B172" s="718">
        <f>面积表!E151</f>
        <v>176.8</v>
      </c>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t="s">
        <v>3282</v>
      </c>
      <c r="Q172" s="24">
        <f t="shared" si="41"/>
        <v>1.04</v>
      </c>
      <c r="R172" s="716">
        <f t="shared" ca="1" si="42"/>
        <v>22002</v>
      </c>
      <c r="S172" s="361">
        <f t="shared" ca="1" si="33"/>
        <v>389</v>
      </c>
      <c r="T172" s="800">
        <f>面积表!G151</f>
        <v>19</v>
      </c>
    </row>
    <row r="173" spans="1:20">
      <c r="A173" s="718">
        <f>面积表!C152</f>
        <v>2205</v>
      </c>
      <c r="B173" s="718">
        <f>面积表!E152</f>
        <v>147.79</v>
      </c>
      <c r="C173" s="24">
        <f t="shared" si="34"/>
        <v>1.0049999999999999</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t="s">
        <v>3282</v>
      </c>
      <c r="Q173" s="24">
        <f t="shared" si="41"/>
        <v>1.04</v>
      </c>
      <c r="R173" s="716">
        <f t="shared" ca="1" si="42"/>
        <v>22112</v>
      </c>
      <c r="S173" s="361">
        <f t="shared" ca="1" si="33"/>
        <v>327</v>
      </c>
      <c r="T173" s="800">
        <f>面积表!G152</f>
        <v>19</v>
      </c>
    </row>
    <row r="174" spans="1:20">
      <c r="A174" s="718">
        <f>面积表!C153</f>
        <v>2305</v>
      </c>
      <c r="B174" s="718">
        <f>面积表!E153</f>
        <v>148.36000000000001</v>
      </c>
      <c r="C174" s="24">
        <f t="shared" si="34"/>
        <v>1.0049999999999999</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t="s">
        <v>3282</v>
      </c>
      <c r="Q174" s="24">
        <f t="shared" si="41"/>
        <v>1.04</v>
      </c>
      <c r="R174" s="716">
        <f t="shared" ca="1" si="42"/>
        <v>22112</v>
      </c>
      <c r="S174" s="361">
        <f t="shared" ca="1" si="33"/>
        <v>328</v>
      </c>
      <c r="T174" s="800">
        <f>面积表!G153</f>
        <v>20</v>
      </c>
    </row>
    <row r="175" spans="1:20">
      <c r="A175" s="718">
        <f>面积表!C154</f>
        <v>2502</v>
      </c>
      <c r="B175" s="718">
        <f>面积表!E154</f>
        <v>177.69</v>
      </c>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t="s">
        <v>3282</v>
      </c>
      <c r="Q175" s="24">
        <f t="shared" si="41"/>
        <v>1.04</v>
      </c>
      <c r="R175" s="716">
        <f t="shared" ca="1" si="42"/>
        <v>22002</v>
      </c>
      <c r="S175" s="361">
        <f t="shared" ca="1" si="33"/>
        <v>391</v>
      </c>
      <c r="T175" s="800">
        <f>面积表!G154</f>
        <v>21</v>
      </c>
    </row>
    <row r="176" spans="1:20">
      <c r="A176" s="718">
        <f>面积表!C155</f>
        <v>2503</v>
      </c>
      <c r="B176" s="718">
        <f>面积表!E155</f>
        <v>177.69</v>
      </c>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t="s">
        <v>3282</v>
      </c>
      <c r="Q176" s="24">
        <f t="shared" si="41"/>
        <v>1.04</v>
      </c>
      <c r="R176" s="716">
        <f t="shared" ca="1" si="42"/>
        <v>22002</v>
      </c>
      <c r="S176" s="361">
        <f t="shared" ca="1" si="33"/>
        <v>391</v>
      </c>
      <c r="T176" s="800">
        <f>面积表!G155</f>
        <v>21</v>
      </c>
    </row>
    <row r="177" spans="1:20">
      <c r="A177" s="718">
        <f>面积表!C156</f>
        <v>2505</v>
      </c>
      <c r="B177" s="718">
        <f>面积表!E156</f>
        <v>148.96</v>
      </c>
      <c r="C177" s="24">
        <f t="shared" si="34"/>
        <v>1.0049999999999999</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t="s">
        <v>3282</v>
      </c>
      <c r="Q177" s="24">
        <f t="shared" si="41"/>
        <v>1.04</v>
      </c>
      <c r="R177" s="716">
        <f t="shared" ca="1" si="42"/>
        <v>22112</v>
      </c>
      <c r="S177" s="361">
        <f t="shared" ca="1" si="33"/>
        <v>329</v>
      </c>
      <c r="T177" s="800">
        <f>面积表!G156</f>
        <v>21</v>
      </c>
    </row>
    <row r="178" spans="1:20">
      <c r="A178" s="718">
        <f>面积表!C157</f>
        <v>2602</v>
      </c>
      <c r="B178" s="718">
        <f>面积表!E157</f>
        <v>395.56</v>
      </c>
      <c r="C178" s="24">
        <f t="shared" si="34"/>
        <v>0.98</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t="s">
        <v>3282</v>
      </c>
      <c r="Q178" s="24">
        <f t="shared" si="41"/>
        <v>1.04</v>
      </c>
      <c r="R178" s="716">
        <f t="shared" ca="1" si="42"/>
        <v>21562</v>
      </c>
      <c r="S178" s="361">
        <f t="shared" ca="1" si="33"/>
        <v>853</v>
      </c>
      <c r="T178" s="800">
        <f>面积表!G157</f>
        <v>22</v>
      </c>
    </row>
    <row r="179" spans="1:20">
      <c r="A179" s="718"/>
      <c r="B179" s="718"/>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20">
      <c r="A180" s="718"/>
      <c r="B180" s="718"/>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20">
      <c r="A181" s="718"/>
      <c r="B181" s="718"/>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20">
      <c r="A182" s="718"/>
      <c r="B182" s="718"/>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20">
      <c r="A183" s="718"/>
      <c r="B183" s="718"/>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20">
      <c r="A184" s="718"/>
      <c r="B184" s="718"/>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20">
      <c r="A185" s="718"/>
      <c r="B185" s="718"/>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20">
      <c r="A186" s="718"/>
      <c r="B186" s="718"/>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20">
      <c r="A187" s="718"/>
      <c r="B187" s="718"/>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20">
      <c r="A188" s="718"/>
      <c r="B188" s="718"/>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20">
      <c r="A189" s="718"/>
      <c r="B189" s="718"/>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20">
      <c r="A190" s="718"/>
      <c r="B190" s="718"/>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20">
      <c r="A191" s="718"/>
      <c r="B191" s="718"/>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20">
      <c r="A192" s="718"/>
      <c r="B192" s="718"/>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718"/>
      <c r="B193" s="718"/>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718"/>
      <c r="B194" s="718"/>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718"/>
      <c r="B195" s="718"/>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718"/>
      <c r="B196" s="718"/>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718"/>
      <c r="B197" s="718"/>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718"/>
      <c r="B198" s="718"/>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718"/>
      <c r="B199" s="718"/>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718"/>
      <c r="B200" s="718"/>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718"/>
      <c r="B201" s="718"/>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718"/>
      <c r="B202" s="718"/>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718"/>
      <c r="B203" s="718"/>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718"/>
      <c r="B204" s="718"/>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718"/>
      <c r="B205" s="718"/>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718"/>
      <c r="B206" s="718"/>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718"/>
      <c r="B207" s="718"/>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718"/>
      <c r="B208" s="718"/>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718"/>
      <c r="B209" s="718"/>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718"/>
      <c r="B210" s="718"/>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718"/>
      <c r="B211" s="718"/>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718"/>
      <c r="B212" s="718"/>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718"/>
      <c r="B213" s="718"/>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718"/>
      <c r="B214" s="718"/>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718"/>
      <c r="B215" s="718"/>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718"/>
      <c r="B216" s="718"/>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718"/>
      <c r="B217" s="718"/>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718"/>
      <c r="B218" s="718"/>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718"/>
      <c r="B219" s="718"/>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718"/>
      <c r="B220" s="718"/>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718"/>
      <c r="B221" s="718"/>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718"/>
      <c r="B222" s="718"/>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718"/>
      <c r="B223" s="718"/>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718"/>
      <c r="B224" s="718"/>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718"/>
      <c r="B225" s="718"/>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718"/>
      <c r="B226" s="718"/>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718"/>
      <c r="B227" s="718"/>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718"/>
      <c r="B228" s="718"/>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718"/>
      <c r="B229" s="718"/>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718"/>
      <c r="B230" s="718"/>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718"/>
      <c r="B231" s="718"/>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718"/>
      <c r="B232" s="718"/>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718"/>
      <c r="B233" s="718"/>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718"/>
      <c r="B234" s="718"/>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718"/>
      <c r="B235" s="718"/>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718"/>
      <c r="B236" s="718"/>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718"/>
      <c r="B237" s="718"/>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718"/>
      <c r="B238" s="718"/>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718"/>
      <c r="B239" s="718"/>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718"/>
      <c r="B240" s="718"/>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718"/>
      <c r="B241" s="718"/>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718"/>
      <c r="B242" s="718"/>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718"/>
      <c r="B243" s="718"/>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718"/>
      <c r="B244" s="718"/>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718"/>
      <c r="B245" s="718"/>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718"/>
      <c r="B246" s="718"/>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718"/>
      <c r="B247" s="718"/>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718"/>
      <c r="B248" s="718"/>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718"/>
      <c r="B249" s="718"/>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718"/>
      <c r="B250" s="718"/>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718"/>
      <c r="B251" s="718"/>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718"/>
      <c r="B252" s="718"/>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718"/>
      <c r="B253" s="718"/>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718"/>
      <c r="B254" s="718"/>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718"/>
      <c r="B255" s="718"/>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718"/>
      <c r="B256" s="718"/>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718"/>
      <c r="B257" s="718"/>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718"/>
      <c r="B258" s="718"/>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718"/>
      <c r="B259" s="718"/>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718"/>
      <c r="B260" s="718"/>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718"/>
      <c r="B261" s="718"/>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718"/>
      <c r="B262" s="718"/>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718"/>
      <c r="B263" s="718"/>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718"/>
      <c r="B264" s="718"/>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718"/>
      <c r="B265" s="718"/>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718"/>
      <c r="B266" s="718"/>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718"/>
      <c r="B267" s="718"/>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718"/>
      <c r="B268" s="718"/>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718"/>
      <c r="B269" s="718"/>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718"/>
      <c r="B270" s="718"/>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718"/>
      <c r="B271" s="718"/>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718"/>
      <c r="B272" s="718"/>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718"/>
      <c r="B273" s="718"/>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718"/>
      <c r="B274" s="718"/>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718"/>
      <c r="B275" s="718"/>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718"/>
      <c r="B276" s="718"/>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718"/>
      <c r="B277" s="718"/>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718"/>
      <c r="B278" s="718"/>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718"/>
      <c r="B279" s="718"/>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718"/>
      <c r="B280" s="718"/>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718"/>
      <c r="B281" s="718"/>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718"/>
      <c r="B282" s="718"/>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718"/>
      <c r="B283" s="718"/>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718"/>
      <c r="B284" s="718"/>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718"/>
      <c r="B285" s="718"/>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718"/>
      <c r="B286" s="718"/>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718"/>
      <c r="B287" s="718"/>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718"/>
      <c r="B288" s="718"/>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718"/>
      <c r="B289" s="718"/>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718"/>
      <c r="B290" s="718"/>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718"/>
      <c r="B291" s="718"/>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718"/>
      <c r="B292" s="718"/>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718"/>
      <c r="B293" s="718"/>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718"/>
      <c r="B294" s="718"/>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718"/>
      <c r="B295" s="718"/>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718"/>
      <c r="B296" s="718"/>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718"/>
      <c r="B297" s="718"/>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718"/>
      <c r="B298" s="718"/>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718"/>
      <c r="B299" s="718"/>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718"/>
      <c r="B300" s="718"/>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718"/>
      <c r="B301" s="718"/>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718"/>
      <c r="B302" s="718"/>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718"/>
      <c r="B303" s="718"/>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718"/>
      <c r="B304" s="718"/>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718"/>
      <c r="B305" s="718"/>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718"/>
      <c r="B306" s="718"/>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718"/>
      <c r="B307" s="718"/>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718"/>
      <c r="B308" s="718"/>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718"/>
      <c r="B309" s="718"/>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718"/>
      <c r="B310" s="718"/>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718"/>
      <c r="B311" s="718"/>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718"/>
      <c r="B312" s="718"/>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718"/>
      <c r="B313" s="718"/>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718"/>
      <c r="B314" s="718"/>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718"/>
      <c r="B315" s="718"/>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718"/>
      <c r="B316" s="718"/>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718"/>
      <c r="B317" s="718"/>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718"/>
      <c r="B318" s="718"/>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35306</v>
      </c>
      <c r="C2" s="2" t="s">
        <v>133</v>
      </c>
      <c r="D2" s="243"/>
      <c r="E2" s="243"/>
      <c r="F2" s="243"/>
      <c r="G2" s="243"/>
    </row>
    <row r="3" spans="1:7" s="244" customFormat="1" ht="18" customHeight="1" thickBot="1">
      <c r="A3" s="247" t="s">
        <v>85</v>
      </c>
      <c r="B3" s="248">
        <f ca="1">ROUND(B2*10000/'数据-汇总表'!E3,0)</f>
        <v>1993338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4</v>
      </c>
      <c r="D9" s="1032">
        <f>'数据-汇总表'!E5</f>
        <v>177.12</v>
      </c>
      <c r="E9" s="269">
        <f>'数据-取费表'!B27</f>
        <v>220</v>
      </c>
      <c r="F9" s="265"/>
      <c r="G9" s="270"/>
    </row>
    <row r="10" spans="1:7" s="258" customFormat="1" ht="13.5" customHeight="1">
      <c r="A10" s="950" t="s">
        <v>801</v>
      </c>
      <c r="B10" s="268" t="s">
        <v>94</v>
      </c>
      <c r="C10" s="269">
        <f>ROUND(D10*E10/10000,0)</f>
        <v>0</v>
      </c>
      <c r="D10" s="1032">
        <f>'数据-汇总表'!E6</f>
        <v>0</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v>
      </c>
      <c r="D19" s="1036">
        <f>'数据-汇总表'!E3</f>
        <v>177.12</v>
      </c>
      <c r="E19" s="255">
        <f>'数据-取费表'!B31</f>
        <v>200</v>
      </c>
      <c r="F19" s="275"/>
      <c r="G19" s="1" t="s">
        <v>1071</v>
      </c>
    </row>
    <row r="20" spans="1:7" s="258" customFormat="1" ht="13.5" customHeight="1">
      <c r="A20" s="948" t="s">
        <v>1054</v>
      </c>
      <c r="B20" s="254" t="s">
        <v>104</v>
      </c>
      <c r="C20" s="276">
        <f>ROUND((C5+C19)*F20,0)</f>
        <v>618</v>
      </c>
      <c r="D20" s="276"/>
      <c r="E20" s="276"/>
      <c r="F20" s="277">
        <f>'数据-取费表'!B37</f>
        <v>0.03</v>
      </c>
      <c r="G20" s="1288"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3125</v>
      </c>
      <c r="D22" s="279">
        <f ca="1">C26</f>
        <v>2.2000000000000001E-3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3079</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4">
        <f ca="1">ROUND(IF('数据-取费表'!B22&lt;=1,C20*F22*'数据-取费表'!B23/2,C20*(POWER((1+F22),'数据-取费表'!B23/2)-1)),0)</f>
        <v>45</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6.4">
      <c r="A27" s="948" t="s">
        <v>787</v>
      </c>
      <c r="B27" s="288" t="s">
        <v>112</v>
      </c>
      <c r="C27" s="289">
        <f>C28</f>
        <v>7431</v>
      </c>
      <c r="D27" s="279">
        <f>C29</f>
        <v>1.0500000000000001E-2</v>
      </c>
      <c r="E27" s="280" t="s">
        <v>126</v>
      </c>
      <c r="F27" s="290">
        <f>'数据-取费表'!Q16</f>
        <v>0.35</v>
      </c>
      <c r="G27" s="291" t="s">
        <v>1066</v>
      </c>
    </row>
    <row r="28" spans="1:7" s="258" customFormat="1" ht="13.5" customHeight="1">
      <c r="A28" s="951" t="s">
        <v>794</v>
      </c>
      <c r="B28" s="292" t="s">
        <v>1059</v>
      </c>
      <c r="C28" s="293">
        <f>ROUND((C5+C19+C20)*F27*'数据-取费表'!B21/'数据-取费表'!B20,0)</f>
        <v>7431</v>
      </c>
      <c r="D28" s="279"/>
      <c r="E28" s="280"/>
      <c r="F28" s="290"/>
      <c r="G28" s="291"/>
    </row>
    <row r="29" spans="1:7" s="258" customFormat="1" ht="13.5" customHeight="1">
      <c r="A29" s="951" t="s">
        <v>792</v>
      </c>
      <c r="B29" s="292" t="s">
        <v>1060</v>
      </c>
      <c r="C29" s="282">
        <f>ROUND(C21*F27*'数据-取费表'!B21/'数据-取费表'!B20,4)</f>
        <v>1.0500000000000001E-2</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35165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80</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v>
      </c>
      <c r="D36" s="264"/>
      <c r="E36" s="264"/>
      <c r="F36" s="303">
        <f>'数据-取费表'!B34</f>
        <v>0.1</v>
      </c>
      <c r="G36" s="304" t="s">
        <v>62</v>
      </c>
    </row>
    <row r="37" spans="1:7" s="302" customFormat="1" ht="13.5" customHeight="1">
      <c r="A37" s="951" t="s">
        <v>798</v>
      </c>
      <c r="B37" s="259" t="s">
        <v>118</v>
      </c>
      <c r="C37" s="293">
        <f>ROUND(E37*D37*F34/10000,0)</f>
        <v>4</v>
      </c>
      <c r="D37" s="261">
        <f>'数据-汇总表'!E3</f>
        <v>177.12</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8"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7</v>
      </c>
      <c r="D41" s="279">
        <f ca="1">C44</f>
        <v>2.2000000000000001E-3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7</v>
      </c>
      <c r="D42" s="282"/>
      <c r="E42" s="282"/>
      <c r="F42" s="283"/>
      <c r="G42" s="3139" t="s">
        <v>121</v>
      </c>
    </row>
    <row r="43" spans="1:7" ht="13.5" customHeight="1">
      <c r="A43" s="951" t="s">
        <v>792</v>
      </c>
      <c r="B43" s="259" t="s">
        <v>1061</v>
      </c>
      <c r="C43" s="282">
        <f ca="1">ROUND(IF('数据-取费表'!B22&lt;=1,C39*F22*'数据-取费表'!B21/2,C39*(POWER((1+F22),'数据-取费表'!B21/2)-1)),0)</f>
        <v>0</v>
      </c>
      <c r="D43" s="282"/>
      <c r="E43" s="282"/>
      <c r="F43" s="283"/>
      <c r="G43" s="3140"/>
    </row>
    <row r="44" spans="1:7" ht="13.5" customHeight="1">
      <c r="A44" s="951" t="s">
        <v>793</v>
      </c>
      <c r="B44" s="259" t="s">
        <v>1063</v>
      </c>
      <c r="C44" s="282">
        <f ca="1">ROUND(IF('数据-取费表'!B22&lt;=1,C40*F22*'数据-取费表'!B21/2,C40*(POWER((1+F22),'数据-取费表'!B21/2)-1)),4)</f>
        <v>2.2000000000000001E-3</v>
      </c>
      <c r="D44" s="282"/>
      <c r="E44" s="282"/>
      <c r="F44" s="283"/>
      <c r="G44" s="3141"/>
    </row>
    <row r="45" spans="1:7" s="258" customFormat="1" ht="13.5" customHeight="1">
      <c r="A45" s="948" t="s">
        <v>786</v>
      </c>
      <c r="B45" s="288" t="s">
        <v>112</v>
      </c>
      <c r="C45" s="289">
        <f>C46</f>
        <v>35</v>
      </c>
      <c r="D45" s="279">
        <f>C47</f>
        <v>1.0500000000000001E-2</v>
      </c>
      <c r="E45" s="280" t="s">
        <v>129</v>
      </c>
      <c r="F45" s="290"/>
      <c r="G45" s="291" t="s">
        <v>1069</v>
      </c>
    </row>
    <row r="46" spans="1:7" s="258" customFormat="1" ht="13.5" customHeight="1">
      <c r="A46" s="951" t="s">
        <v>794</v>
      </c>
      <c r="B46" s="292" t="s">
        <v>1062</v>
      </c>
      <c r="C46" s="293">
        <f>ROUND((C33+C39)*F27,0)</f>
        <v>35</v>
      </c>
      <c r="D46" s="307"/>
      <c r="E46" s="280"/>
      <c r="F46" s="290"/>
      <c r="G46" s="291"/>
    </row>
    <row r="47" spans="1:7" s="258" customFormat="1" ht="13.5" customHeight="1">
      <c r="A47" s="951" t="s">
        <v>792</v>
      </c>
      <c r="B47" s="292" t="s">
        <v>1064</v>
      </c>
      <c r="C47" s="282">
        <f>ROUND(C40*F27,4)</f>
        <v>1.0500000000000001E-2</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157</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141</v>
      </c>
      <c r="D51" s="276"/>
      <c r="E51" s="276"/>
      <c r="F51" s="308"/>
      <c r="G51" s="278" t="s">
        <v>64</v>
      </c>
    </row>
    <row r="52" spans="1:7" s="252" customFormat="1" ht="16.8" thickBot="1">
      <c r="A52" s="309" t="s">
        <v>65</v>
      </c>
      <c r="B52" s="310"/>
      <c r="C52" s="311">
        <f ca="1">C31+C51</f>
        <v>35306</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8" t="s">
        <v>868</v>
      </c>
      <c r="B1" s="3278"/>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43689</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6">
      <c r="A3" s="2968"/>
      <c r="B3" s="2968"/>
      <c r="C3" s="2968"/>
      <c r="D3" s="1044" t="s">
        <v>1633</v>
      </c>
      <c r="E3" s="1044" t="s">
        <v>1639</v>
      </c>
      <c r="F3" s="1044" t="s">
        <v>1633</v>
      </c>
      <c r="G3" s="1044" t="s">
        <v>1634</v>
      </c>
      <c r="H3" s="1044" t="s">
        <v>1633</v>
      </c>
      <c r="I3" s="1044" t="s">
        <v>1634</v>
      </c>
    </row>
    <row r="4" spans="1:9" ht="30">
      <c r="A4" s="1971" t="str">
        <f>项目基本情况!S2</f>
        <v>房地产</v>
      </c>
      <c r="B4" s="1044">
        <f>项目基本情况!C17</f>
        <v>177.12</v>
      </c>
      <c r="C4" s="1044">
        <f>项目基本情况!C18</f>
        <v>7.71</v>
      </c>
      <c r="D4" s="1044">
        <f ca="1">结果表!D118</f>
        <v>56</v>
      </c>
      <c r="E4" s="1044">
        <f ca="1">结果表!E118</f>
        <v>3162</v>
      </c>
      <c r="F4" s="1044">
        <f ca="1">结果表!F118</f>
        <v>319</v>
      </c>
      <c r="G4" s="1044">
        <f ca="1">结果表!G118</f>
        <v>18010</v>
      </c>
      <c r="H4" s="1044">
        <f ca="1">结果表!H118</f>
        <v>375</v>
      </c>
      <c r="I4" s="1044">
        <f ca="1">结果表!I118</f>
        <v>21172</v>
      </c>
    </row>
    <row r="5" spans="1:9" ht="30" customHeight="1">
      <c r="A5" s="2968" t="s">
        <v>1635</v>
      </c>
      <c r="B5" s="2968"/>
      <c r="C5" s="2968"/>
      <c r="D5" s="2969" t="str">
        <f ca="1">结果表!D119</f>
        <v>伍拾陆万元整</v>
      </c>
      <c r="E5" s="2969"/>
      <c r="F5" s="2969" t="str">
        <f ca="1">结果表!F119</f>
        <v>叁佰壹拾玖万元整</v>
      </c>
      <c r="G5" s="2969"/>
      <c r="H5" s="2969" t="str">
        <f ca="1">结果表!H119</f>
        <v>叁佰柒拾伍万元整</v>
      </c>
      <c r="I5" s="2969"/>
    </row>
    <row r="6" spans="1:9" ht="15.6">
      <c r="A6" s="2967" t="str">
        <f>结果表!A120</f>
        <v>估价师知悉的法定优先受偿款</v>
      </c>
      <c r="B6" s="2967"/>
      <c r="C6" s="2967"/>
      <c r="D6" s="2967">
        <f>结果表!D120</f>
        <v>0</v>
      </c>
      <c r="E6" s="2967"/>
      <c r="F6" s="2967"/>
      <c r="G6" s="2967"/>
      <c r="H6" s="2967"/>
      <c r="I6" s="2967"/>
    </row>
    <row r="7" spans="1:9" ht="15">
      <c r="A7" s="2968" t="s">
        <v>1635</v>
      </c>
      <c r="B7" s="2968"/>
      <c r="C7" s="2968"/>
      <c r="D7" s="2970" t="str">
        <f>结果表!D121</f>
        <v>零元整</v>
      </c>
      <c r="E7" s="2971"/>
      <c r="F7" s="2971"/>
      <c r="G7" s="2971"/>
      <c r="H7" s="2971"/>
      <c r="I7" s="2972"/>
    </row>
    <row r="8" spans="1:9" ht="15.6">
      <c r="A8" s="2967" t="str">
        <f>结果表!A122</f>
        <v>房地产抵押价值</v>
      </c>
      <c r="B8" s="2967"/>
      <c r="C8" s="2967"/>
      <c r="D8" s="2967">
        <f ca="1">结果表!D122</f>
        <v>375</v>
      </c>
      <c r="E8" s="2967"/>
      <c r="F8" s="2967"/>
      <c r="G8" s="2967"/>
      <c r="H8" s="2967"/>
      <c r="I8" s="2967"/>
    </row>
    <row r="9" spans="1:9" ht="15">
      <c r="A9" s="2968" t="s">
        <v>1635</v>
      </c>
      <c r="B9" s="2968"/>
      <c r="C9" s="2968"/>
      <c r="D9" s="2969" t="str">
        <f ca="1">结果表!D123</f>
        <v>叁佰柒拾伍万元整</v>
      </c>
      <c r="E9" s="2969"/>
      <c r="F9" s="2969"/>
      <c r="G9" s="2969"/>
      <c r="H9" s="2969"/>
      <c r="I9" s="2969"/>
    </row>
    <row r="10" spans="1:9" ht="15.6">
      <c r="A10" s="2967" t="str">
        <f>结果表!A124</f>
        <v/>
      </c>
      <c r="B10" s="2967"/>
      <c r="C10" s="2967"/>
      <c r="D10" s="2967" t="str">
        <f>结果表!D124</f>
        <v>——</v>
      </c>
      <c r="E10" s="2967"/>
      <c r="F10" s="2967"/>
      <c r="G10" s="2967"/>
      <c r="H10" s="2967"/>
      <c r="I10" s="2967"/>
    </row>
    <row r="11" spans="1:9" ht="15">
      <c r="A11" s="2968" t="s">
        <v>1635</v>
      </c>
      <c r="B11" s="2968"/>
      <c r="C11" s="2968"/>
      <c r="D11" s="2969" t="e">
        <f>结果表!D125</f>
        <v>#VALUE!</v>
      </c>
      <c r="E11" s="2969"/>
      <c r="F11" s="2969"/>
      <c r="G11" s="2969"/>
      <c r="H11" s="2969"/>
      <c r="I11" s="2969"/>
    </row>
    <row r="12" spans="1:9" ht="15.6">
      <c r="A12" s="2967" t="str">
        <f>结果表!A126</f>
        <v/>
      </c>
      <c r="B12" s="2967"/>
      <c r="C12" s="2967"/>
      <c r="D12" s="2967" t="str">
        <f>结果表!D126</f>
        <v>——</v>
      </c>
      <c r="E12" s="2967"/>
      <c r="F12" s="2967"/>
      <c r="G12" s="2967"/>
      <c r="H12" s="2967"/>
      <c r="I12" s="2967"/>
    </row>
    <row r="13" spans="1:9" ht="15.6" thickBot="1">
      <c r="A13" s="2964" t="s">
        <v>1635</v>
      </c>
      <c r="B13" s="2964"/>
      <c r="C13" s="2964"/>
      <c r="D13" s="2965" t="e">
        <f>结果表!D127</f>
        <v>#VALUE!</v>
      </c>
      <c r="E13" s="2965"/>
      <c r="F13" s="2965"/>
      <c r="G13" s="2965"/>
      <c r="H13" s="2965"/>
      <c r="I13" s="2965"/>
    </row>
    <row r="14" spans="1:9" ht="14.4" thickTop="1">
      <c r="A14" s="2966" t="s">
        <v>1640</v>
      </c>
      <c r="B14" s="2966"/>
      <c r="C14" s="2966"/>
      <c r="D14" s="2966"/>
      <c r="E14" s="2966"/>
      <c r="F14" s="2966"/>
      <c r="G14" s="2966"/>
      <c r="H14" s="2966"/>
      <c r="I14" s="2966"/>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1" t="s">
        <v>1657</v>
      </c>
      <c r="B1" s="2981"/>
      <c r="C1" s="2981"/>
      <c r="D1" s="2981"/>
    </row>
    <row r="2" spans="1:4" ht="17.399999999999999">
      <c r="A2" s="2982" t="s">
        <v>1641</v>
      </c>
      <c r="B2" s="2982"/>
      <c r="C2" s="2982"/>
      <c r="D2" s="2982"/>
    </row>
    <row r="3" spans="1:4" ht="17.399999999999999">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7.399999999999999">
      <c r="A6" s="2982" t="s">
        <v>1647</v>
      </c>
      <c r="B6" s="2982"/>
      <c r="C6" s="2982"/>
      <c r="D6" s="2982"/>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2983" t="s">
        <v>1650</v>
      </c>
      <c r="B11" s="2975"/>
      <c r="C11" s="2975"/>
      <c r="D11" s="2975"/>
    </row>
    <row r="12" spans="1:4" ht="15.6">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1651</v>
      </c>
      <c r="B16" s="2977"/>
      <c r="C16" s="2977"/>
      <c r="D16" s="2977"/>
    </row>
    <row r="17" spans="1:4" ht="144" customHeight="1">
      <c r="A17" s="2977" t="s">
        <v>1652</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1653</v>
      </c>
      <c r="B22" s="2979"/>
      <c r="C22" s="2979"/>
      <c r="D22" s="2979"/>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2989" t="s">
        <v>1664</v>
      </c>
      <c r="B15" s="2984" t="s">
        <v>136</v>
      </c>
      <c r="C15" s="2985"/>
    </row>
    <row r="16" spans="1:7" ht="14.4">
      <c r="A16" s="2990"/>
      <c r="B16" s="2984" t="s">
        <v>69</v>
      </c>
      <c r="C16" s="2985"/>
    </row>
    <row r="17" spans="1:3" ht="14.4">
      <c r="A17" s="2990"/>
      <c r="B17" s="2987" t="s">
        <v>1665</v>
      </c>
      <c r="C17" s="1998" t="s">
        <v>1664</v>
      </c>
    </row>
    <row r="18" spans="1:3" ht="14.4">
      <c r="A18" s="2990"/>
      <c r="B18" s="2987"/>
      <c r="C18" s="1998" t="s">
        <v>1666</v>
      </c>
    </row>
    <row r="19" spans="1:3" ht="14.4">
      <c r="A19" s="2990"/>
      <c r="B19" s="2987"/>
      <c r="C19" s="1998" t="s">
        <v>1667</v>
      </c>
    </row>
    <row r="20" spans="1:3" ht="14.4">
      <c r="A20" s="2991"/>
      <c r="B20" s="2986" t="s">
        <v>1668</v>
      </c>
      <c r="C20" s="2985"/>
    </row>
    <row r="21" spans="1:3" ht="14.4">
      <c r="A21" s="1999" t="s">
        <v>1669</v>
      </c>
      <c r="B21" s="2000"/>
      <c r="C21" s="2001"/>
    </row>
    <row r="22" spans="1:3" ht="14.4">
      <c r="A22" s="2988" t="s">
        <v>1670</v>
      </c>
      <c r="B22" s="2986" t="s">
        <v>1671</v>
      </c>
      <c r="C22" s="2985"/>
    </row>
    <row r="23" spans="1:3" ht="14.4">
      <c r="A23" s="2988"/>
      <c r="B23" s="2986" t="s">
        <v>1672</v>
      </c>
      <c r="C23" s="2985"/>
    </row>
    <row r="24" spans="1:3" ht="14.4">
      <c r="A24" s="2988"/>
      <c r="B24" s="2986" t="s">
        <v>1673</v>
      </c>
      <c r="C24" s="2985"/>
    </row>
    <row r="25" spans="1:3" ht="14.4">
      <c r="A25" s="2988"/>
      <c r="B25" s="2987" t="s">
        <v>1674</v>
      </c>
      <c r="C25" s="1998" t="s">
        <v>1675</v>
      </c>
    </row>
    <row r="26" spans="1:3" ht="14.4">
      <c r="A26" s="2988"/>
      <c r="B26" s="2987"/>
      <c r="C26" s="1998" t="s">
        <v>1676</v>
      </c>
    </row>
    <row r="27" spans="1:3" ht="14.4">
      <c r="A27" s="2988"/>
      <c r="B27" s="2987"/>
      <c r="C27" s="1998" t="s">
        <v>1677</v>
      </c>
    </row>
    <row r="28" spans="1:3" ht="14.4">
      <c r="A28" s="2988"/>
      <c r="B28" s="2987"/>
      <c r="C28" s="1998" t="s">
        <v>1678</v>
      </c>
    </row>
    <row r="29" spans="1:3" ht="14.4">
      <c r="A29" s="2988"/>
      <c r="B29" s="2987"/>
      <c r="C29" s="1998" t="s">
        <v>1679</v>
      </c>
    </row>
    <row r="30" spans="1:3" ht="14.4">
      <c r="A30" s="2988"/>
      <c r="B30" s="2987"/>
      <c r="C30" s="1998" t="s">
        <v>1680</v>
      </c>
    </row>
    <row r="31" spans="1:3" ht="14.4">
      <c r="A31" s="2988"/>
      <c r="B31" s="2987"/>
      <c r="C31" s="1998" t="s">
        <v>1681</v>
      </c>
    </row>
    <row r="32" spans="1:3" ht="14.4">
      <c r="A32" s="2988"/>
      <c r="B32" s="2987"/>
      <c r="C32" s="1998" t="s">
        <v>1682</v>
      </c>
    </row>
    <row r="33" spans="1:3" ht="14.4">
      <c r="A33" s="2988"/>
      <c r="B33" s="2987"/>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43689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28">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8">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2992" t="s">
        <v>843</v>
      </c>
      <c r="B25" s="2992"/>
      <c r="C25" s="2992"/>
      <c r="D25" s="2992"/>
      <c r="E25" s="2992"/>
      <c r="F25" s="2992"/>
      <c r="G25" s="2992"/>
    </row>
    <row r="26" spans="1:7" s="1025" customFormat="1" ht="24" customHeight="1">
      <c r="A26" s="2993" t="s">
        <v>844</v>
      </c>
      <c r="B26" s="2993"/>
      <c r="C26" s="2994"/>
      <c r="D26" s="2995" t="s">
        <v>845</v>
      </c>
      <c r="E26" s="2993"/>
      <c r="F26" s="299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2019-08-12T06:24:48Z</dcterms:modified>
</cp:coreProperties>
</file>