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E:\2025\进行中\2025-1-0447-F01-房山区怡和北路5号院14号楼2层201-吴姐浦发\"/>
    </mc:Choice>
  </mc:AlternateContent>
  <xr:revisionPtr revIDLastSave="0" documentId="13_ncr:1_{DF41CC3B-DD86-4B17-9D3C-43AB6505658A}" xr6:coauthVersionLast="47" xr6:coauthVersionMax="47" xr10:uidLastSave="{00000000-0000-0000-0000-000000000000}"/>
  <bookViews>
    <workbookView xWindow="-108" yWindow="-108" windowWidth="20376" windowHeight="12216"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2" r:id="rId35"/>
    <sheet name="租金案例" sheetId="83" r:id="rId36"/>
    <sheet name="零贷估值" sheetId="84" r:id="rId37"/>
    <sheet name="信息" sheetId="80"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G48" i="34"/>
  <c r="G34" i="34"/>
  <c r="R5" i="82"/>
  <c r="R4" i="82"/>
  <c r="I48" i="34"/>
  <c r="E48" i="34"/>
  <c r="I34" i="34"/>
  <c r="E34" i="34"/>
  <c r="I37" i="34"/>
  <c r="G37" i="34"/>
  <c r="E37" i="34"/>
  <c r="C37" i="34"/>
  <c r="E105" i="34"/>
  <c r="D105" i="34"/>
  <c r="E67" i="34"/>
  <c r="D67" i="34" s="1"/>
  <c r="C67" i="34" s="1"/>
  <c r="F67" i="34"/>
  <c r="I7" i="34"/>
  <c r="G7" i="34"/>
  <c r="E7" i="34"/>
  <c r="D3" i="4"/>
  <c r="D33" i="43"/>
  <c r="J49" i="67"/>
  <c r="C19" i="6"/>
  <c r="Y6" i="1"/>
  <c r="B59" i="1"/>
  <c r="B21" i="1" l="1"/>
  <c r="N6" i="1"/>
  <c r="N19" i="1"/>
  <c r="F19" i="6"/>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4" i="79"/>
  <c r="AG34" i="79" s="1"/>
  <c r="S33" i="79"/>
  <c r="AG33" i="79" s="1"/>
  <c r="S35" i="79"/>
  <c r="AG35" i="79" s="1"/>
  <c r="AR18" i="79"/>
  <c r="AR19" i="79" s="1"/>
  <c r="AR20" i="79" s="1"/>
  <c r="AR21" i="79" s="1"/>
  <c r="AR22" i="79" s="1"/>
  <c r="AR23" i="79" s="1"/>
  <c r="AR24" i="79" s="1"/>
  <c r="T33" i="79"/>
  <c r="T35" i="79"/>
  <c r="T34" i="79"/>
  <c r="W22" i="79"/>
  <c r="AK22" i="79" s="1"/>
  <c r="AH22" i="79"/>
  <c r="AD38" i="79"/>
  <c r="AD37" i="79"/>
  <c r="AD36" i="79"/>
  <c r="AR40" i="79"/>
  <c r="AR41" i="79" s="1"/>
  <c r="AR42" i="79" s="1"/>
  <c r="AR43" i="79" s="1"/>
  <c r="AR44" i="79" s="1"/>
  <c r="AR45" i="79" s="1"/>
  <c r="AR46" i="79" s="1"/>
  <c r="AR47" i="79" s="1"/>
  <c r="AR48" i="79" s="1"/>
  <c r="AR49" i="79" s="1"/>
  <c r="AR50" i="79" s="1"/>
  <c r="AR51" i="79" s="1"/>
  <c r="AR52"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40" i="79"/>
  <c r="AK40" i="79" s="1"/>
  <c r="AH40" i="79"/>
  <c r="AH34" i="79"/>
  <c r="W34" i="79"/>
  <c r="AK34" i="79" s="1"/>
  <c r="W23" i="79"/>
  <c r="AK23" i="79" s="1"/>
  <c r="AH23" i="79"/>
  <c r="W12" i="79"/>
  <c r="AK12" i="79" s="1"/>
  <c r="AH12" i="79"/>
  <c r="W21" i="79"/>
  <c r="AK21" i="79" s="1"/>
  <c r="AH21" i="79"/>
  <c r="W47" i="79"/>
  <c r="AK47" i="79" s="1"/>
  <c r="AH47" i="79"/>
  <c r="W45" i="79"/>
  <c r="AK45" i="79" s="1"/>
  <c r="AH45" i="79"/>
  <c r="W35" i="79"/>
  <c r="AK35" i="79" s="1"/>
  <c r="AH35" i="79"/>
  <c r="W39" i="79"/>
  <c r="AK39" i="79" s="1"/>
  <c r="W17" i="79"/>
  <c r="AK17" i="79" s="1"/>
  <c r="AH17" i="79"/>
  <c r="W20" i="79"/>
  <c r="AK20" i="79" s="1"/>
  <c r="AH20" i="79"/>
  <c r="W33" i="79"/>
  <c r="AK33" i="79" s="1"/>
  <c r="AH33" i="79"/>
  <c r="W11" i="79"/>
  <c r="AK11" i="79" s="1"/>
  <c r="AH11" i="79"/>
  <c r="W10" i="79"/>
  <c r="AK10" i="79" s="1"/>
  <c r="AH10" i="79"/>
  <c r="W18" i="79"/>
  <c r="AK18" i="79" s="1"/>
  <c r="AH1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Y25" i="71" s="1"/>
  <c r="Z25" i="71" s="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X25"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N33" i="71"/>
  <c r="D33" i="71"/>
  <c r="Q32" i="71"/>
  <c r="AB32" i="71"/>
  <c r="P32" i="71"/>
  <c r="O32" i="71"/>
  <c r="N32" i="71"/>
  <c r="Q31" i="71"/>
  <c r="P31" i="71"/>
  <c r="O31" i="71"/>
  <c r="N31" i="71"/>
  <c r="Q30" i="71"/>
  <c r="AB26" i="71" s="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44" i="71" s="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G29" i="6" s="1"/>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H9" i="34"/>
  <c r="AB9" i="34" s="1"/>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S36" i="34" s="1"/>
  <c r="J35" i="34"/>
  <c r="AC35" i="34" s="1"/>
  <c r="H39" i="33"/>
  <c r="AB39" i="33" s="1"/>
  <c r="F26" i="33"/>
  <c r="AA26" i="33"/>
  <c r="U33" i="33"/>
  <c r="U35" i="33"/>
  <c r="S40" i="33"/>
  <c r="W33" i="33"/>
  <c r="W39" i="33"/>
  <c r="H39" i="37"/>
  <c r="AB39" i="37"/>
  <c r="S27" i="35"/>
  <c r="F11" i="40"/>
  <c r="AA11" i="40" s="1"/>
  <c r="H11" i="40"/>
  <c r="AB11" i="40"/>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AB23" i="34" s="1"/>
  <c r="J23" i="34"/>
  <c r="AC23" i="34" s="1"/>
  <c r="F19" i="34"/>
  <c r="AA19" i="34" s="1"/>
  <c r="H17" i="34"/>
  <c r="U17" i="34" s="1"/>
  <c r="F15" i="34"/>
  <c r="AA15" i="34" s="1"/>
  <c r="J15" i="34"/>
  <c r="W15" i="34" s="1"/>
  <c r="H15" i="34"/>
  <c r="AB15" i="34" s="1"/>
  <c r="J28" i="34"/>
  <c r="W28" i="34" s="1"/>
  <c r="F41" i="33"/>
  <c r="S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C43" i="34" s="1"/>
  <c r="AB42" i="34"/>
  <c r="J40" i="34"/>
  <c r="W40" i="34" s="1"/>
  <c r="H38" i="34"/>
  <c r="AB38" i="34" s="1"/>
  <c r="J36" i="34"/>
  <c r="AC36" i="34" s="1"/>
  <c r="H37" i="34"/>
  <c r="U37" i="34" s="1"/>
  <c r="H25" i="34"/>
  <c r="AB25" i="34" s="1"/>
  <c r="J25" i="34"/>
  <c r="AC25" i="34" s="1"/>
  <c r="F23" i="34"/>
  <c r="S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s="1"/>
  <c r="J42" i="21"/>
  <c r="AC42" i="21"/>
  <c r="H42" i="21"/>
  <c r="U42" i="21" s="1"/>
  <c r="J44" i="34"/>
  <c r="W44" i="34" s="1"/>
  <c r="F44" i="34"/>
  <c r="S44" i="34" s="1"/>
  <c r="J10" i="35"/>
  <c r="AC10" i="35" s="1"/>
  <c r="J14" i="21"/>
  <c r="W14" i="21"/>
  <c r="F14" i="21"/>
  <c r="S14" i="21" s="1"/>
  <c r="H14" i="21"/>
  <c r="U14" i="21" s="1"/>
  <c r="H28" i="21"/>
  <c r="AB28" i="21" s="1"/>
  <c r="F28" i="21"/>
  <c r="AA28" i="21" s="1"/>
  <c r="J28" i="21"/>
  <c r="W28" i="21" s="1"/>
  <c r="H30" i="21"/>
  <c r="AB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AC5"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S24" i="35" s="1"/>
  <c r="H24" i="35"/>
  <c r="AB24" i="35" s="1"/>
  <c r="H23" i="37"/>
  <c r="U23" i="37" s="1"/>
  <c r="J32" i="37"/>
  <c r="AC32" i="37" s="1"/>
  <c r="F36" i="37"/>
  <c r="AA36" i="37" s="1"/>
  <c r="F37" i="37"/>
  <c r="AA37" i="37" s="1"/>
  <c r="F31" i="40"/>
  <c r="S31" i="40" s="1"/>
  <c r="H31" i="40"/>
  <c r="U31" i="40" s="1"/>
  <c r="F32" i="40"/>
  <c r="S32" i="40" s="1"/>
  <c r="H32" i="40"/>
  <c r="AB32" i="40" s="1"/>
  <c r="J36" i="40"/>
  <c r="AC36" i="40" s="1"/>
  <c r="H19" i="37"/>
  <c r="AB19" i="37" s="1"/>
  <c r="H42" i="33"/>
  <c r="AB42" i="33" s="1"/>
  <c r="J43" i="33"/>
  <c r="AC43" i="33" s="1"/>
  <c r="S28" i="31"/>
  <c r="S27" i="31"/>
  <c r="S26" i="31"/>
  <c r="U14" i="40"/>
  <c r="W23" i="35"/>
  <c r="U39" i="37"/>
  <c r="U26" i="37"/>
  <c r="W47" i="34"/>
  <c r="AA13" i="33"/>
  <c r="AC31" i="33"/>
  <c r="AC45" i="33"/>
  <c r="W44" i="33"/>
  <c r="U11" i="33"/>
  <c r="U19" i="21"/>
  <c r="W44" i="21"/>
  <c r="AB38" i="21"/>
  <c r="F43" i="33"/>
  <c r="S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G4" i="4"/>
  <c r="I4" i="4"/>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s="1"/>
  <c r="BL164" i="3"/>
  <c r="G165" i="3"/>
  <c r="BA167" i="3"/>
  <c r="AZ167" i="3" s="1"/>
  <c r="BL168" i="3"/>
  <c r="G169" i="3"/>
  <c r="BA171" i="3"/>
  <c r="BL172" i="3"/>
  <c r="G173" i="3"/>
  <c r="BA175" i="3"/>
  <c r="AZ175" i="3" s="1"/>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168" i="3"/>
  <c r="AZ97"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AZ346" i="3" s="1"/>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46" i="3"/>
  <c r="BA16" i="3"/>
  <c r="AZ16" i="3" s="1"/>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AZ374" i="3" s="1"/>
  <c r="G375" i="3"/>
  <c r="BA377" i="3"/>
  <c r="AZ377" i="3"/>
  <c r="AZ229" i="3"/>
  <c r="AZ237" i="3"/>
  <c r="AZ245" i="3"/>
  <c r="AZ265" i="3"/>
  <c r="BA379" i="3"/>
  <c r="AZ379" i="3" s="1"/>
  <c r="BL380" i="3"/>
  <c r="G381" i="3"/>
  <c r="BA383" i="3"/>
  <c r="AZ383" i="3" s="1"/>
  <c r="BL384" i="3"/>
  <c r="G385" i="3"/>
  <c r="BA387" i="3"/>
  <c r="AZ387" i="3" s="1"/>
  <c r="BL388" i="3"/>
  <c r="G389" i="3"/>
  <c r="BA391" i="3"/>
  <c r="AZ391" i="3" s="1"/>
  <c r="BL392" i="3"/>
  <c r="G393" i="3"/>
  <c r="AZ283" i="3"/>
  <c r="BO5" i="3"/>
  <c r="BM5" i="3"/>
  <c r="BH5" i="3"/>
  <c r="BF5" i="3"/>
  <c r="BD5" i="3"/>
  <c r="AZ506" i="3"/>
  <c r="AZ496" i="3"/>
  <c r="G548" i="3"/>
  <c r="G538" i="3"/>
  <c r="G520" i="3"/>
  <c r="G502" i="3"/>
  <c r="BS5" i="3"/>
  <c r="BP5" i="3"/>
  <c r="BK5" i="3"/>
  <c r="BI5" i="3"/>
  <c r="BG5" i="3"/>
  <c r="BE5" i="3"/>
  <c r="BC5" i="3"/>
  <c r="G17" i="3"/>
  <c r="BA17" i="3"/>
  <c r="BT5" i="3"/>
  <c r="AZ356" i="3"/>
  <c r="BA15" i="3"/>
  <c r="BR5" i="3"/>
  <c r="AZ392" i="3"/>
  <c r="G509" i="3"/>
  <c r="BL493" i="3"/>
  <c r="AZ493" i="3" s="1"/>
  <c r="U36" i="40"/>
  <c r="F83" i="43"/>
  <c r="H85" i="43" s="1"/>
  <c r="F50" i="43"/>
  <c r="H54" i="43" s="1"/>
  <c r="F72" i="43"/>
  <c r="H75" i="43" s="1"/>
  <c r="U17" i="39"/>
  <c r="S14" i="35"/>
  <c r="U43" i="21"/>
  <c r="U35" i="21"/>
  <c r="AC35" i="21"/>
  <c r="AC11" i="39"/>
  <c r="AZ563"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51" i="3"/>
  <c r="AZ280" i="3"/>
  <c r="AZ110" i="3"/>
  <c r="F23" i="39"/>
  <c r="S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AB34" i="36"/>
  <c r="U34" i="36"/>
  <c r="AB33" i="36"/>
  <c r="U33" i="36"/>
  <c r="AC12" i="39"/>
  <c r="W12" i="39"/>
  <c r="AZ586" i="3"/>
  <c r="AA32" i="36"/>
  <c r="S32" i="36"/>
  <c r="AZ437" i="3"/>
  <c r="BL14" i="3"/>
  <c r="U30" i="33"/>
  <c r="AC13" i="34"/>
  <c r="AA47" i="34"/>
  <c r="W28" i="37"/>
  <c r="S19" i="39"/>
  <c r="F12" i="33"/>
  <c r="H12" i="39"/>
  <c r="AB12" i="39"/>
  <c r="F39" i="40"/>
  <c r="BA14"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B27" i="40"/>
  <c r="S30" i="40"/>
  <c r="AA19"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15" i="37"/>
  <c r="AC13" i="37"/>
  <c r="AA13" i="37"/>
  <c r="H10" i="37"/>
  <c r="AB10" i="37" s="1"/>
  <c r="F63" i="37"/>
  <c r="F11" i="37"/>
  <c r="S11" i="37" s="1"/>
  <c r="W25" i="34"/>
  <c r="AC42" i="34"/>
  <c r="AB35" i="34"/>
  <c r="AA45" i="34"/>
  <c r="AA25"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s="1"/>
  <c r="J56" i="9"/>
  <c r="J57" i="9" s="1"/>
  <c r="J59" i="9" s="1"/>
  <c r="J61" i="9" s="1"/>
  <c r="A24" i="51"/>
  <c r="B18" i="72" s="1"/>
  <c r="U29" i="34"/>
  <c r="E5" i="6"/>
  <c r="E32" i="6"/>
  <c r="G1" i="68"/>
  <c r="K1" i="12"/>
  <c r="E19" i="69"/>
  <c r="E19" i="68"/>
  <c r="E19" i="11"/>
  <c r="E1" i="73"/>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U24" i="35"/>
  <c r="S35" i="35"/>
  <c r="W35" i="35"/>
  <c r="AA16" i="35"/>
  <c r="AA35" i="37"/>
  <c r="W36" i="37"/>
  <c r="S27" i="37"/>
  <c r="S28" i="37"/>
  <c r="W32" i="37"/>
  <c r="U36" i="37"/>
  <c r="S40" i="37"/>
  <c r="U38" i="37"/>
  <c r="AB37" i="37"/>
  <c r="AC34" i="37"/>
  <c r="AA31" i="37"/>
  <c r="U19" i="37"/>
  <c r="AA29" i="37"/>
  <c r="U8" i="37"/>
  <c r="AC45" i="34"/>
  <c r="AA31" i="34"/>
  <c r="AA30" i="34"/>
  <c r="AB45" i="34"/>
  <c r="AB47" i="34"/>
  <c r="AB36" i="34"/>
  <c r="AC14" i="34"/>
  <c r="AC32" i="34"/>
  <c r="AC29" i="34"/>
  <c r="W29" i="34"/>
  <c r="W46" i="34"/>
  <c r="AC46" i="34"/>
  <c r="S32" i="34"/>
  <c r="AA32" i="34"/>
  <c r="U30" i="34"/>
  <c r="AB30" i="34"/>
  <c r="U38" i="34"/>
  <c r="AA36" i="34"/>
  <c r="S46" i="34"/>
  <c r="AA46" i="34"/>
  <c r="U32" i="34"/>
  <c r="AB32" i="34"/>
  <c r="U14" i="34"/>
  <c r="AB14" i="34"/>
  <c r="W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A21" i="39"/>
  <c r="S21" i="39"/>
  <c r="AC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J27" i="33"/>
  <c r="AC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AA23" i="21"/>
  <c r="AB15" i="21"/>
  <c r="J23" i="21"/>
  <c r="F85" i="21"/>
  <c r="G85" i="21" s="1"/>
  <c r="H23" i="21"/>
  <c r="U23" i="21" s="1"/>
  <c r="AP7" i="1"/>
  <c r="AB45" i="21"/>
  <c r="AB9" i="21"/>
  <c r="U9" i="21"/>
  <c r="AA32" i="21"/>
  <c r="S32" i="21"/>
  <c r="AB32" i="21"/>
  <c r="U32" i="21"/>
  <c r="U32" i="39"/>
  <c r="W32" i="39"/>
  <c r="W23" i="37"/>
  <c r="AC23" i="37"/>
  <c r="J63" i="37"/>
  <c r="K63" i="37" s="1"/>
  <c r="L63" i="37" s="1"/>
  <c r="M63" i="37" s="1"/>
  <c r="J11" i="37"/>
  <c r="AC11" i="37" s="1"/>
  <c r="J11" i="34"/>
  <c r="W11" i="34" s="1"/>
  <c r="AB36" i="33"/>
  <c r="W27" i="33"/>
  <c r="W25" i="33"/>
  <c r="AC25" i="33"/>
  <c r="AB19" i="33"/>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9" i="15"/>
  <c r="B9" i="76"/>
  <c r="F7" i="15"/>
  <c r="AO13" i="1"/>
  <c r="E7" i="76"/>
  <c r="J15" i="67"/>
  <c r="F7" i="73"/>
  <c r="F13" i="15"/>
  <c r="F42" i="67"/>
  <c r="F6" i="67"/>
  <c r="L47" i="15"/>
  <c r="F36" i="15"/>
  <c r="F38" i="67"/>
  <c r="B13" i="76"/>
  <c r="M22" i="15"/>
  <c r="F6" i="15"/>
  <c r="F26" i="15"/>
  <c r="F3" i="73"/>
  <c r="M9" i="67"/>
  <c r="M9" i="15"/>
  <c r="F9" i="15"/>
  <c r="E10" i="76"/>
  <c r="M26" i="67"/>
  <c r="F16" i="15"/>
  <c r="D6" i="73"/>
  <c r="M26" i="15"/>
  <c r="F43" i="15"/>
  <c r="E2" i="69"/>
  <c r="F42" i="15"/>
  <c r="M23" i="67"/>
  <c r="F40" i="15"/>
  <c r="M23" i="15"/>
  <c r="F5" i="73"/>
  <c r="L48" i="15"/>
  <c r="E8" i="76"/>
  <c r="J15" i="15"/>
  <c r="F37" i="15"/>
  <c r="E9" i="76"/>
  <c r="F8" i="15"/>
  <c r="B8" i="76"/>
  <c r="B11" i="76"/>
  <c r="M28" i="15"/>
  <c r="E2" i="68"/>
  <c r="B12" i="76"/>
  <c r="M6" i="15"/>
  <c r="E13" i="76"/>
  <c r="M24" i="15"/>
  <c r="E12" i="76"/>
  <c r="L47" i="67"/>
  <c r="F6" i="73"/>
  <c r="F38" i="15"/>
  <c r="F20" i="31"/>
  <c r="M8" i="15"/>
  <c r="B10" i="76"/>
  <c r="E11" i="76"/>
  <c r="M29" i="67"/>
  <c r="F4" i="73"/>
  <c r="C76" i="15"/>
  <c r="B7" i="76"/>
  <c r="AC40" i="34" l="1"/>
  <c r="W43" i="34"/>
  <c r="U43" i="34"/>
  <c r="AB41" i="34"/>
  <c r="W41" i="34"/>
  <c r="U39" i="34"/>
  <c r="W35" i="34"/>
  <c r="U34" i="34"/>
  <c r="U25" i="34"/>
  <c r="AC44" i="34"/>
  <c r="AA40" i="34"/>
  <c r="AB40" i="34"/>
  <c r="AC39" i="34"/>
  <c r="S37" i="34"/>
  <c r="AA35" i="34"/>
  <c r="AA33" i="34"/>
  <c r="W33" i="34"/>
  <c r="U28" i="34"/>
  <c r="AC28" i="34"/>
  <c r="S28" i="34"/>
  <c r="U27" i="34"/>
  <c r="W27" i="34"/>
  <c r="AA23" i="34"/>
  <c r="S19" i="34"/>
  <c r="W19" i="34"/>
  <c r="U19" i="34"/>
  <c r="AC17" i="34"/>
  <c r="S17" i="34"/>
  <c r="AC15" i="34"/>
  <c r="U15" i="34"/>
  <c r="J9" i="34"/>
  <c r="U9" i="34"/>
  <c r="AB8" i="34"/>
  <c r="AA8" i="34"/>
  <c r="W8" i="34"/>
  <c r="F6" i="1"/>
  <c r="C40" i="68"/>
  <c r="G22" i="11"/>
  <c r="G22" i="68"/>
  <c r="G26" i="12"/>
  <c r="G22" i="69"/>
  <c r="BA13" i="3"/>
  <c r="BL13" i="3"/>
  <c r="F29" i="6"/>
  <c r="A2" i="9"/>
  <c r="A4" i="52"/>
  <c r="B41" i="72" s="1"/>
  <c r="A118" i="9"/>
  <c r="W45" i="21"/>
  <c r="AC45" i="21"/>
  <c r="AB23" i="21"/>
  <c r="W9" i="21"/>
  <c r="S13" i="21"/>
  <c r="AB21" i="39"/>
  <c r="AB35" i="37"/>
  <c r="U42" i="33"/>
  <c r="AA35" i="33"/>
  <c r="S20" i="35"/>
  <c r="AA22" i="36"/>
  <c r="U33" i="34"/>
  <c r="AA23" i="39"/>
  <c r="AZ362" i="3"/>
  <c r="AZ390" i="3"/>
  <c r="AZ351" i="3"/>
  <c r="AZ336" i="3"/>
  <c r="AB33" i="40"/>
  <c r="AA43" i="33"/>
  <c r="W36" i="40"/>
  <c r="AA31" i="40"/>
  <c r="AB23" i="37"/>
  <c r="AA24" i="35"/>
  <c r="G521" i="3"/>
  <c r="AZ539" i="3"/>
  <c r="AZ529" i="3"/>
  <c r="AZ537" i="3"/>
  <c r="AZ518" i="3"/>
  <c r="AZ546" i="3"/>
  <c r="AB45" i="33"/>
  <c r="S14" i="37"/>
  <c r="U46" i="34"/>
  <c r="U30" i="21"/>
  <c r="AA44" i="34"/>
  <c r="AA29" i="35"/>
  <c r="AB17" i="34"/>
  <c r="W36" i="34"/>
  <c r="AA41" i="33"/>
  <c r="U23" i="34"/>
  <c r="BL587" i="3"/>
  <c r="AZ587" i="3" s="1"/>
  <c r="J24" i="36"/>
  <c r="H24" i="36"/>
  <c r="AZ513" i="3"/>
  <c r="AZ502" i="3"/>
  <c r="B97" i="43"/>
  <c r="B75" i="43"/>
  <c r="H12" i="33"/>
  <c r="U12" i="33" s="1"/>
  <c r="J12" i="33"/>
  <c r="H12" i="36"/>
  <c r="AZ306" i="3"/>
  <c r="AA25" i="33"/>
  <c r="AB19" i="40"/>
  <c r="AZ357" i="3"/>
  <c r="AZ322" i="3"/>
  <c r="AZ313" i="3"/>
  <c r="AZ394" i="3"/>
  <c r="AZ519" i="3"/>
  <c r="AZ531" i="3"/>
  <c r="AZ573" i="3"/>
  <c r="AZ583" i="3"/>
  <c r="AZ568" i="3"/>
  <c r="AZ576" i="3"/>
  <c r="AA14" i="34"/>
  <c r="G587" i="3"/>
  <c r="H36" i="35"/>
  <c r="J36" i="35"/>
  <c r="AC36" i="35" s="1"/>
  <c r="J23" i="36"/>
  <c r="J39" i="40"/>
  <c r="H39" i="40"/>
  <c r="AA17" i="33"/>
  <c r="S37" i="21"/>
  <c r="D6" i="52"/>
  <c r="AA23" i="37"/>
  <c r="S17" i="37"/>
  <c r="S43" i="34"/>
  <c r="AZ14" i="3"/>
  <c r="AZ334" i="3"/>
  <c r="AZ347" i="3"/>
  <c r="AA11" i="39"/>
  <c r="AZ523" i="3"/>
  <c r="AZ547" i="3"/>
  <c r="AZ571" i="3"/>
  <c r="AZ579" i="3"/>
  <c r="G586" i="3"/>
  <c r="G574" i="3"/>
  <c r="BL410" i="3"/>
  <c r="AZ419" i="3"/>
  <c r="G437" i="3"/>
  <c r="BL438" i="3"/>
  <c r="BL439" i="3"/>
  <c r="BL445" i="3"/>
  <c r="BL446" i="3"/>
  <c r="G455" i="3"/>
  <c r="BA551" i="3"/>
  <c r="AZ551" i="3" s="1"/>
  <c r="BA550" i="3"/>
  <c r="BL548" i="3"/>
  <c r="AZ548" i="3" s="1"/>
  <c r="G399" i="3"/>
  <c r="BL400" i="3"/>
  <c r="AZ400" i="3" s="1"/>
  <c r="BL408" i="3"/>
  <c r="BL411" i="3"/>
  <c r="BL413" i="3"/>
  <c r="AZ413" i="3" s="1"/>
  <c r="G415" i="3"/>
  <c r="G416" i="3"/>
  <c r="BL417" i="3"/>
  <c r="BL418" i="3"/>
  <c r="BL420" i="3"/>
  <c r="G422" i="3"/>
  <c r="G423" i="3"/>
  <c r="BL424" i="3"/>
  <c r="G426" i="3"/>
  <c r="G427" i="3"/>
  <c r="BL428" i="3"/>
  <c r="BL429" i="3"/>
  <c r="BL432" i="3"/>
  <c r="BL435" i="3"/>
  <c r="BL436" i="3"/>
  <c r="BL440" i="3"/>
  <c r="BA443" i="3"/>
  <c r="AZ443" i="3" s="1"/>
  <c r="G448" i="3"/>
  <c r="BL448" i="3"/>
  <c r="G450" i="3"/>
  <c r="BA457" i="3"/>
  <c r="G460" i="3"/>
  <c r="BL465" i="3"/>
  <c r="BA470" i="3"/>
  <c r="BL585" i="3"/>
  <c r="AZ585" i="3" s="1"/>
  <c r="AC31" i="35"/>
  <c r="G558" i="3"/>
  <c r="BL398" i="3"/>
  <c r="G402" i="3"/>
  <c r="BL403" i="3"/>
  <c r="AZ403" i="3" s="1"/>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BL441" i="3"/>
  <c r="AZ441" i="3" s="1"/>
  <c r="BL442" i="3"/>
  <c r="AZ448" i="3"/>
  <c r="BA452" i="3"/>
  <c r="BL455" i="3"/>
  <c r="G459" i="3"/>
  <c r="BA460" i="3"/>
  <c r="BA461" i="3"/>
  <c r="AZ483" i="3"/>
  <c r="BL550" i="3"/>
  <c r="BL15" i="3"/>
  <c r="AZ15" i="3" s="1"/>
  <c r="BA398" i="3"/>
  <c r="AZ398" i="3" s="1"/>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G444" i="3"/>
  <c r="BL444" i="3"/>
  <c r="AZ444" i="3" s="1"/>
  <c r="BA458" i="3"/>
  <c r="AZ458" i="3" s="1"/>
  <c r="BA459" i="3"/>
  <c r="G463" i="3"/>
  <c r="G464" i="3"/>
  <c r="BL467"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39" i="3"/>
  <c r="AZ239" i="3" s="1"/>
  <c r="BL239" i="3"/>
  <c r="G251" i="3"/>
  <c r="G255" i="3"/>
  <c r="BL255" i="3"/>
  <c r="G257" i="3"/>
  <c r="BL257" i="3"/>
  <c r="AZ257" i="3" s="1"/>
  <c r="BL258" i="3"/>
  <c r="G259" i="3"/>
  <c r="BL269" i="3"/>
  <c r="BA275" i="3"/>
  <c r="AZ275" i="3" s="1"/>
  <c r="BA278" i="3"/>
  <c r="AZ278" i="3" s="1"/>
  <c r="BL292" i="3"/>
  <c r="C55" i="71"/>
  <c r="D54" i="71"/>
  <c r="N65" i="71"/>
  <c r="N66" i="7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19" i="3"/>
  <c r="BA222" i="3"/>
  <c r="AZ222" i="3" s="1"/>
  <c r="BA224" i="3"/>
  <c r="AZ224" i="3" s="1"/>
  <c r="BA227" i="3"/>
  <c r="AZ227" i="3" s="1"/>
  <c r="BL285" i="3"/>
  <c r="BA291" i="3"/>
  <c r="BL295" i="3"/>
  <c r="BA298" i="3"/>
  <c r="AZ298" i="3" s="1"/>
  <c r="D34" i="71"/>
  <c r="C35" i="71"/>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88" i="3"/>
  <c r="AZ388" i="3" s="1"/>
  <c r="BA396" i="3"/>
  <c r="BA209" i="3"/>
  <c r="BL217" i="3"/>
  <c r="G218" i="3"/>
  <c r="BL220" i="3"/>
  <c r="BL221" i="3"/>
  <c r="G222" i="3"/>
  <c r="BL223" i="3"/>
  <c r="G224" i="3"/>
  <c r="BL225" i="3"/>
  <c r="BL226" i="3"/>
  <c r="BL230" i="3"/>
  <c r="BA249" i="3"/>
  <c r="BL249" i="3"/>
  <c r="BA384" i="3"/>
  <c r="AZ384" i="3" s="1"/>
  <c r="AZ217" i="3"/>
  <c r="BA218" i="3"/>
  <c r="AZ218" i="3" s="1"/>
  <c r="BL218" i="3"/>
  <c r="G229" i="3"/>
  <c r="BL231" i="3"/>
  <c r="G233" i="3"/>
  <c r="BL233" i="3"/>
  <c r="AZ233" i="3" s="1"/>
  <c r="G235" i="3"/>
  <c r="BL235" i="3"/>
  <c r="AZ235" i="3" s="1"/>
  <c r="BL236" i="3"/>
  <c r="G237" i="3"/>
  <c r="BL238" i="3"/>
  <c r="G239" i="3"/>
  <c r="BL243" i="3"/>
  <c r="BA247" i="3"/>
  <c r="AZ247" i="3" s="1"/>
  <c r="BL247" i="3"/>
  <c r="BL252" i="3"/>
  <c r="BA253" i="3"/>
  <c r="BL259" i="3"/>
  <c r="BL260" i="3"/>
  <c r="BL263" i="3"/>
  <c r="BA270" i="3"/>
  <c r="AZ270" i="3" s="1"/>
  <c r="BA272" i="3"/>
  <c r="AZ272" i="3" s="1"/>
  <c r="G287" i="3"/>
  <c r="BA290" i="3"/>
  <c r="BA293" i="3"/>
  <c r="D60" i="71"/>
  <c r="T60" i="71"/>
  <c r="D44" i="71"/>
  <c r="T44" i="71"/>
  <c r="AZ52" i="3"/>
  <c r="AC18" i="36"/>
  <c r="W18" i="36"/>
  <c r="AB25" i="40"/>
  <c r="U25" i="40"/>
  <c r="D75" i="71"/>
  <c r="C74" i="71"/>
  <c r="D74" i="71" s="1"/>
  <c r="C31" i="71"/>
  <c r="D30" i="71"/>
  <c r="Y27" i="71"/>
  <c r="Z27" i="71" s="1"/>
  <c r="Y26" i="71"/>
  <c r="Z26" i="71" s="1"/>
  <c r="BL113" i="3"/>
  <c r="BL115" i="3"/>
  <c r="AZ115" i="3" s="1"/>
  <c r="BA118" i="3"/>
  <c r="AZ118" i="3" s="1"/>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BA68" i="3"/>
  <c r="BA80" i="3"/>
  <c r="BL84" i="3"/>
  <c r="G103" i="3"/>
  <c r="BA103" i="3"/>
  <c r="B13" i="1"/>
  <c r="E13" i="1" s="1"/>
  <c r="K13" i="1"/>
  <c r="M13" i="1" s="1"/>
  <c r="O13" i="1" s="1"/>
  <c r="P13" i="1" s="1"/>
  <c r="F40" i="69"/>
  <c r="C40" i="69"/>
  <c r="U21" i="33"/>
  <c r="AB21" i="33"/>
  <c r="AC18" i="35"/>
  <c r="W18" i="35"/>
  <c r="B100" i="43"/>
  <c r="B57" i="43"/>
  <c r="B68" i="43"/>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L291" i="3"/>
  <c r="BL293" i="3"/>
  <c r="BL294" i="3"/>
  <c r="AZ294" i="3" s="1"/>
  <c r="BA297" i="3"/>
  <c r="AZ297" i="3" s="1"/>
  <c r="BL297" i="3"/>
  <c r="BL300" i="3"/>
  <c r="BA302" i="3"/>
  <c r="AZ302" i="3" s="1"/>
  <c r="BA117" i="3"/>
  <c r="BA130" i="3"/>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7" i="3"/>
  <c r="BA27" i="3"/>
  <c r="BL30" i="3"/>
  <c r="BL31" i="3"/>
  <c r="G37" i="3"/>
  <c r="BL40" i="3"/>
  <c r="BL41" i="3"/>
  <c r="BL45" i="3"/>
  <c r="BA48" i="3"/>
  <c r="BA49" i="3"/>
  <c r="BA51" i="3"/>
  <c r="G55" i="3"/>
  <c r="BL56" i="3"/>
  <c r="BA58" i="3"/>
  <c r="BL59" i="3"/>
  <c r="BL60" i="3"/>
  <c r="BA61" i="3"/>
  <c r="AZ61" i="3" s="1"/>
  <c r="BL69" i="3"/>
  <c r="AZ69" i="3" s="1"/>
  <c r="BL70" i="3"/>
  <c r="AZ70" i="3" s="1"/>
  <c r="BL71" i="3"/>
  <c r="BL72" i="3"/>
  <c r="AZ72" i="3" s="1"/>
  <c r="BA75" i="3"/>
  <c r="AZ75" i="3" s="1"/>
  <c r="BL86" i="3"/>
  <c r="AZ86" i="3" s="1"/>
  <c r="BL93" i="3"/>
  <c r="BL111" i="3"/>
  <c r="W21" i="37"/>
  <c r="AC21" i="37"/>
  <c r="U21" i="37"/>
  <c r="AB21" i="34"/>
  <c r="U21" i="34"/>
  <c r="D43" i="71"/>
  <c r="AB27" i="71"/>
  <c r="C86" i="71"/>
  <c r="D86" i="71" s="1"/>
  <c r="D87" i="71"/>
  <c r="O68" i="71"/>
  <c r="C52" i="71"/>
  <c r="D51" i="71"/>
  <c r="X26" i="71"/>
  <c r="AB34" i="71"/>
  <c r="C63" i="71"/>
  <c r="D62" i="71"/>
  <c r="F66" i="71"/>
  <c r="Q67" i="71"/>
  <c r="P68" i="71"/>
  <c r="U68" i="7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BL49" i="3"/>
  <c r="BL50" i="3"/>
  <c r="AZ50" i="3" s="1"/>
  <c r="BL51" i="3"/>
  <c r="BL64" i="3"/>
  <c r="G65" i="3"/>
  <c r="BL65" i="3"/>
  <c r="AZ65" i="3" s="1"/>
  <c r="BL66" i="3"/>
  <c r="BL67" i="3"/>
  <c r="AZ67" i="3" s="1"/>
  <c r="G69" i="3"/>
  <c r="G72" i="3"/>
  <c r="BL73" i="3"/>
  <c r="BA74" i="3"/>
  <c r="AZ74" i="3" s="1"/>
  <c r="BL79" i="3"/>
  <c r="BL81" i="3"/>
  <c r="BA82" i="3"/>
  <c r="AZ82" i="3" s="1"/>
  <c r="BL83" i="3"/>
  <c r="G86" i="3"/>
  <c r="BA87" i="3"/>
  <c r="BA89" i="3"/>
  <c r="G93" i="3"/>
  <c r="BA98" i="3"/>
  <c r="BL103" i="3"/>
  <c r="G104" i="3"/>
  <c r="BA106" i="3"/>
  <c r="BL108" i="3"/>
  <c r="AZ108" i="3" s="1"/>
  <c r="W21" i="21"/>
  <c r="C29" i="39"/>
  <c r="P66" i="71"/>
  <c r="AB25" i="71"/>
  <c r="AB28" i="71"/>
  <c r="D46" i="71"/>
  <c r="T28" i="71"/>
  <c r="D28" i="71"/>
  <c r="U28" i="71" s="1"/>
  <c r="C27" i="71"/>
  <c r="X33" i="71"/>
  <c r="X34" i="71"/>
  <c r="X36" i="71"/>
  <c r="AB37" i="71"/>
  <c r="AB35" i="71"/>
  <c r="S72" i="71"/>
  <c r="V72" i="71"/>
  <c r="F71" i="71"/>
  <c r="F70" i="71" s="1"/>
  <c r="V80" i="71"/>
  <c r="V24" i="71"/>
  <c r="E23" i="71"/>
  <c r="E22" i="71" s="1"/>
  <c r="E21" i="71" s="1"/>
  <c r="E20" i="71" s="1"/>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F66" i="67"/>
  <c r="L59" i="15"/>
  <c r="N59" i="15"/>
  <c r="L58" i="15"/>
  <c r="M59" i="15"/>
  <c r="F66" i="15"/>
  <c r="F64" i="15"/>
  <c r="C27" i="15"/>
  <c r="F65" i="15"/>
  <c r="N59" i="67"/>
  <c r="L59" i="67"/>
  <c r="M59" i="67"/>
  <c r="B13" i="70"/>
  <c r="F68" i="15"/>
  <c r="C36" i="68"/>
  <c r="D9" i="68"/>
  <c r="D5" i="73"/>
  <c r="C36" i="69"/>
  <c r="M6" i="67"/>
  <c r="F8" i="67"/>
  <c r="D9" i="69"/>
  <c r="F36" i="67"/>
  <c r="F16" i="67"/>
  <c r="M22" i="67"/>
  <c r="D4" i="73"/>
  <c r="C16" i="15"/>
  <c r="C76" i="67"/>
  <c r="L48" i="67"/>
  <c r="F26" i="67"/>
  <c r="M28" i="67"/>
  <c r="M24" i="67"/>
  <c r="D7" i="73"/>
  <c r="F7" i="67"/>
  <c r="D3" i="73"/>
  <c r="M8" i="67"/>
  <c r="F13" i="67"/>
  <c r="F9" i="67"/>
  <c r="F37" i="67"/>
  <c r="F43" i="67"/>
  <c r="F40" i="67"/>
  <c r="AC9" i="34" l="1"/>
  <c r="W9" i="34"/>
  <c r="N94" i="46"/>
  <c r="J26" i="43"/>
  <c r="N370" i="46"/>
  <c r="F26" i="43"/>
  <c r="E26" i="43"/>
  <c r="Q16" i="1"/>
  <c r="P6" i="1"/>
  <c r="C13" i="12" s="1"/>
  <c r="E28" i="6"/>
  <c r="K14" i="1" s="1"/>
  <c r="K16" i="1" s="1"/>
  <c r="F65" i="67"/>
  <c r="C27" i="67"/>
  <c r="F51" i="67"/>
  <c r="C6" i="67"/>
  <c r="C32" i="67" s="1"/>
  <c r="L56" i="67"/>
  <c r="L58" i="67"/>
  <c r="Q73" i="67" s="1"/>
  <c r="I54" i="67"/>
  <c r="J53" i="67"/>
  <c r="Q52" i="67" s="1"/>
  <c r="J57" i="67"/>
  <c r="J55" i="67" s="1"/>
  <c r="J58" i="67" s="1"/>
  <c r="Q50" i="67" s="1"/>
  <c r="F68" i="67"/>
  <c r="F71" i="67"/>
  <c r="Q71" i="67"/>
  <c r="F64" i="67"/>
  <c r="F50" i="67"/>
  <c r="M7" i="67"/>
  <c r="J6" i="67" s="1"/>
  <c r="J18" i="67" s="1"/>
  <c r="F31" i="67"/>
  <c r="G16" i="1"/>
  <c r="F10" i="39" s="1"/>
  <c r="S10" i="39" s="1"/>
  <c r="AZ71" i="3"/>
  <c r="AZ45" i="3"/>
  <c r="C64" i="71"/>
  <c r="D63" i="71"/>
  <c r="T52" i="71"/>
  <c r="D52" i="71"/>
  <c r="AZ64" i="3"/>
  <c r="AZ27" i="3"/>
  <c r="AZ459" i="3"/>
  <c r="AZ550" i="3"/>
  <c r="AC24" i="36"/>
  <c r="W24" i="36"/>
  <c r="C26" i="71"/>
  <c r="D26" i="71" s="1"/>
  <c r="D27" i="71"/>
  <c r="B19" i="71"/>
  <c r="B18" i="71" s="1"/>
  <c r="B17" i="71" s="1"/>
  <c r="B16" i="71" s="1"/>
  <c r="S20" i="71"/>
  <c r="C36" i="71"/>
  <c r="D35" i="71"/>
  <c r="AZ291" i="3"/>
  <c r="AZ457" i="3"/>
  <c r="U39" i="40"/>
  <c r="AB39" i="40"/>
  <c r="AB36" i="35"/>
  <c r="U36" i="35"/>
  <c r="U12" i="36"/>
  <c r="AB12" i="36"/>
  <c r="AZ271" i="3"/>
  <c r="AZ51" i="3"/>
  <c r="C22" i="71"/>
  <c r="D23" i="71"/>
  <c r="D67" i="71"/>
  <c r="C66" i="71"/>
  <c r="O67" i="71"/>
  <c r="AZ41" i="3"/>
  <c r="AZ5" i="3" s="1"/>
  <c r="AZ31" i="3"/>
  <c r="D31" i="71"/>
  <c r="C32" i="71"/>
  <c r="AZ249" i="3"/>
  <c r="AZ461" i="3"/>
  <c r="AC39" i="40"/>
  <c r="W39" i="40"/>
  <c r="AC12" i="33"/>
  <c r="W12" i="33"/>
  <c r="G5" i="3"/>
  <c r="B3" i="3" s="1"/>
  <c r="E536" i="3" s="1"/>
  <c r="AZ58" i="3"/>
  <c r="AZ49" i="3"/>
  <c r="AZ130" i="3"/>
  <c r="AZ282" i="3"/>
  <c r="AZ241" i="3"/>
  <c r="T40" i="71"/>
  <c r="D40" i="71"/>
  <c r="AZ103" i="3"/>
  <c r="AZ59" i="3"/>
  <c r="AZ353" i="3"/>
  <c r="C56" i="71"/>
  <c r="D55" i="71"/>
  <c r="AZ332" i="3"/>
  <c r="AZ460" i="3"/>
  <c r="AC23" i="36"/>
  <c r="W23" i="36"/>
  <c r="AB24" i="36"/>
  <c r="U24" i="36"/>
  <c r="J7" i="37"/>
  <c r="W7" i="37" s="1"/>
  <c r="K1" i="73"/>
  <c r="E212" i="3"/>
  <c r="E575" i="3"/>
  <c r="E466" i="3"/>
  <c r="E449" i="3"/>
  <c r="AP6" i="3"/>
  <c r="E517" i="3"/>
  <c r="E417" i="3"/>
  <c r="E479" i="3"/>
  <c r="E152" i="3"/>
  <c r="E258" i="3"/>
  <c r="E241" i="3"/>
  <c r="E389" i="3"/>
  <c r="E544" i="3"/>
  <c r="E409" i="3"/>
  <c r="E467" i="3"/>
  <c r="E46" i="3"/>
  <c r="E160" i="3"/>
  <c r="E371" i="3"/>
  <c r="E310" i="3"/>
  <c r="E492" i="3"/>
  <c r="E33" i="3"/>
  <c r="E184" i="3"/>
  <c r="E355" i="3"/>
  <c r="E63" i="3"/>
  <c r="E283" i="3"/>
  <c r="E309" i="3"/>
  <c r="E198" i="3"/>
  <c r="E281" i="3"/>
  <c r="E391" i="3"/>
  <c r="E482" i="3"/>
  <c r="E18" i="3"/>
  <c r="E174" i="3"/>
  <c r="E383" i="3"/>
  <c r="E34" i="3"/>
  <c r="E206" i="3"/>
  <c r="E113" i="3"/>
  <c r="E308" i="3"/>
  <c r="E22" i="3"/>
  <c r="E173" i="3"/>
  <c r="E525" i="3"/>
  <c r="E405" i="3"/>
  <c r="E469" i="3"/>
  <c r="E408" i="3"/>
  <c r="E451" i="3"/>
  <c r="E497" i="3"/>
  <c r="E13" i="3"/>
  <c r="E452" i="3"/>
  <c r="E26" i="3"/>
  <c r="E104" i="3"/>
  <c r="E41" i="3"/>
  <c r="E225" i="3"/>
  <c r="E243" i="3"/>
  <c r="E356" i="3"/>
  <c r="E412" i="3"/>
  <c r="E78" i="3"/>
  <c r="E190" i="3"/>
  <c r="E324" i="3"/>
  <c r="E342" i="3"/>
  <c r="E35"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H10" i="40"/>
  <c r="AB10" i="40" s="1"/>
  <c r="D26" i="43"/>
  <c r="C25" i="43" s="1"/>
  <c r="C7" i="43"/>
  <c r="C5" i="43" s="1"/>
  <c r="D10" i="52"/>
  <c r="D125" i="9"/>
  <c r="D11" i="52" s="1"/>
  <c r="B7" i="74"/>
  <c r="C7" i="74" s="1"/>
  <c r="F59" i="67"/>
  <c r="H7" i="37"/>
  <c r="AB7" i="37" s="1"/>
  <c r="T42" i="37" s="1"/>
  <c r="G42" i="37" s="1"/>
  <c r="H7" i="33"/>
  <c r="J7" i="33"/>
  <c r="D65" i="40"/>
  <c r="E63" i="40"/>
  <c r="F48" i="35"/>
  <c r="S7" i="36"/>
  <c r="AA7" i="36"/>
  <c r="R36" i="36" s="1"/>
  <c r="AC7" i="37"/>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F27" i="68"/>
  <c r="AE7" i="1"/>
  <c r="AE8" i="1"/>
  <c r="AE12" i="1"/>
  <c r="AE10" i="1"/>
  <c r="C16" i="67"/>
  <c r="F27" i="69"/>
  <c r="G1" i="73"/>
  <c r="F67" i="39" l="1"/>
  <c r="C47" i="69"/>
  <c r="D45" i="69" s="1"/>
  <c r="C29" i="69"/>
  <c r="D27" i="69" s="1"/>
  <c r="F45" i="69"/>
  <c r="F10" i="40"/>
  <c r="S10" i="40" s="1"/>
  <c r="J10" i="40"/>
  <c r="AC10" i="40" s="1"/>
  <c r="AA10" i="39"/>
  <c r="H10" i="39"/>
  <c r="U10" i="39" s="1"/>
  <c r="J10" i="39"/>
  <c r="W10" i="39" s="1"/>
  <c r="Q60" i="67"/>
  <c r="E49" i="3"/>
  <c r="E220" i="3"/>
  <c r="E428" i="3"/>
  <c r="E115" i="3"/>
  <c r="E420" i="3"/>
  <c r="E360" i="3"/>
  <c r="E456" i="3"/>
  <c r="E197" i="3"/>
  <c r="AF6" i="3"/>
  <c r="AC6" i="3" s="1"/>
  <c r="E235" i="3"/>
  <c r="E42" i="3"/>
  <c r="E513" i="3"/>
  <c r="E68" i="3"/>
  <c r="E67" i="3"/>
  <c r="E267" i="3"/>
  <c r="E484" i="3"/>
  <c r="E349" i="3"/>
  <c r="E37" i="3"/>
  <c r="E554" i="3"/>
  <c r="E502" i="3"/>
  <c r="E430" i="3"/>
  <c r="E499" i="3"/>
  <c r="E539" i="3"/>
  <c r="E470" i="3"/>
  <c r="E556" i="3"/>
  <c r="E512" i="3"/>
  <c r="T6" i="3"/>
  <c r="E205" i="3"/>
  <c r="E102" i="3"/>
  <c r="E86" i="3"/>
  <c r="E96" i="3"/>
  <c r="AL6" i="3"/>
  <c r="E494" i="3"/>
  <c r="E81" i="3"/>
  <c r="E233" i="3"/>
  <c r="E84" i="3"/>
  <c r="E249" i="3"/>
  <c r="E64" i="3"/>
  <c r="E59" i="3"/>
  <c r="E292" i="3"/>
  <c r="E95" i="3"/>
  <c r="E491" i="3"/>
  <c r="E255" i="3"/>
  <c r="E442" i="3"/>
  <c r="E286" i="3"/>
  <c r="C49" i="67"/>
  <c r="J5" i="67"/>
  <c r="J24" i="67" s="1"/>
  <c r="F1" i="67"/>
  <c r="AY6" i="3"/>
  <c r="E3" i="6"/>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32" i="71"/>
  <c r="D32" i="71"/>
  <c r="D22" i="71"/>
  <c r="C21" i="71"/>
  <c r="D36" i="71"/>
  <c r="T36" i="71"/>
  <c r="M17" i="67"/>
  <c r="O65" i="71"/>
  <c r="D66" i="71"/>
  <c r="O66" i="71"/>
  <c r="D56" i="71"/>
  <c r="T56" i="71"/>
  <c r="T64" i="71"/>
  <c r="D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67"/>
  <c r="M27" i="15"/>
  <c r="AE6" i="1"/>
  <c r="R50" i="34" l="1"/>
  <c r="G54" i="34"/>
  <c r="H54" i="34" s="1"/>
  <c r="AB10" i="39"/>
  <c r="F22" i="68"/>
  <c r="F41" i="68" s="1"/>
  <c r="F25" i="12"/>
  <c r="C26" i="12" s="1"/>
  <c r="D25" i="12" s="1"/>
  <c r="C48" i="67"/>
  <c r="C66" i="67" s="1"/>
  <c r="D21" i="71"/>
  <c r="C20" i="71"/>
  <c r="D116" i="43"/>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F41" i="67"/>
  <c r="C14" i="67"/>
  <c r="D10" i="69"/>
  <c r="C17" i="67"/>
  <c r="C34" i="69"/>
  <c r="C17" i="15"/>
  <c r="E53" i="34" l="1"/>
  <c r="F53" i="34" s="1"/>
  <c r="F69" i="67"/>
  <c r="C23" i="68"/>
  <c r="C44" i="68"/>
  <c r="D41" i="68" s="1"/>
  <c r="C26" i="68"/>
  <c r="D22" i="68" s="1"/>
  <c r="C60" i="67"/>
  <c r="C26" i="11"/>
  <c r="D22" i="11" s="1"/>
  <c r="C44" i="11"/>
  <c r="D41" i="11" s="1"/>
  <c r="D20" i="71"/>
  <c r="U20" i="71" s="1"/>
  <c r="T20" i="71"/>
  <c r="C19" i="7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I42" i="35" l="1"/>
  <c r="J42" i="35" s="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6"/>
  <c r="D19" i="9"/>
  <c r="D2" i="34"/>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9" i="1"/>
  <c r="AO6" i="1"/>
  <c r="AO12" i="1"/>
  <c r="AO8" i="1"/>
  <c r="AO11" i="1"/>
  <c r="C19" i="9"/>
  <c r="AO10" i="1"/>
  <c r="D20" i="9"/>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02" i="9" s="1"/>
  <c r="E14" i="74" s="1"/>
  <c r="C105" i="9" l="1"/>
  <c r="D7" i="53"/>
  <c r="B21" i="72" s="1"/>
  <c r="E118" i="9"/>
  <c r="H118" i="9"/>
  <c r="I4" i="52"/>
  <c r="F118" i="9"/>
  <c r="F119" i="9" l="1"/>
  <c r="F5" i="52" s="1"/>
  <c r="B53" i="72" s="1"/>
  <c r="F4" i="52"/>
  <c r="B51" i="72" s="1"/>
  <c r="H101" i="9"/>
  <c r="D14" i="74" s="1"/>
  <c r="B5" i="74" s="1"/>
  <c r="C104" i="9"/>
  <c r="H4" i="52"/>
  <c r="H119" i="9"/>
  <c r="H5" i="52" s="1"/>
  <c r="D118" i="9"/>
  <c r="E4" i="52"/>
  <c r="B48" i="72" s="1"/>
  <c r="F14" i="74" l="1"/>
  <c r="D5" i="74"/>
  <c r="C5" i="74"/>
  <c r="D119" i="9"/>
  <c r="D5" i="52" s="1"/>
  <c r="B49" i="72" s="1"/>
  <c r="D4" i="52"/>
  <c r="B47" i="72" s="1"/>
  <c r="H107" i="9"/>
  <c r="G14" i="74" s="1"/>
  <c r="B6" i="74" s="1"/>
  <c r="D6" i="74" s="1"/>
  <c r="D45" i="9"/>
  <c r="M48" i="9"/>
  <c r="D5" i="53"/>
  <c r="D13" i="53" l="1"/>
  <c r="D122" i="9"/>
  <c r="H108" i="9"/>
  <c r="M49" i="9"/>
  <c r="C85" i="9"/>
  <c r="C72" i="9"/>
  <c r="D52" i="9"/>
  <c r="C93" i="9"/>
  <c r="C86" i="9" s="1"/>
  <c r="C64" i="9"/>
  <c r="C63" i="9" s="1"/>
  <c r="C67" i="9" s="1"/>
  <c r="D53" i="9"/>
  <c r="C78" i="9"/>
  <c r="C73" i="9" s="1"/>
  <c r="D55" i="9"/>
  <c r="M53" i="9" s="1"/>
  <c r="B20" i="72"/>
  <c r="D6" i="53"/>
  <c r="B22" i="72" s="1"/>
  <c r="L65" i="9" l="1"/>
  <c r="M65" i="9" s="1"/>
  <c r="L68" i="9"/>
  <c r="M68" i="9" s="1"/>
  <c r="L66" i="9"/>
  <c r="M66" i="9" s="1"/>
  <c r="L63" i="9"/>
  <c r="M63" i="9" s="1"/>
  <c r="L67" i="9"/>
  <c r="M67" i="9" s="1"/>
  <c r="L64" i="9"/>
  <c r="M64" i="9" s="1"/>
  <c r="D15" i="53"/>
  <c r="B31" i="72" s="1"/>
  <c r="C6" i="74"/>
  <c r="C79" i="9"/>
  <c r="D123" i="9"/>
  <c r="D9" i="52" s="1"/>
  <c r="D8" i="52"/>
  <c r="D59" i="9"/>
  <c r="M55" i="9" s="1"/>
  <c r="C68" i="9"/>
  <c r="D54" i="9" s="1"/>
  <c r="C95" i="9"/>
  <c r="B30" i="72"/>
  <c r="D14" i="53"/>
  <c r="B32" i="72" s="1"/>
  <c r="C96" i="9" l="1"/>
  <c r="E96" i="9" s="1"/>
  <c r="E97" i="9" s="1"/>
  <c r="C97" i="9"/>
  <c r="D58" i="9" s="1"/>
  <c r="D56" i="9" s="1"/>
  <c r="M54" i="9" s="1"/>
  <c r="N57" i="9" s="1"/>
  <c r="C80" i="9"/>
  <c r="E80" i="9" s="1"/>
  <c r="E81" i="9" s="1"/>
  <c r="M69" i="9"/>
  <c r="N69" i="9" s="1"/>
  <c r="N58" i="9" l="1"/>
  <c r="P57" i="9"/>
  <c r="N59"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<sst xmlns="http://schemas.openxmlformats.org/spreadsheetml/2006/main" count="7986" uniqueCount="3511">
  <si>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</si>
  <si>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</si>
  <si>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</si>
  <si>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</si>
  <si>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</si>
  <si>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</si>
  <si>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</si>
  <si>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</si>
  <si>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</si>
  <si>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</si>
  <si>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</si>
  <si>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</si>
  <si>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</si>
  <si>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</si>
  <si>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</si>
  <si>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</si>
  <si>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</si>
  <si>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</si>
  <si>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</si>
  <si>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</si>
  <si>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</si>
  <si>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</si>
  <si>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</si>
  <si>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</si>
  <si>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</si>
  <si>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</si>
  <si>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</si>
  <si>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</si>
  <si>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</si>
  <si>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</si>
  <si>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</si>
  <si>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</si>
  <si>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</si>
  <si>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</si>
  <si>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</si>
  <si>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</si>
  <si>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</si>
  <si>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</si>
  <si>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</si>
  <si>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</si>
  <si>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</si>
  <si>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</si>
  <si>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</si>
  <si>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</si>
  <si>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</si>
  <si>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</si>
  <si>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</si>
  <si>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</si>
  <si>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</si>
  <si>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</si>
  <si>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</si>
  <si>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</si>
  <si>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</si>
  <si>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</si>
  <si>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</si>
  <si>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</si>
  <si>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</si>
  <si>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</si>
  <si>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</si>
  <si>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</si>
  <si>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</si>
  <si>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</si>
  <si>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</si>
  <si>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</si>
  <si>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</si>
  <si>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</si>
  <si>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</si>
  <si>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</si>
  <si>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</si>
  <si>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</si>
  <si>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</si>
  <si>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</si>
  <si>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</si>
  <si>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</si>
  <si>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</si>
  <si>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</si>
  <si>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</si>
  <si>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</si>
  <si>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</si>
  <si>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</si>
  <si>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</si>
  <si>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</si>
  <si>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</si>
  <si>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</si>
  <si>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</si>
  <si>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</si>
  <si>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</si>
  <si>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</si>
  <si>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</si>
  <si>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</si>
  <si>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</si>
  <si>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</si>
  <si>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</si>
  <si>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</si>
  <si>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</si>
  <si>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</si>
  <si>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</si>
  <si>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</si>
  <si>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</si>
  <si>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</si>
  <si>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</si>
  <si>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</si>
  <si>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</si>
  <si>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</si>
  <si>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</si>
  <si>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</si>
  <si>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</si>
  <si>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</si>
  <si>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</si>
  <si>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</si>
  <si>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</si>
  <si>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</si>
  <si>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</si>
  <si>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</si>
  <si>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</si>
  <si>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</si>
  <si>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</si>
  <si>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</si>
  <si>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</si>
  <si>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</si>
  <si>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</si>
  <si>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</si>
  <si>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</si>
  <si>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</si>
  <si>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</si>
  <si>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</si>
  <si>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</si>
  <si>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</si>
  <si>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</si>
  <si>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</si>
  <si>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</si>
  <si>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</si>
  <si>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</si>
  <si>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</si>
  <si>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</si>
  <si>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</si>
  <si>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</si>
  <si>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</si>
  <si>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</si>
  <si>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</si>
  <si>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</si>
  <si>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</si>
  <si>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</si>
  <si>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</si>
  <si>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</si>
  <si>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</si>
  <si>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</si>
  <si>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</si>
  <si>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</si>
  <si>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</si>
  <si>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</si>
  <si>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</si>
  <si>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</si>
  <si>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</si>
  <si>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</si>
  <si>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</si>
  <si>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</si>
  <si>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</si>
  <si>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</si>
  <si>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</si>
  <si>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</si>
  <si>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</si>
  <si>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</si>
  <si>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</si>
  <si>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</si>
  <si>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</si>
  <si>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</si>
  <si>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</si>
  <si>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</si>
  <si>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</si>
  <si>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</si>
  <si>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</si>
  <si>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</si>
  <si>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</si>
  <si>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</si>
  <si>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</si>
  <si>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</si>
  <si>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</si>
  <si>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</si>
  <si>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</si>
  <si>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</si>
  <si>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</si>
  <si>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</si>
  <si>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</si>
  <si>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</si>
  <si>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</si>
  <si>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</si>
  <si>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</si>
  <si>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</si>
  <si>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</si>
  <si>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</si>
  <si>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</si>
  <si>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</si>
  <si>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</si>
  <si>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</si>
  <si>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</si>
  <si>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</si>
  <si>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</si>
  <si>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</si>
  <si>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</si>
  <si>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</si>
  <si>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</si>
  <si>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</si>
  <si>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</si>
  <si>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</si>
  <si>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</si>
  <si>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</si>
  <si>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</si>
  <si>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</si>
  <si>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</si>
  <si>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</si>
  <si>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</si>
  <si>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</si>
  <si>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</si>
  <si>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</si>
  <si>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</si>
  <si>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</si>
  <si>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</si>
  <si>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</si>
  <si>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</si>
  <si>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</si>
  <si>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</si>
  <si>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</si>
  <si>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</si>
  <si>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</si>
  <si>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</si>
  <si>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</si>
  <si>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</si>
  <si>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</si>
  <si>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</si>
  <si>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</si>
  <si>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</si>
  <si>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</si>
  <si>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</si>
  <si>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</si>
  <si>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</si>
  <si>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</si>
  <si>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</si>
  <si>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</si>
  <si>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</si>
  <si>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</si>
  <si>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</si>
  <si>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</si>
  <si>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</si>
  <si>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</si>
  <si>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</si>
  <si>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</si>
  <si>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</si>
  <si>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</si>
  <si>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</si>
  <si>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</si>
  <si>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</si>
  <si>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</si>
  <si>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</si>
  <si>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</si>
  <si>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</si>
  <si>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</si>
  <si>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</si>
  <si>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</si>
  <si>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</si>
  <si>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</si>
  <si>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</si>
  <si>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</si>
  <si>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</si>
  <si>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</si>
  <si>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</si>
  <si>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</si>
  <si>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</si>
  <si>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</si>
  <si>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</si>
  <si>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</si>
  <si>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</si>
  <si>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</si>
  <si>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</si>
  <si>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</si>
  <si>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</si>
  <si>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</si>
  <si>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</si>
  <si>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</si>
  <si>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</si>
  <si>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</si>
  <si>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</si>
  <si>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</si>
  <si>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</si>
  <si>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</si>
  <si>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</si>
  <si>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</si>
  <si>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</si>
  <si>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</si>
  <si>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</si>
  <si>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</si>
  <si>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</si>
  <si>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</si>
  <si>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</si>
  <si>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</si>
  <si>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</si>
  <si>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</si>
  <si>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</si>
  <si>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</si>
  <si>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</si>
  <si>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</si>
  <si>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</si>
  <si>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</si>
  <si>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</si>
  <si>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</si>
  <si>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</si>
  <si>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</si>
  <si>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</si>
  <si>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</si>
  <si>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</si>
  <si>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</si>
  <si>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</si>
  <si>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</si>
  <si>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</si>
  <si>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</si>
  <si>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</si>
  <si>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</si>
  <si>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</si>
  <si>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</si>
  <si>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</si>
  <si>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</si>
  <si>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</si>
  <si>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</si>
  <si>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</si>
  <si>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</si>
  <si>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</si>
  <si>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</si>
  <si>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</si>
  <si>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</si>
  <si>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</si>
  <si>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</si>
  <si>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</si>
  <si>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</si>
  <si>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</si>
  <si>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</si>
  <si>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</si>
  <si>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</si>
  <si>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</si>
  <si>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</si>
  <si>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</si>
  <si>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</si>
  <si>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</si>
  <si>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</si>
  <si>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</si>
  <si>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</si>
  <si>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</si>
  <si>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</si>
  <si>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</si>
  <si>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</si>
  <si>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</si>
  <si>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</si>
  <si>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</si>
  <si>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</si>
  <si>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</si>
  <si>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</si>
  <si>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</si>
  <si>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</si>
  <si>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</si>
  <si>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</si>
  <si>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</si>
  <si>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</si>
  <si>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</si>
  <si>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</si>
  <si>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</si>
  <si>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</si>
  <si>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</si>
  <si>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</si>
  <si>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</si>
  <si>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</si>
  <si>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</si>
  <si>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</si>
  <si>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</si>
  <si>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</si>
  <si>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</si>
  <si>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</si>
  <si>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</si>
  <si>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</si>
  <si>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</si>
  <si>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</si>
  <si>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</si>
  <si>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</si>
  <si>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</si>
  <si>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</si>
  <si>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</si>
  <si>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</si>
  <si>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</si>
  <si>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</si>
  <si>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</si>
  <si>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</si>
  <si>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</si>
  <si>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</si>
  <si>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</si>
  <si>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</si>
  <si>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</si>
  <si>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</si>
  <si>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</si>
  <si>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</si>
  <si>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</si>
  <si>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</si>
  <si>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</si>
  <si>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</si>
  <si>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</si>
  <si>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</si>
  <si>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</si>
  <si>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</si>
  <si>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</si>
  <si>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</si>
  <si>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</si>
  <si>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</si>
  <si>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</si>
  <si>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</si>
  <si>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</si>
  <si>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</si>
  <si>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</si>
  <si>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</si>
  <si>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</si>
  <si>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</si>
  <si>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</si>
  <si>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</si>
  <si>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</si>
  <si>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</si>
  <si>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</si>
  <si>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</si>
  <si>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</si>
  <si>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</si>
  <si>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</si>
  <si>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</si>
  <si>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</si>
  <si>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</si>
  <si>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</si>
  <si>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</si>
  <si>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</si>
  <si>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</si>
  <si>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</si>
  <si>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</si>
  <si>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</si>
  <si>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</si>
  <si>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</si>
  <si>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</si>
  <si>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</si>
  <si>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</si>
  <si>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</si>
  <si>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</si>
  <si>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</si>
  <si>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</si>
  <si>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</si>
  <si>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</si>
  <si>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</si>
  <si>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</si>
  <si>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</si>
  <si>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</si>
  <si>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</si>
  <si>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</si>
  <si>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</si>
  <si>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</si>
  <si>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</si>
  <si>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</si>
  <si>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</si>
  <si>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</si>
  <si>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</si>
  <si>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</si>
  <si>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</si>
  <si>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</si>
  <si>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</si>
  <si>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</si>
  <si>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</si>
  <si>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</si>
  <si>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</si>
  <si>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</si>
  <si>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</si>
  <si>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</si>
  <si>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</si>
  <si>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</si>
  <si>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</si>
  <si>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</si>
  <si>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</si>
  <si>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</si>
  <si>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</si>
  <si>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</si>
  <si>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</si>
  <si>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</si>
  <si>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</si>
  <si>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</si>
  <si>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</si>
  <si>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</si>
  <si>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</si>
  <si>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</si>
  <si>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</si>
  <si>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</si>
  <si>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</si>
  <si>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</si>
  <si>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</si>
  <si>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</si>
  <si>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</si>
  <si>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</si>
  <si>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</si>
  <si>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</si>
  <si>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</si>
  <si>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</si>
  <si>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</si>
  <si>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</si>
  <si>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</si>
  <si>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</si>
  <si>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</si>
  <si>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</si>
  <si>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</si>
  <si>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</si>
  <si>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</si>
  <si>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</si>
  <si>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</si>
  <si>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</si>
  <si>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</si>
  <si>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</si>
  <si>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</si>
  <si>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</si>
  <si>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</si>
  <si>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</si>
  <si>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</si>
  <si>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</si>
  <si>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</si>
  <si>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</si>
  <si>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</si>
  <si>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</si>
  <si>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</si>
  <si>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</si>
  <si>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</si>
  <si>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</si>
  <si>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</si>
  <si>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</si>
  <si>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</si>
  <si>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</si>
  <si>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</si>
  <si>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</si>
  <si>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</si>
  <si>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</si>
  <si>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</si>
  <si>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</si>
  <si>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</si>
  <si>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</si>
  <si>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</si>
  <si>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</si>
  <si>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</si>
  <si>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</si>
  <si>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</si>
  <si>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</si>
  <si>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</si>
  <si>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</si>
  <si>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</si>
  <si>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</si>
  <si>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</si>
  <si>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</si>
  <si>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</si>
  <si>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</si>
  <si>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</si>
  <si>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</si>
  <si>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</si>
  <si>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</si>
  <si>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</si>
  <si>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</si>
  <si>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</si>
  <si>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</si>
  <si>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</si>
  <si>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</si>
  <si>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</si>
  <si>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</si>
  <si>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</si>
  <si>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</si>
  <si>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</si>
  <si>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</si>
  <si>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</si>
  <si>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</si>
  <si>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</si>
  <si>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</si>
  <si>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</si>
  <si>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</si>
  <si>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</si>
  <si>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</si>
  <si>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</si>
  <si>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</si>
  <si>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</si>
  <si>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</si>
  <si>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</si>
  <si>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</si>
  <si>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</si>
  <si>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</si>
  <si>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</si>
  <si>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</si>
  <si>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</si>
  <si>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</si>
  <si>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</si>
  <si>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</si>
  <si>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</si>
  <si>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</si>
  <si>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</si>
  <si>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</si>
  <si>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</si>
  <si>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</si>
  <si>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</si>
  <si>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</si>
  <si>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</si>
  <si>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</si>
  <si>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</si>
  <si>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</si>
  <si>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</si>
  <si>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</si>
  <si>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</si>
  <si>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</si>
  <si>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</si>
  <si>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</si>
  <si>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</si>
  <si>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</si>
  <si>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</si>
  <si>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</si>
  <si>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</si>
  <si>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</si>
  <si>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</si>
  <si>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</si>
  <si>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</si>
  <si>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</si>
  <si>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</si>
  <si>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</si>
  <si>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</si>
  <si>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</si>
  <si>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</si>
  <si>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</si>
  <si>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</si>
  <si>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</si>
  <si>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</si>
  <si>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</si>
  <si>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</si>
  <si>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</si>
  <si>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</si>
  <si>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</si>
  <si>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</si>
  <si>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</si>
  <si>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</si>
  <si>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</si>
  <si>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</si>
  <si>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</si>
  <si>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</si>
  <si>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</si>
  <si>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</si>
  <si>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</si>
  <si>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</si>
  <si>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</si>
  <si>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</si>
  <si>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</si>
  <si>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</si>
  <si>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</si>
  <si>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</si>
  <si>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</si>
  <si>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</si>
  <si>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</si>
  <si>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</si>
  <si>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</si>
  <si>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</si>
  <si>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</si>
  <si>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</si>
  <si>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</si>
  <si>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</si>
  <si>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</si>
  <si>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</si>
  <si>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</si>
  <si>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</si>
  <si>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</si>
  <si>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</si>
  <si>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</si>
  <si>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</si>
  <si>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</si>
  <si>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</si>
  <si>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</si>
  <si>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</si>
  <si>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</si>
  <si>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</si>
  <si>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</si>
  <si>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</si>
  <si>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</si>
  <si>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</si>
  <si>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</si>
  <si>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</si>
  <si>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</si>
  <si>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</si>
  <si>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</si>
  <si>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</si>
  <si>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</si>
  <si>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</si>
  <si>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</si>
  <si>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</si>
  <si>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</si>
  <si>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</si>
  <si>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</si>
  <si>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</si>
  <si>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</si>
  <si>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</si>
  <si>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</si>
  <si>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</si>
  <si>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</si>
  <si>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</si>
  <si>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</si>
  <si>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</si>
  <si>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</si>
  <si>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</si>
  <si>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</si>
  <si>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</si>
  <si>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</si>
  <si>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</si>
  <si>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</si>
  <si>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</si>
  <si>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</si>
  <si>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</si>
  <si>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</si>
  <si>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</si>
  <si>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</si>
  <si>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</si>
  <si>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</si>
  <si>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</si>
  <si>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</si>
  <si>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</si>
  <si>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</si>
  <si>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</si>
  <si>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</si>
  <si>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</si>
  <si>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</si>
  <si>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</si>
  <si>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</si>
  <si>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</si>
  <si>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</si>
  <si>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</si>
  <si>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</si>
  <si>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</si>
  <si>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</si>
  <si>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</si>
  <si>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</si>
  <si>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</si>
  <si>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</si>
  <si>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</si>
  <si>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</si>
  <si>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</si>
  <si>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</si>
  <si>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</si>
  <si>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</si>
  <si>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</si>
  <si>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</si>
  <si>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</si>
  <si>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</si>
  <si>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</si>
  <si>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</si>
  <si>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</si>
  <si>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</si>
  <si>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</si>
  <si>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</si>
  <si>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</si>
  <si>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</si>
  <si>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</si>
  <si>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</si>
  <si>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</si>
  <si>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</si>
  <si>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</si>
  <si>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</si>
  <si>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</si>
  <si>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</si>
  <si>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</si>
  <si>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</si>
  <si>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</si>
  <si>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</si>
  <si>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</si>
  <si>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</si>
  <si>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</si>
  <si>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</si>
  <si>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</si>
  <si>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</si>
  <si>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</si>
  <si>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</si>
  <si>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</si>
  <si>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</si>
  <si>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</si>
  <si>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</si>
  <si>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</si>
  <si>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</si>
  <si>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</si>
  <si>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</si>
  <si>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</si>
  <si>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</si>
  <si>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</si>
  <si>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</si>
  <si>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</si>
  <si>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</si>
  <si>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</si>
  <si>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</si>
  <si>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</si>
  <si>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</si>
  <si>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</si>
  <si>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</si>
  <si>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</si>
  <si>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</si>
  <si>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</si>
  <si>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</si>
  <si>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</si>
  <si>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</si>
  <si>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</si>
  <si>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</si>
  <si>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</si>
  <si>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</si>
  <si>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</si>
  <si>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</si>
  <si>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</si>
  <si>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</si>
  <si>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</si>
  <si>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</si>
  <si>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</si>
  <si>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</si>
  <si>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</si>
  <si>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</si>
  <si>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</si>
  <si>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</si>
  <si>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</si>
  <si>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</si>
  <si>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</si>
  <si>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</si>
  <si>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</si>
  <si>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</si>
  <si>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</si>
  <si>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</si>
  <si>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</si>
  <si>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</si>
  <si>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</si>
  <si>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</si>
  <si>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</si>
  <si>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</si>
  <si>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</si>
  <si>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</si>
  <si>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</si>
  <si>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</si>
  <si>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</si>
  <si>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</si>
  <si>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</si>
  <si>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</si>
  <si>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</si>
  <si>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</si>
  <si>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</si>
  <si>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</si>
  <si>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</si>
  <si>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</si>
  <si>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</si>
  <si>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</si>
  <si>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</si>
  <si>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</si>
  <si>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</si>
  <si>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</si>
  <si>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</si>
  <si>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</si>
  <si>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</si>
  <si>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</si>
  <si>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</si>
  <si>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</si>
  <si>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</si>
  <si>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</si>
  <si>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</si>
  <si>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</si>
  <si>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</si>
  <si>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</si>
  <si>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</si>
  <si>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</si>
  <si>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</si>
  <si>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</si>
  <si>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</si>
  <si>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</si>
  <si>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</si>
  <si>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</si>
  <si>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</si>
  <si>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</si>
  <si>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</si>
  <si>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</si>
  <si>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</si>
  <si>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</si>
  <si>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</si>
  <si>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</si>
  <si>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</si>
  <si>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</si>
  <si>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</si>
  <si>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</si>
  <si>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</si>
  <si>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</si>
  <si>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</si>
  <si>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</si>
  <si>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</si>
  <si>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</si>
  <si>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</si>
  <si>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</si>
  <si>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</si>
  <si>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</si>
  <si>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</si>
  <si>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</si>
  <si>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</si>
  <si>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</si>
  <si>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</si>
  <si>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</si>
  <si>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</si>
  <si>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</si>
  <si>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</si>
  <si>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</si>
  <si>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</si>
  <si>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</si>
  <si>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</si>
  <si>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</si>
  <si>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</si>
  <si>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</si>
  <si>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</si>
  <si>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</si>
  <si>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</si>
  <si>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</si>
  <si>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</si>
  <si>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</si>
  <si>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</si>
  <si>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</si>
  <si>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</si>
  <si>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</si>
  <si>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</si>
  <si>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</si>
  <si>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</si>
  <si>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</si>
  <si>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</si>
  <si>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</si>
  <si>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</si>
  <si>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</si>
  <si>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</si>
  <si>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</si>
  <si>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</si>
  <si>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</si>
  <si>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</si>
  <si>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</si>
  <si>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</si>
  <si>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</si>
  <si>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</si>
  <si>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</si>
  <si>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</si>
  <si>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</si>
  <si>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</si>
  <si>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</si>
  <si>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</si>
  <si>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</si>
  <si>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</si>
  <si>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</si>
  <si>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</si>
  <si>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</si>
  <si>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</si>
  <si>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</si>
  <si>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</si>
  <si>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</si>
  <si>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</si>
  <si>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</si>
  <si>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</si>
  <si>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</si>
  <si>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</si>
  <si>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</si>
  <si>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</si>
  <si>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</si>
  <si>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</si>
  <si>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</si>
  <si>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</si>
  <si>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</si>
  <si>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</si>
  <si>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</si>
  <si>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</si>
  <si>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</si>
  <si>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</si>
  <si>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</si>
  <si>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</si>
  <si>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</si>
  <si>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</si>
  <si>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</si>
  <si>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</si>
  <si>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</si>
  <si>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</si>
  <si>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</si>
  <si>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</si>
  <si>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</si>
  <si>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</si>
  <si>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</si>
  <si>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</si>
  <si>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</si>
  <si>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</si>
  <si>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</si>
  <si>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</si>
  <si>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</si>
  <si>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</si>
  <si>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</si>
  <si>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</si>
  <si>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</si>
  <si>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</si>
  <si>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</si>
  <si>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</si>
  <si>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</si>
  <si>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</si>
  <si>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</si>
  <si>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</si>
  <si>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</si>
  <si>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</si>
  <si>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</si>
  <si>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</si>
  <si>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</si>
  <si>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</si>
  <si>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</si>
  <si>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</si>
  <si>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</si>
  <si>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</si>
  <si>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</si>
  <si>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</si>
  <si>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</si>
  <si>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</si>
  <si>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</si>
  <si>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</si>
  <si>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</si>
  <si>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</si>
  <si>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</si>
  <si>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</si>
  <si>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</si>
  <si>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</si>
  <si>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</si>
  <si>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</si>
  <si>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</si>
  <si>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</si>
  <si>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</si>
  <si>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</si>
  <si>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</si>
  <si>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</si>
  <si>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</si>
  <si>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</si>
  <si>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</si>
  <si>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</si>
  <si>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</si>
  <si>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</si>
  <si>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</si>
  <si>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</si>
  <si>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</si>
  <si>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</si>
  <si>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</si>
  <si>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</si>
  <si>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</si>
  <si>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</si>
  <si>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</si>
  <si>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</si>
  <si>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</si>
  <si>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</si>
  <si>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</si>
  <si>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</si>
  <si>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</si>
  <si>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</si>
  <si>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</si>
  <si>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</si>
  <si>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</si>
  <si>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</si>
  <si>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</si>
  <si>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</si>
  <si>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</si>
  <si>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</si>
  <si>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</si>
  <si>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</si>
  <si>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</si>
  <si>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</si>
  <si>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</si>
  <si>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</si>
  <si>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</si>
  <si>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</si>
  <si>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</si>
  <si>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</si>
  <si>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</si>
  <si>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</si>
  <si>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</si>
  <si>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</si>
  <si>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</si>
  <si>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</si>
  <si>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</si>
  <si>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</si>
  <si>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</si>
  <si>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</si>
  <si>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</si>
  <si>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</si>
  <si>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</si>
  <si>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</si>
  <si>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</si>
  <si>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</si>
  <si>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</si>
  <si>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</si>
  <si>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</si>
  <si>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</si>
  <si>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</si>
  <si>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</si>
  <si>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</si>
  <si>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</si>
  <si>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</si>
  <si>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</si>
  <si>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</si>
  <si>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</si>
  <si>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</si>
  <si>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</si>
  <si>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</si>
  <si>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</si>
  <si>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</si>
  <si>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</si>
  <si>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</si>
  <si>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</si>
  <si>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</si>
  <si>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</si>
  <si>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</si>
  <si>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</si>
  <si>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</si>
  <si>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</si>
  <si>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</si>
  <si>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</si>
  <si>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</si>
  <si>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</si>
  <si>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</si>
  <si>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</si>
  <si>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</si>
  <si>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</si>
  <si>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</si>
  <si>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</si>
  <si>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</si>
  <si>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</si>
  <si>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</si>
  <si>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</si>
  <si>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</si>
  <si>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</si>
  <si>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</si>
  <si>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</si>
  <si>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</si>
  <si>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</si>
  <si>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</si>
  <si>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</si>
  <si>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</si>
  <si>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</si>
  <si>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</si>
  <si>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</si>
  <si>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</si>
  <si>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</si>
  <si>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</si>
  <si>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</si>
  <si>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</si>
  <si>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</si>
  <si>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</si>
  <si>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</si>
  <si>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</si>
  <si>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</si>
  <si>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</si>
  <si>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</si>
  <si>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</si>
  <si>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</si>
  <si>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</si>
  <si>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</si>
  <si>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</si>
  <si>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</si>
  <si>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</si>
  <si>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</si>
  <si>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</si>
  <si>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</si>
  <si>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</si>
  <si>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</si>
  <si>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</si>
  <si>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</si>
  <si>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</si>
  <si>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</si>
  <si>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</si>
  <si>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</si>
  <si>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</si>
  <si>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</si>
  <si>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</si>
  <si>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</si>
  <si>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</si>
  <si>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</si>
  <si>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</si>
  <si>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</si>
  <si>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</si>
  <si>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</si>
  <si>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</si>
  <si>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</si>
  <si>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</si>
  <si>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</si>
  <si>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</si>
  <si>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</si>
  <si>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</si>
  <si>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</si>
  <si>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</si>
  <si>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</si>
  <si>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</si>
  <si>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</si>
  <si>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</si>
  <si>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</si>
  <si>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</si>
  <si>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</si>
  <si>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</si>
  <si>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</si>
  <si>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</si>
  <si>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</si>
  <si>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</si>
  <si>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</si>
  <si>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</si>
  <si>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</si>
  <si>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</si>
  <si>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</si>
  <si>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</si>
  <si>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</si>
  <si>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</si>
  <si>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</si>
  <si>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</si>
  <si>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</si>
  <si>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</si>
  <si>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</si>
  <si>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</si>
  <si>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</si>
  <si>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</si>
  <si>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</si>
  <si>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</si>
  <si>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</si>
  <si>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</si>
  <si>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</si>
  <si>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</si>
  <si>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</si>
  <si>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</si>
  <si>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</si>
  <si>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</si>
  <si>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</si>
  <si>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</si>
  <si>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</si>
  <si>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</si>
  <si>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</si>
  <si>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</si>
  <si>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</si>
  <si>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</si>
  <si>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</si>
  <si>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</si>
  <si>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</si>
  <si>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</si>
  <si>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</si>
  <si>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</si>
  <si>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</si>
  <si>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</si>
  <si>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</si>
  <si>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</si>
  <si>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</si>
  <si>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</si>
  <si>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</si>
  <si>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</si>
  <si>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</si>
  <si>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</si>
  <si>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</si>
  <si>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</si>
  <si>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</si>
  <si>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</si>
  <si>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</si>
  <si>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</si>
  <si>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</si>
  <si>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</si>
  <si>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</si>
  <si>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</si>
  <si>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</si>
  <si>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</si>
  <si>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</si>
  <si>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</si>
  <si>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</si>
  <si>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</si>
  <si>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</si>
  <si>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</si>
  <si>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</si>
  <si>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</si>
  <si>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</si>
  <si>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</si>
  <si>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</si>
  <si>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</si>
  <si>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</si>
  <si>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</si>
  <si>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</si>
  <si>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</si>
  <si>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</si>
  <si>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</si>
  <si>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</si>
  <si>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</si>
  <si>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</si>
  <si>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</si>
  <si>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</si>
  <si>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</si>
  <si>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</si>
  <si>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</si>
  <si>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</si>
  <si>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</si>
  <si>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</si>
  <si>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</si>
  <si>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</si>
  <si>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</si>
  <si>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</si>
  <si>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</si>
  <si>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</si>
  <si>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</si>
  <si>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</si>
  <si>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</si>
  <si>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</si>
  <si>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</si>
  <si>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</si>
  <si>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</si>
  <si>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</si>
  <si>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</si>
  <si>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</si>
  <si>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</si>
  <si>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</si>
  <si>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</si>
  <si>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</si>
  <si>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</si>
  <si>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</si>
  <si>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</si>
  <si>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</si>
  <si>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</si>
  <si>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</si>
  <si>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</si>
  <si>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</si>
  <si>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</si>
  <si>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</si>
  <si>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</si>
  <si>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</si>
  <si>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</si>
  <si>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</si>
  <si>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</si>
  <si>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</si>
  <si>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</si>
  <si>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</si>
  <si>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</si>
  <si>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</si>
  <si>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</si>
  <si>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</si>
  <si>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</si>
  <si>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</si>
  <si>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</si>
  <si>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</si>
  <si>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</si>
  <si>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</si>
  <si>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</si>
  <si>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</si>
  <si>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</si>
  <si>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</si>
  <si>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</si>
  <si>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</si>
  <si>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</si>
  <si>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</si>
  <si>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</si>
  <si>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</si>
  <si>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</si>
  <si>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</si>
  <si>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</si>
  <si>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</si>
  <si>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</si>
  <si>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</si>
  <si>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</si>
  <si>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</si>
  <si>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</si>
  <si>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</si>
  <si>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</si>
  <si>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</si>
  <si>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</si>
  <si>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</si>
  <si>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</si>
  <si>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</si>
  <si>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</si>
  <si>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</si>
  <si>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</si>
  <si>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</si>
  <si>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</si>
  <si>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</si>
  <si>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</si>
  <si>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</si>
  <si>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</si>
  <si>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</si>
  <si>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</si>
  <si>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</si>
  <si>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</si>
  <si>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</si>
  <si>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</si>
  <si>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</si>
  <si>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</si>
  <si>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</si>
  <si>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</si>
  <si>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</si>
  <si>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</si>
  <si>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</si>
  <si>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</si>
  <si>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</si>
  <si>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</si>
  <si>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</si>
  <si>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</si>
  <si>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</si>
  <si>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</si>
  <si>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</si>
  <si>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</si>
  <si>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</si>
  <si>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</si>
  <si>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</si>
  <si>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</si>
  <si>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</si>
  <si>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</si>
  <si>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</si>
  <si>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</si>
  <si>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</si>
  <si>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</si>
  <si>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</si>
  <si>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</si>
  <si>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</si>
  <si>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</si>
  <si>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</si>
  <si>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</si>
  <si>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</si>
  <si>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</si>
  <si>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</si>
  <si>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</si>
  <si>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</si>
  <si>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</si>
  <si>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</si>
  <si>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</si>
  <si>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</si>
  <si>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</si>
  <si>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</si>
  <si>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</si>
  <si>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</si>
  <si>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</si>
  <si>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</si>
  <si>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</si>
  <si>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</si>
  <si>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</si>
  <si>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</si>
  <si>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</si>
  <si>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</si>
  <si>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</si>
  <si>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</si>
  <si>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</si>
  <si>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</si>
  <si>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</si>
  <si>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</si>
  <si>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</si>
  <si>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</si>
  <si>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</si>
  <si>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</si>
  <si>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</si>
  <si>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</si>
  <si>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</si>
  <si>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</si>
  <si>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</si>
  <si>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</si>
  <si>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</si>
  <si>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</si>
  <si>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</si>
  <si>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</si>
  <si>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</si>
  <si>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</si>
  <si>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</si>
  <si>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</si>
  <si>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</si>
  <si>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</si>
  <si>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</si>
  <si>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</si>
  <si>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</si>
  <si>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</si>
  <si>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</si>
  <si>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</si>
  <si>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</si>
  <si>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</si>
  <si>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</si>
  <si>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</si>
  <si>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</si>
  <si>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</si>
  <si>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</si>
  <si>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</si>
  <si>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</si>
  <si>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</si>
  <si>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</si>
  <si>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</si>
  <si>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</si>
  <si>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</si>
  <si>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</si>
  <si>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</si>
  <si>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</si>
  <si>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</si>
  <si>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</si>
  <si>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</si>
  <si>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</si>
  <si>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</si>
  <si>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</si>
  <si>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</si>
  <si>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</si>
  <si>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</si>
  <si>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</si>
  <si>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</si>
  <si>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</si>
  <si>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</si>
  <si>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</si>
  <si>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</si>
  <si>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</si>
  <si>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</si>
  <si>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</si>
  <si>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</si>
  <si>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</si>
  <si>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</si>
  <si>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</si>
  <si>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</si>
  <si>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</si>
  <si>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</si>
  <si>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</si>
  <si>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</si>
  <si>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</si>
  <si>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</si>
  <si>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</si>
  <si>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</si>
  <si>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</si>
  <si>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</si>
  <si>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</si>
  <si>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</si>
  <si>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</si>
  <si>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</si>
  <si>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</si>
  <si>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</si>
  <si>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</si>
  <si>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</si>
  <si>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</si>
  <si>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</si>
  <si>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</si>
  <si>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</si>
  <si>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</si>
  <si>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</si>
  <si>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</si>
  <si>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</si>
  <si>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</si>
  <si>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</si>
  <si>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</si>
  <si>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</si>
  <si>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</si>
  <si>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</si>
  <si>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</si>
  <si>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</si>
  <si>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</si>
  <si>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</si>
  <si>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</si>
  <si>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</si>
  <si>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</si>
  <si>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</si>
  <si>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</si>
  <si>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</si>
  <si>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</si>
  <si>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</si>
  <si>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</si>
  <si>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</si>
  <si>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</si>
  <si>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</si>
  <si>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</si>
  <si>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</si>
  <si>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</si>
  <si>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</si>
  <si>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</si>
  <si>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</si>
  <si>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</si>
  <si>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</si>
  <si>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</si>
  <si>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</si>
  <si>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</si>
  <si>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</si>
  <si>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</si>
  <si>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</si>
  <si>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</si>
  <si>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</si>
  <si>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</si>
  <si>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</si>
  <si>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</si>
  <si>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</si>
  <si>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</si>
  <si>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</si>
  <si>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</si>
  <si>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</si>
  <si>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</si>
  <si>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</si>
  <si>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</si>
  <si>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</si>
  <si>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</si>
  <si>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</si>
  <si>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</si>
  <si>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</si>
  <si>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</si>
  <si>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</si>
  <si>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</si>
  <si>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</si>
  <si>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</si>
  <si>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</si>
  <si>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</si>
  <si>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</si>
  <si>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</si>
  <si>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</si>
  <si>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</si>
  <si>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</si>
  <si>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</si>
  <si>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</si>
  <si>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</si>
  <si>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</si>
  <si>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</si>
  <si>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</si>
  <si>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</si>
  <si>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</si>
  <si>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</si>
  <si>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</si>
  <si>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</si>
  <si>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</si>
  <si>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</si>
  <si>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</si>
  <si>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</si>
  <si>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</si>
  <si>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</si>
  <si>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</si>
  <si>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</si>
  <si>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</si>
  <si>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</si>
  <si>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</si>
  <si>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</si>
  <si>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</si>
  <si>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</si>
  <si>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</si>
  <si>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</si>
  <si>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</si>
  <si>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</si>
  <si>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</si>
  <si>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</si>
  <si>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</si>
  <si>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</si>
  <si>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</si>
  <si>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</si>
  <si>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</si>
  <si>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</si>
  <si>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</si>
  <si>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</si>
  <si>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</si>
  <si>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</si>
  <si>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</si>
  <si>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</si>
  <si>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</si>
  <si>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</si>
  <si>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</si>
  <si>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</si>
  <si>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</si>
  <si>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</si>
  <si>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</si>
  <si>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</si>
  <si>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</si>
  <si>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</si>
  <si>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</si>
  <si>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</si>
  <si>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</si>
  <si>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</si>
  <si>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</si>
  <si>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</si>
  <si>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</si>
  <si>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</si>
  <si>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</si>
  <si>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</si>
  <si>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</si>
  <si>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</si>
  <si>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</si>
  <si>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</si>
  <si>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</si>
  <si>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</si>
  <si>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</si>
  <si>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</si>
  <si>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</si>
  <si>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</si>
  <si>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</si>
  <si>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</si>
  <si>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</si>
  <si>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</si>
  <si>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</si>
  <si>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</si>
  <si>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</si>
  <si>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</si>
  <si>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</si>
  <si>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</si>
  <si>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</si>
  <si>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</si>
  <si>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</si>
  <si>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</si>
  <si>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</si>
  <si>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</si>
  <si>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</si>
  <si>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</si>
  <si>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</si>
  <si>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</si>
  <si>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</si>
  <si>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</si>
  <si>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</si>
  <si>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</si>
  <si>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</si>
  <si>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</si>
  <si>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</si>
  <si>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</si>
  <si>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</si>
  <si>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</si>
  <si>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</si>
  <si>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</si>
  <si>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</si>
  <si>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</si>
  <si>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</si>
  <si>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</si>
  <si>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</si>
  <si>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</si>
  <si>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</si>
  <si>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</si>
  <si>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</si>
  <si>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</si>
  <si>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</si>
  <si>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</si>
  <si>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</si>
  <si>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</si>
  <si>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</si>
  <si>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</si>
  <si>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</si>
  <si>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</si>
  <si>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</si>
  <si>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</si>
  <si>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</si>
  <si>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</si>
  <si>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</si>
  <si>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</si>
  <si>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</si>
  <si>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</si>
  <si>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</si>
  <si>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</si>
  <si>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</si>
  <si>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</si>
  <si>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</si>
  <si>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</si>
  <si>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</si>
  <si>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</si>
  <si>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</si>
  <si>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</si>
  <si>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</si>
  <si>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</si>
  <si>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</si>
  <si>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</si>
  <si>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</si>
  <si>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</si>
  <si>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</si>
  <si>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</si>
  <si>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</si>
  <si>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</si>
  <si>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</si>
  <si>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</si>
  <si>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</si>
  <si>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</si>
  <si>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</si>
  <si>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</si>
  <si>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</si>
  <si>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</si>
  <si>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</si>
  <si>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</si>
  <si>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</si>
  <si>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</si>
  <si>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</si>
  <si>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</si>
  <si>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</si>
  <si>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</si>
  <si>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</si>
  <si>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</si>
  <si>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</si>
  <si>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</si>
  <si>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</si>
  <si>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</si>
  <si>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</si>
  <si>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</si>
  <si>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</si>
  <si>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</si>
  <si>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</si>
  <si>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</si>
  <si>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</si>
  <si>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</si>
  <si>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</si>
  <si>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</si>
  <si>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</si>
  <si>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</si>
  <si>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</si>
  <si>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</si>
  <si>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</si>
  <si>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</si>
  <si>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</si>
  <si>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</si>
  <si>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</si>
  <si>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</si>
  <si>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</si>
  <si>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</si>
  <si>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</si>
  <si>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</si>
  <si>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</si>
  <si>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</si>
  <si>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</si>
  <si>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</si>
  <si>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</si>
  <si>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</si>
  <si>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</si>
  <si>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</si>
  <si>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</si>
  <si>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</si>
  <si>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</si>
  <si>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</si>
  <si>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</si>
  <si>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</si>
  <si>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</si>
  <si>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</si>
  <si>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</si>
  <si>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</si>
  <si>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</si>
  <si>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</si>
  <si>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</si>
  <si>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</si>
  <si>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</si>
  <si>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</si>
  <si>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</si>
  <si>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</si>
  <si>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</si>
  <si>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</si>
  <si>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</si>
  <si>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</si>
  <si>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</si>
  <si>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</si>
  <si>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</si>
  <si>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</si>
  <si>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</si>
  <si>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</si>
  <si>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</si>
  <si>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</si>
  <si>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</si>
  <si>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</si>
  <si>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</si>
  <si>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</si>
  <si>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</si>
  <si>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</si>
  <si>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</si>
  <si>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</si>
  <si>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</si>
  <si>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</si>
  <si>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</si>
  <si>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</si>
  <si>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</si>
  <si>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</si>
  <si>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</si>
  <si>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</si>
  <si>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</si>
  <si>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</si>
  <si>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</si>
  <si>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</si>
  <si>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</si>
  <si>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</si>
  <si>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</si>
  <si>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</si>
  <si>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</si>
  <si>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</si>
  <si>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</si>
  <si>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</si>
  <si>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</si>
  <si>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</si>
  <si>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</si>
  <si>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</si>
  <si>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</si>
  <si>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</si>
  <si>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</si>
  <si>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</si>
  <si>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</si>
  <si>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</si>
  <si>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</si>
  <si>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</si>
  <si>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</si>
  <si>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</si>
  <si>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</si>
  <si>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</si>
  <si>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</si>
  <si>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</si>
  <si>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</si>
  <si>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</si>
  <si>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</si>
  <si>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</si>
  <si>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</si>
  <si>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</si>
  <si>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</si>
  <si>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</si>
  <si>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</si>
  <si>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</si>
  <si>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</si>
  <si>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</si>
  <si>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</si>
  <si>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</si>
  <si>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</si>
  <si>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</si>
  <si>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</si>
  <si>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</si>
  <si>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</si>
  <si>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</si>
  <si>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</si>
  <si>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</si>
  <si>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</si>
  <si>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</si>
  <si>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</si>
  <si>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</si>
  <si>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</si>
  <si>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</si>
  <si>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</si>
  <si>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</si>
  <si>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</si>
  <si>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</si>
  <si>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</si>
  <si>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</si>
  <si>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</si>
  <si>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</si>
  <si>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</si>
  <si>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</si>
  <si>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</si>
  <si>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</si>
  <si>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</si>
  <si>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</si>
  <si>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</si>
  <si>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</si>
  <si>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</si>
  <si>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</si>
  <si>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</si>
  <si>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</si>
  <si>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</si>
  <si>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</si>
  <si>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</si>
  <si>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</si>
  <si>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</si>
  <si>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</si>
  <si>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</si>
  <si>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</si>
  <si>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</si>
  <si>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</si>
  <si>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</si>
  <si>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</si>
  <si>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</si>
  <si>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</si>
  <si>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</si>
  <si>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</si>
  <si>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</si>
  <si>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</si>
  <si>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</si>
  <si>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</si>
  <si>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</si>
  <si>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</si>
  <si>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</si>
  <si>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</si>
  <si>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</si>
  <si>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</si>
  <si>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</si>
  <si>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</si>
  <si>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</si>
  <si>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</si>
  <si>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</si>
  <si>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</si>
  <si>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</si>
  <si>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</si>
  <si>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</si>
  <si>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</si>
  <si>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</si>
  <si>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</si>
  <si>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</si>
  <si>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</si>
  <si>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</si>
  <si>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</si>
  <si>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</si>
  <si>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</si>
  <si>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</si>
  <si>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</si>
  <si>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</si>
  <si>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</si>
  <si>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</si>
  <si>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</si>
  <si>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</si>
  <si>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</si>
  <si>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</si>
  <si>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</si>
  <si>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</si>
  <si>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</si>
  <si>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</si>
  <si>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</si>
  <si>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</si>
  <si>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</si>
  <si>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</si>
  <si>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</si>
  <si>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</si>
  <si>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</si>
  <si>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</si>
  <si>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</si>
  <si>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</si>
  <si>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</si>
  <si>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</si>
  <si>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</si>
  <si>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</si>
  <si>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</si>
  <si>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</si>
  <si>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</si>
  <si>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</si>
  <si>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</si>
  <si>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</si>
  <si>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</si>
  <si>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</si>
  <si>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</si>
  <si>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</si>
  <si>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</si>
  <si>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</si>
  <si>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</si>
  <si>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</si>
  <si>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</si>
  <si>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</si>
  <si>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</si>
  <si>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</si>
  <si>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</si>
  <si>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</si>
  <si>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</si>
  <si>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</si>
  <si>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</si>
  <si>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</si>
  <si>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</si>
  <si>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</si>
  <si>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</si>
  <si>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</si>
  <si>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</si>
  <si>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</si>
  <si>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</si>
  <si>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</si>
  <si>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</si>
  <si>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</si>
  <si>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</si>
  <si>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</si>
  <si>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</si>
  <si>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</si>
  <si>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</si>
  <si>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</si>
  <si>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</si>
  <si>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</si>
  <si>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</si>
  <si>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</si>
  <si>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</si>
  <si>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</si>
  <si>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</si>
  <si>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</si>
  <si>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</si>
  <si>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</si>
  <si>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</si>
  <si>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</si>
  <si>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</si>
  <si>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</si>
  <si>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</si>
  <si>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</si>
  <si>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</si>
  <si>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</si>
  <si>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</si>
  <si>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</si>
  <si>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</si>
  <si>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</si>
  <si>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</si>
  <si>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</si>
  <si>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</si>
  <si>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</si>
  <si>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</si>
  <si>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</si>
  <si>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</si>
  <si>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</si>
  <si>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</si>
  <si>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</si>
  <si>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</si>
  <si>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</si>
  <si>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</si>
  <si>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</si>
  <si>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</si>
  <si>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</si>
  <si>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</si>
  <si>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</si>
  <si>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</si>
  <si>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</si>
  <si>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</si>
  <si>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</si>
  <si>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</si>
  <si>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</si>
  <si>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</si>
  <si>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</si>
  <si>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</si>
  <si>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</si>
  <si>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</si>
  <si>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</si>
  <si>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</si>
  <si>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</si>
  <si>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</si>
  <si>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</si>
  <si>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</si>
  <si>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</si>
  <si>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</si>
  <si>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</si>
  <si>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</si>
  <si>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</si>
  <si>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</si>
  <si>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</si>
  <si>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</si>
  <si>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</si>
  <si>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</si>
  <si>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</si>
  <si>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</si>
  <si>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</si>
  <si>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</si>
  <si>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</si>
  <si>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</si>
  <si>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</si>
  <si>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</si>
  <si>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</si>
  <si>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</si>
  <si>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</si>
  <si>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</si>
  <si>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</si>
  <si>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</si>
  <si>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</si>
  <si>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</si>
  <si>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</si>
  <si>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</si>
  <si>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</si>
  <si>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</si>
  <si>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</si>
  <si>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</si>
  <si>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</si>
  <si>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</si>
  <si>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</si>
  <si>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</si>
  <si>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</si>
  <si>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</si>
  <si>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</si>
  <si>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</si>
  <si>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</si>
  <si>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</si>
  <si>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</si>
  <si>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</si>
  <si>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</si>
  <si>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</si>
  <si>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</si>
  <si>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</si>
  <si>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</si>
  <si>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</si>
  <si>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</si>
  <si>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</si>
  <si>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</si>
  <si>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</si>
  <si>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</si>
  <si>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</si>
  <si>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</si>
  <si>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</si>
  <si>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</si>
  <si>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</si>
  <si>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</si>
  <si>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</si>
  <si>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</si>
  <si>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</si>
  <si>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</si>
  <si>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</si>
  <si>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</si>
  <si>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</si>
  <si>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</si>
  <si>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</si>
  <si>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</si>
  <si>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</si>
  <si>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</si>
  <si>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</si>
  <si>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</si>
  <si>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</si>
  <si>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</si>
  <si>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</si>
  <si>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</si>
  <si>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</si>
  <si>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</si>
  <si>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</si>
  <si>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</si>
  <si>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</si>
  <si>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</si>
  <si>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</si>
  <si>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</si>
  <si>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</si>
  <si>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</si>
  <si>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</si>
  <si>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</si>
  <si>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</si>
  <si>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</si>
  <si>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</si>
  <si>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</si>
  <si>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</si>
  <si>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</si>
  <si>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</si>
  <si>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</si>
  <si>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</si>
  <si>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</si>
  <si>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</si>
  <si>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</si>
  <si>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</si>
  <si>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</si>
  <si>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</si>
  <si>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</si>
  <si>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</si>
  <si>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</si>
  <si>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</si>
  <si>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</si>
  <si>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</si>
  <si>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</si>
  <si>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</si>
  <si>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</si>
  <si>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</si>
  <si>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</si>
  <si>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</si>
  <si>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</si>
  <si>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</si>
  <si>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</si>
  <si>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</si>
  <si>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</si>
  <si>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</si>
  <si>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</si>
  <si>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</si>
  <si>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</si>
  <si>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</si>
  <si>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</si>
  <si>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</si>
  <si>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</si>
  <si>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</si>
  <si>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</si>
  <si>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</si>
  <si>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</si>
  <si>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</si>
  <si>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</si>
  <si>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</si>
  <si>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</si>
  <si>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</si>
  <si>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</si>
  <si>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</si>
  <si>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</si>
  <si>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</si>
  <si>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</si>
  <si>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</si>
  <si>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</si>
  <si>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</si>
  <si>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</si>
  <si>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</si>
  <si>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</si>
  <si>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</si>
  <si>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</si>
  <si>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</si>
  <si>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</si>
  <si>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</si>
  <si>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</si>
  <si>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</si>
  <si>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</si>
  <si>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</si>
  <si>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</si>
  <si>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</si>
  <si>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</si>
  <si>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</si>
  <si>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</si>
  <si>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</si>
  <si>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</si>
  <si>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</si>
  <si>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</si>
  <si>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</si>
  <si>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</si>
  <si>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</si>
  <si>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</si>
  <si>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</si>
  <si>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</si>
  <si>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</si>
  <si>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</si>
  <si>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</si>
  <si>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</si>
  <si>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</si>
  <si>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</si>
  <si>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</si>
  <si>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</si>
  <si>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</si>
  <si>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</si>
  <si>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</si>
  <si>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</si>
  <si>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</si>
  <si>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</si>
  <si>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</si>
  <si>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</si>
  <si>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</si>
  <si>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</si>
  <si>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</si>
  <si>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</si>
  <si>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</si>
  <si>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</si>
  <si>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</si>
  <si>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</si>
  <si>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</si>
  <si>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</si>
  <si>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</si>
  <si>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</si>
  <si>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</si>
  <si>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</si>
  <si>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</si>
  <si>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</si>
  <si>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</si>
  <si>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</si>
  <si>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</si>
  <si>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</si>
  <si>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</si>
  <si>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</si>
  <si>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</si>
  <si>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</si>
  <si>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</si>
  <si>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</si>
  <si>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</si>
  <si>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</si>
  <si>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</si>
  <si>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</si>
  <si>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</si>
  <si>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</si>
  <si>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</si>
  <si>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</si>
  <si>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</si>
  <si>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</si>
  <si>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</si>
  <si>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</si>
  <si>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</si>
  <si>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</si>
  <si>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</si>
  <si>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</si>
  <si>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</si>
  <si>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</si>
  <si>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</si>
  <si>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</si>
  <si>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</si>
  <si>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</si>
  <si>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</si>
  <si>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</si>
  <si>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</si>
  <si>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</si>
  <si>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</si>
  <si>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</si>
  <si>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</si>
  <si>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</si>
  <si>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</si>
  <si>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</si>
  <si>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</si>
  <si>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</si>
  <si>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</si>
  <si>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</si>
  <si>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</si>
  <si>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</si>
  <si>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</si>
  <si>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</si>
  <si>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</si>
  <si>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</si>
  <si>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</si>
  <si>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</si>
  <si>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</si>
  <si>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</si>
  <si>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</si>
  <si>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</si>
  <si>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</si>
  <si>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</si>
  <si>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</si>
  <si>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</si>
  <si>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</si>
  <si>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</si>
  <si>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</si>
  <si>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</si>
  <si>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</si>
  <si>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</si>
  <si>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</si>
  <si>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</si>
  <si>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</si>
  <si>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</si>
  <si>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</si>
  <si>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</si>
  <si>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</si>
  <si>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</si>
  <si>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</si>
  <si>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</si>
  <si>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</si>
  <si>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</si>
  <si>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</si>
  <si>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</si>
  <si>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</si>
  <si>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</si>
  <si>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</si>
  <si>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</si>
  <si>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</si>
  <si>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</si>
  <si>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</si>
  <si>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</si>
  <si>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</si>
  <si>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</si>
  <si>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</si>
  <si>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</si>
  <si>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</si>
  <si>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</si>
  <si>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</si>
  <si>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</si>
  <si>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</si>
  <si>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</si>
  <si>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</si>
  <si>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</si>
  <si>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</si>
  <si>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</si>
  <si>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</si>
  <si>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</si>
  <si>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</si>
  <si>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</si>
  <si>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</si>
  <si>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</si>
  <si>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</si>
  <si>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</si>
  <si>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</si>
  <si>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</si>
  <si>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</si>
  <si>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</si>
  <si>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</si>
  <si>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</si>
  <si>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</si>
  <si>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</si>
  <si>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</si>
  <si>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</si>
  <si>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</si>
  <si>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</si>
  <si>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</si>
  <si>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</si>
  <si>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</si>
  <si>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</si>
  <si>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</si>
  <si>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</si>
  <si>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</si>
  <si>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</si>
  <si>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</si>
  <si>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</si>
  <si>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</si>
  <si>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</si>
  <si>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</si>
  <si>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</si>
  <si>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</si>
  <si>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</si>
  <si>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</si>
  <si>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</si>
  <si>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</si>
  <si>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</si>
  <si>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</si>
  <si>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</si>
  <si>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</si>
  <si>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</si>
  <si>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</si>
  <si>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</si>
  <si>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</si>
  <si>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</si>
  <si>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</si>
  <si>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</si>
  <si>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</si>
  <si>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</si>
  <si>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</si>
  <si>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</si>
  <si>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</si>
  <si>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</si>
  <si>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</si>
  <si>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</si>
  <si>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</si>
  <si>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</si>
  <si>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</si>
  <si>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</si>
  <si>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</si>
  <si>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</si>
  <si>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</si>
  <si>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</si>
  <si>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</si>
  <si>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</si>
  <si>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</si>
  <si>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</si>
  <si>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</si>
  <si>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</si>
  <si>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</si>
  <si>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</si>
  <si>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</si>
  <si>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</si>
  <si>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</si>
  <si>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</si>
  <si>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</si>
  <si>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</si>
  <si>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</si>
  <si>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</si>
  <si>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</si>
  <si>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</si>
  <si>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</si>
  <si>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</si>
  <si>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</si>
  <si>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</si>
  <si>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</si>
  <si>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</si>
  <si>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</si>
  <si>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</si>
  <si>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</si>
  <si>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</si>
  <si>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</si>
  <si>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</si>
  <si>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</si>
  <si>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</si>
  <si>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</si>
  <si>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</si>
  <si>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</si>
  <si>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</si>
  <si>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</si>
  <si>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</si>
  <si>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</si>
  <si>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</si>
  <si>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</si>
  <si>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</si>
  <si>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</si>
  <si>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</si>
  <si>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</si>
  <si>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</si>
  <si>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</si>
  <si>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</si>
  <si>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</si>
  <si>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</si>
  <si>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</si>
  <si>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</si>
  <si>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</si>
  <si>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</si>
  <si>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</si>
  <si>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</si>
  <si>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</si>
  <si>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</si>
  <si>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</si>
  <si>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</si>
  <si>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</si>
  <si>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</si>
  <si>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</si>
  <si>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</si>
  <si>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</si>
  <si>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</si>
  <si>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</si>
  <si>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</si>
  <si>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</si>
  <si>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</si>
  <si>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</si>
  <si>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</si>
  <si>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</si>
  <si>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</si>
  <si>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</si>
  <si>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</si>
  <si>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</si>
  <si>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</si>
  <si>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</si>
  <si>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</si>
  <si>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</si>
  <si>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</si>
  <si>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</si>
  <si>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</si>
  <si>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</si>
  <si>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</si>
  <si>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</si>
  <si>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</si>
  <si>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</si>
  <si>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</si>
  <si>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</si>
  <si>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</si>
  <si>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</si>
  <si>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</si>
  <si>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</si>
  <si>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</si>
  <si>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</si>
  <si>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</si>
  <si>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</si>
  <si>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</si>
  <si>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</si>
  <si>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</si>
  <si>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</si>
  <si>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</si>
  <si>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</si>
  <si>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</si>
  <si>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</si>
  <si>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</si>
  <si>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</si>
  <si>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</si>
  <si>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</si>
  <si>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</si>
  <si>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</si>
  <si>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</si>
  <si>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</si>
  <si>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</si>
  <si>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</si>
  <si>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</si>
  <si>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</si>
  <si>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</si>
  <si>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</si>
  <si>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</si>
  <si>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</si>
  <si>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</si>
  <si>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</si>
  <si>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</si>
  <si>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</si>
  <si>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</si>
  <si>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</si>
  <si>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</si>
  <si>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</si>
  <si>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</si>
  <si>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</si>
  <si>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</si>
  <si>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</si>
  <si>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</si>
  <si>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</si>
  <si>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</si>
  <si>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</si>
  <si>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</si>
  <si>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</si>
  <si>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</si>
  <si>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</si>
  <si>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</si>
  <si>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</si>
  <si>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</si>
  <si>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</si>
  <si>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</si>
  <si>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</si>
  <si>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</si>
  <si>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</si>
  <si>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</si>
  <si>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</si>
  <si>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</si>
  <si>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</si>
  <si>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</si>
  <si>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</si>
  <si>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</si>
  <si>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</si>
  <si>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</si>
  <si>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</si>
  <si>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</si>
  <si>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</si>
  <si>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</si>
  <si>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</si>
  <si>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</si>
  <si>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</si>
  <si>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</si>
  <si>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</si>
  <si>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</si>
  <si>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</si>
  <si>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</si>
  <si>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</si>
  <si>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</si>
  <si>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</si>
  <si>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</si>
  <si>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</si>
  <si>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</si>
  <si>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</si>
  <si>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</si>
  <si>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</si>
  <si>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</si>
  <si>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</si>
  <si>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</si>
  <si>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</si>
  <si>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</si>
  <si>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</si>
  <si>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</si>
  <si>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</si>
  <si>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</si>
  <si>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</si>
  <si>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</si>
  <si>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</si>
  <si>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</si>
  <si>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</si>
  <si>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</si>
  <si>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</si>
  <si>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</si>
  <si>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</si>
  <si>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</si>
  <si>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</si>
  <si>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</si>
  <si>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</si>
  <si>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</si>
  <si>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</si>
  <si>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</si>
  <si>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</si>
  <si>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</si>
  <si>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</si>
  <si>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</si>
  <si>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</si>
  <si>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</si>
  <si>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</si>
  <si>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</si>
  <si>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</si>
  <si>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</si>
  <si>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</si>
  <si>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</si>
  <si>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</si>
  <si>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</si>
  <si>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</si>
  <si>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</si>
  <si>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</si>
  <si>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</si>
  <si>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</si>
  <si>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</si>
  <si>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</si>
  <si>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</si>
  <si>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</si>
  <si>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</si>
  <si>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</si>
  <si>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</si>
  <si>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</si>
  <si>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</si>
  <si>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</si>
  <si>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</si>
  <si>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</si>
  <si>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</si>
  <si>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</si>
  <si>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</si>
  <si>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</si>
  <si>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</si>
  <si>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</si>
  <si>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</si>
  <si>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</si>
  <si>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</si>
  <si>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</si>
  <si>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</si>
  <si>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</si>
  <si>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</si>
  <si>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</si>
  <si>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</si>
  <si>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</si>
  <si>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</si>
  <si>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</si>
  <si>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</si>
  <si>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</si>
  <si>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</si>
  <si>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</si>
  <si>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</si>
  <si>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</si>
  <si>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</si>
  <si>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</si>
  <si>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</si>
  <si>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</si>
  <si>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</si>
  <si>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</si>
  <si>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</si>
  <si>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</si>
  <si>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</si>
  <si>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</si>
  <si>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</si>
  <si>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</si>
  <si>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</si>
  <si>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</si>
  <si>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</si>
  <si>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</si>
  <si>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</si>
  <si>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</si>
  <si>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</si>
  <si>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</si>
  <si>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</si>
  <si>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</si>
  <si>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</si>
  <si>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</si>
  <si>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</si>
  <si>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</si>
  <si>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</si>
  <si>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</si>
  <si>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</si>
  <si>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</si>
  <si>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</si>
  <si>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</si>
  <si>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</si>
  <si>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</si>
  <si>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</si>
  <si>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</si>
  <si>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</si>
  <si>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</si>
  <si>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</si>
  <si>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</si>
  <si>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</si>
  <si>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</si>
  <si>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</si>
  <si>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</si>
  <si>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</si>
  <si>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</si>
  <si>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</si>
  <si>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</si>
  <si>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</si>
  <si>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</si>
  <si>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</si>
  <si>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</si>
  <si>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</si>
  <si>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</si>
  <si>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</si>
  <si>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</si>
  <si>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</si>
  <si>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</si>
  <si>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</si>
  <si>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</si>
  <si>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</si>
  <si>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</si>
  <si>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</si>
  <si>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</si>
  <si>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</si>
  <si>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</si>
  <si>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</si>
  <si>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</si>
  <si>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</si>
  <si>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</si>
  <si>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</si>
  <si>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</si>
  <si>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</si>
  <si>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</si>
  <si>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</si>
  <si>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</si>
  <si>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</si>
  <si>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</si>
  <si>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</si>
  <si>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</si>
  <si>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</si>
  <si>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</si>
  <si>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</si>
  <si>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</si>
  <si>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</si>
  <si>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</si>
  <si>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</si>
  <si>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</si>
  <si>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</si>
  <si>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</si>
  <si>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</si>
  <si>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</si>
  <si>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</si>
  <si>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</si>
  <si>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</si>
  <si>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</si>
  <si>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</si>
  <si>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</si>
  <si>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</si>
  <si>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</si>
  <si>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</si>
  <si>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</si>
  <si>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</si>
  <si>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</si>
  <si>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</si>
  <si>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</si>
  <si>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</si>
  <si>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</si>
  <si>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</si>
  <si>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</si>
  <si>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</si>
  <si>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</si>
  <si>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</si>
  <si>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</si>
  <si>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</si>
  <si>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</si>
  <si>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</si>
  <si>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</si>
  <si>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</si>
  <si>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</si>
  <si>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</si>
  <si>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</si>
  <si>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</si>
  <si>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</si>
  <si>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</si>
  <si>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</si>
  <si>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</si>
  <si>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</si>
  <si>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</si>
  <si>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</si>
  <si>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</si>
  <si>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</si>
  <si>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</si>
  <si>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</si>
  <si>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</si>
  <si>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</si>
  <si>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</si>
  <si>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</si>
  <si>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</si>
  <si>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</si>
  <si>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</si>
  <si>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</si>
  <si>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</si>
  <si>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</si>
  <si>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</si>
  <si>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</si>
  <si>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</si>
  <si>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</si>
  <si>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</si>
  <si>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</si>
  <si>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</si>
  <si>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</si>
  <si>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</si>
  <si>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</si>
  <si>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</si>
  <si>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</si>
  <si>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</si>
  <si>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</si>
  <si>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</si>
  <si>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</si>
  <si>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</si>
  <si>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</si>
  <si>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</si>
  <si>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</si>
  <si>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</si>
  <si>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</si>
  <si>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</si>
  <si>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</si>
  <si>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</si>
  <si>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</si>
  <si>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</si>
  <si>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</si>
  <si>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</si>
  <si>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</si>
  <si>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</si>
  <si>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</si>
  <si>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</si>
  <si>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</si>
  <si>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</si>
  <si>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</si>
  <si>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</si>
  <si>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</si>
  <si>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</si>
  <si>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</si>
  <si>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</si>
  <si>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</si>
  <si>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</si>
  <si>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</si>
  <si>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</si>
  <si>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</si>
  <si>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</si>
  <si>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</si>
  <si>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</si>
  <si>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</si>
  <si>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</si>
  <si>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</si>
  <si>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</si>
  <si>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</si>
  <si>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</si>
  <si>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</si>
  <si>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</si>
  <si>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</si>
  <si>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</si>
  <si>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</si>
  <si>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</si>
  <si>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</si>
  <si>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</si>
  <si>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</si>
  <si>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</si>
  <si>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</si>
  <si>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</si>
  <si>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</si>
  <si>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</si>
  <si>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</si>
  <si>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</si>
  <si>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</si>
  <si>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</si>
  <si>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</si>
  <si>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</si>
  <si>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</si>
  <si>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</si>
  <si>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</si>
  <si>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</si>
  <si>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</si>
  <si>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</si>
  <si>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</si>
  <si>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</si>
  <si>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</si>
  <si>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</si>
  <si>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</si>
  <si>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</si>
  <si>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</si>
  <si>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</si>
  <si>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</si>
  <si>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</si>
  <si>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</si>
  <si>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</si>
  <si>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</si>
  <si>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</si>
  <si>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</si>
  <si>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</si>
  <si>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</si>
  <si>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</si>
  <si>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</si>
  <si>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</si>
  <si>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</si>
  <si>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</si>
  <si>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</si>
  <si>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</si>
  <si>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</si>
  <si>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</si>
  <si>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</si>
  <si>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</si>
  <si>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</si>
  <si>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</si>
  <si>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</si>
  <si>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</si>
  <si>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</si>
  <si>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</si>
  <si>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</si>
  <si>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</si>
  <si>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</si>
  <si>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</si>
  <si>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</si>
  <si>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</si>
  <si>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</si>
  <si>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</si>
  <si>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</si>
  <si>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</si>
  <si>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</si>
  <si>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</si>
  <si>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</si>
  <si>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</si>
  <si>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</si>
  <si>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</si>
  <si>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</si>
  <si>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</si>
  <si>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</si>
  <si>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</si>
  <si>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</si>
  <si>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</si>
  <si>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</si>
  <si>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</si>
  <si>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</si>
  <si>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</si>
  <si>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</si>
  <si>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</si>
  <si>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</si>
  <si>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</si>
  <si>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</si>
  <si>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</si>
  <si>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</si>
  <si>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</si>
  <si>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</si>
  <si>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</si>
  <si>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</si>
  <si>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</si>
  <si>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</si>
  <si>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</si>
  <si>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</si>
  <si>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</si>
  <si>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</si>
  <si>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</si>
  <si>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</si>
  <si>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</si>
  <si>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</si>
  <si>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</si>
  <si>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</si>
  <si>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</si>
  <si>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</si>
  <si>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</si>
  <si>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</si>
  <si>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</si>
  <si>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</si>
  <si>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</si>
  <si>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</si>
  <si>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</si>
  <si>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</si>
  <si>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</si>
  <si>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</si>
  <si>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</si>
  <si>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</si>
  <si>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</si>
  <si>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</si>
  <si>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</si>
  <si>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</si>
  <si>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</si>
  <si>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</si>
  <si>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</si>
  <si>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</si>
  <si>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</si>
  <si>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</si>
  <si>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</si>
  <si>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</si>
  <si>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</si>
  <si>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</si>
  <si>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</si>
  <si>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</si>
  <si>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</si>
  <si>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</si>
  <si>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</si>
  <si>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</si>
  <si>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</si>
  <si>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</si>
  <si>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</si>
  <si>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</si>
  <si>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</si>
  <si>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</si>
  <si>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</si>
  <si>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</si>
  <si>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</si>
  <si>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</si>
  <si>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</si>
  <si>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</si>
  <si>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</si>
  <si>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</si>
  <si>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</si>
  <si>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</si>
  <si>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</si>
  <si>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</si>
  <si>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</si>
  <si>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</si>
  <si>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</si>
  <si>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</si>
  <si>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</si>
  <si>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</si>
  <si>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</si>
  <si>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</si>
  <si>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</si>
  <si>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</si>
  <si>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</si>
  <si>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</si>
  <si>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</si>
  <si>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</si>
  <si>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</si>
  <si>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</si>
  <si>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</si>
  <si>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</si>
  <si>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</si>
  <si>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</si>
  <si>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</si>
  <si>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</si>
  <si>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</si>
  <si>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</si>
  <si>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</si>
  <si>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</si>
  <si>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</si>
  <si>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</si>
  <si>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</si>
  <si>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</si>
  <si>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</si>
  <si>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</si>
  <si>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</si>
  <si>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</si>
  <si>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</si>
  <si>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</si>
  <si>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</si>
  <si>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</si>
  <si>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</si>
  <si>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</si>
  <si>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</si>
  <si>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</si>
  <si>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</si>
  <si>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</si>
  <si>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</si>
  <si>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</si>
  <si>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</si>
  <si>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</si>
  <si>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</si>
  <si>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</si>
  <si>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</si>
  <si>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</si>
  <si>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</si>
  <si>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</si>
  <si>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</si>
  <si>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</si>
  <si>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</si>
  <si>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</si>
  <si>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</si>
  <si>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</si>
  <si>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</si>
  <si>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</si>
  <si>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</si>
  <si>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</si>
  <si>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</si>
  <si>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</si>
  <si>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</si>
  <si>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</si>
  <si>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</si>
  <si>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</si>
  <si>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</si>
  <si>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</si>
  <si>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</si>
  <si>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</si>
  <si>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</si>
  <si>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</si>
  <si>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</si>
  <si>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</si>
  <si>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</si>
  <si>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</si>
  <si>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</si>
  <si>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</si>
  <si>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</si>
  <si>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</si>
  <si>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</si>
  <si>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</si>
  <si>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</si>
  <si>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</si>
  <si>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</si>
  <si>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</si>
  <si>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</si>
  <si>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</si>
  <si>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</si>
  <si>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</si>
  <si>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</si>
  <si>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</si>
  <si>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</si>
  <si>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</si>
  <si>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</si>
  <si>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</si>
  <si>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</si>
  <si>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</si>
  <si>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</si>
  <si>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</si>
  <si>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</si>
  <si>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</si>
  <si>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</si>
  <si>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</si>
  <si>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</si>
  <si>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</si>
  <si>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</si>
  <si>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</si>
  <si>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</si>
  <si>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</si>
  <si>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</si>
  <si>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</si>
  <si>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</si>
  <si>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</si>
  <si>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</si>
  <si>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</si>
  <si>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</si>
  <si>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</si>
  <si>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</si>
  <si>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</si>
  <si>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</si>
  <si>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</si>
  <si>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</si>
  <si>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</si>
  <si>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</si>
  <si>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</si>
  <si>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</si>
  <si>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</si>
  <si>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</si>
  <si>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</si>
  <si>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</si>
  <si>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</si>
  <si>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</si>
  <si>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</si>
  <si>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</si>
  <si>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</si>
  <si>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</si>
  <si>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</si>
  <si>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</si>
  <si>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</si>
  <si>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</si>
  <si>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</si>
  <si>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</si>
  <si>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</si>
  <si>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</si>
  <si>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</si>
  <si>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</si>
  <si>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</si>
  <si>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</si>
  <si>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</si>
  <si>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</si>
  <si>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</si>
  <si>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</si>
  <si>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</si>
  <si>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</si>
  <si>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</si>
  <si>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</si>
  <si>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</si>
  <si>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</si>
  <si>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</si>
  <si>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</si>
  <si>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</si>
  <si>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</si>
  <si>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</si>
  <si>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</si>
  <si>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</si>
  <si>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</si>
  <si>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</si>
  <si>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</si>
  <si>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</si>
  <si>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</si>
  <si>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</si>
  <si>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</si>
  <si>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</si>
  <si>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</si>
  <si>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</si>
  <si>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</si>
  <si>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</si>
  <si>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</si>
  <si>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</si>
  <si>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</si>
  <si>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</si>
  <si>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</si>
  <si>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</si>
  <si>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</si>
  <si>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</si>
  <si>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</si>
  <si>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</si>
  <si>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</si>
  <si>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</si>
  <si>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</si>
  <si>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</si>
  <si>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</si>
  <si>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</si>
  <si>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</si>
  <si>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</si>
  <si>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</si>
  <si>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</si>
  <si>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</si>
  <si>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</si>
  <si>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</si>
  <si>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</si>
  <si>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</si>
  <si>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</si>
  <si>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</si>
  <si>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</si>
  <si>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</si>
  <si>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</si>
  <si>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</si>
  <si>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</si>
  <si>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</si>
  <si>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</si>
  <si>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</si>
  <si>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</si>
  <si>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</si>
  <si>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</si>
  <si>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</si>
  <si>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</si>
  <si>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</si>
  <si>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</si>
  <si>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</si>
  <si>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</si>
  <si>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</si>
  <si>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</si>
  <si>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</si>
  <si>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</si>
  <si>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</si>
  <si>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</si>
  <si>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</si>
  <si>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</si>
  <si>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</si>
  <si>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</si>
  <si>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</si>
  <si>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</si>
  <si>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</si>
  <si>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</si>
  <si>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</si>
  <si>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</si>
  <si>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</si>
  <si>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</si>
  <si>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</si>
  <si>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</si>
  <si>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</si>
  <si>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</si>
  <si>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</si>
  <si>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</si>
  <si>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</si>
  <si>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</si>
  <si>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</si>
  <si>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</si>
  <si>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</si>
  <si>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</si>
  <si>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</si>
  <si>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</si>
  <si>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</si>
  <si>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</si>
  <si>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</si>
  <si>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</si>
  <si>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</si>
  <si>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</si>
  <si>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</si>
  <si>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</si>
  <si>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</si>
  <si>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</si>
  <si>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</si>
  <si>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</si>
  <si>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</si>
  <si>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</si>
  <si>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</si>
  <si>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</si>
  <si>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</si>
  <si>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</si>
  <si>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</si>
  <si>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</si>
  <si>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</si>
  <si>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</si>
  <si>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</si>
  <si>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</si>
  <si>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</si>
  <si>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</si>
  <si>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</si>
  <si>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</si>
  <si>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</si>
  <si>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</si>
  <si>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</si>
  <si>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</si>
  <si>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</si>
  <si>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</si>
  <si>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</si>
  <si>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</si>
  <si>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</si>
  <si>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</si>
  <si>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</si>
  <si>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</si>
  <si>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</si>
  <si>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</si>
  <si>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</si>
  <si>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</si>
  <si>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</si>
  <si>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</si>
  <si>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</si>
  <si>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</si>
  <si>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</si>
  <si>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</si>
  <si>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</si>
  <si>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</si>
  <si>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</si>
  <si>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</si>
  <si>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</si>
  <si>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</si>
  <si>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</si>
  <si>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</si>
  <si>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</si>
  <si>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</si>
  <si>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</si>
  <si>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</si>
  <si>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</si>
  <si>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</si>
  <si>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</si>
  <si>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</si>
  <si>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</si>
  <si>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</si>
  <si>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</si>
  <si>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</si>
  <si>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北京出岫科技有限公司</t>
    <phoneticPr fontId="6" type="noConversion"/>
  </si>
  <si>
    <r>
      <rPr>
        <sz val="10"/>
        <color theme="9" tint="-0.249977111117893"/>
        <rFont val="宋体"/>
        <family val="3"/>
        <charset val="134"/>
      </rPr>
      <t>房山区怡和北路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14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phoneticPr fontId="6" type="noConversion"/>
  </si>
  <si>
    <t>否</t>
  </si>
  <si>
    <t>商务办公</t>
    <phoneticPr fontId="6" type="noConversion"/>
  </si>
  <si>
    <t>办公项目</t>
  </si>
  <si>
    <t>现房</t>
  </si>
  <si>
    <t>是</t>
  </si>
  <si>
    <t>地上</t>
  </si>
  <si>
    <t>成新度</t>
  </si>
  <si>
    <t>竣工时间</t>
    <phoneticPr fontId="3" type="noConversion"/>
  </si>
  <si>
    <t>根据产权证</t>
    <phoneticPr fontId="3" type="noConversion"/>
  </si>
  <si>
    <t>直线</t>
    <phoneticPr fontId="3" type="noConversion"/>
  </si>
  <si>
    <t>钢混</t>
  </si>
  <si>
    <t>钢混</t>
    <phoneticPr fontId="3" type="noConversion"/>
  </si>
  <si>
    <t>长阳镇</t>
    <phoneticPr fontId="3" type="noConversion"/>
  </si>
  <si>
    <t>收益法 (元)</t>
  </si>
  <si>
    <t>未包含在土地购买价格中</t>
  </si>
  <si>
    <t>已包含在土地取得成本中</t>
  </si>
  <si>
    <t>押一</t>
  </si>
  <si>
    <t>非生产用房</t>
  </si>
  <si>
    <t>商务金融用地</t>
  </si>
  <si>
    <t>级别平均容积率</t>
    <phoneticPr fontId="7" type="noConversion"/>
  </si>
  <si>
    <t>自定义容积率</t>
  </si>
  <si>
    <t>中心城区以外</t>
  </si>
  <si>
    <t>较好</t>
  </si>
  <si>
    <t>好</t>
  </si>
  <si>
    <t>单套模式</t>
  </si>
  <si>
    <t>售价</t>
  </si>
  <si>
    <t>首开熙悦广场</t>
    <phoneticPr fontId="3" type="noConversion"/>
  </si>
  <si>
    <t>郑燚</t>
  </si>
  <si>
    <t>吴薇</t>
  </si>
  <si>
    <t>正常</t>
  </si>
  <si>
    <t>挂牌价</t>
  </si>
  <si>
    <t>挂牌价</t>
    <phoneticPr fontId="31" type="noConversion"/>
  </si>
  <si>
    <t>商务办公</t>
  </si>
  <si>
    <t>商务办公</t>
    <phoneticPr fontId="31" type="noConversion"/>
  </si>
  <si>
    <t>七通</t>
  </si>
  <si>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</si>
  <si>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</si>
  <si>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</si>
  <si>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</si>
  <si>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</si>
  <si>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t>30-40</t>
    </r>
    <r>
      <rPr>
        <sz val="11"/>
        <color indexed="8"/>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</si>
  <si>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</si>
  <si>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</si>
  <si>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</si>
  <si>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</si>
  <si>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低楼层</t>
  </si>
  <si>
    <t>低楼层</t>
    <phoneticPr fontId="31" type="noConversion"/>
  </si>
  <si>
    <t>中楼层</t>
  </si>
  <si>
    <t>中楼层</t>
    <phoneticPr fontId="31" type="noConversion"/>
  </si>
  <si>
    <t>高楼层</t>
  </si>
  <si>
    <t>高楼层</t>
    <phoneticPr fontId="31" type="noConversion"/>
  </si>
  <si>
    <t>中高层建筑</t>
  </si>
  <si>
    <t>中高层建筑</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</si>
  <si>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</si>
  <si>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</si>
  <si>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</si>
  <si>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</si>
  <si>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</si>
  <si>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</si>
  <si>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普通物业管理</t>
  </si>
  <si>
    <t>普通物业管理</t>
    <phoneticPr fontId="31" type="noConversion"/>
  </si>
  <si>
    <t>七通</t>
    <phoneticPr fontId="31" type="noConversion"/>
  </si>
  <si>
    <t>六通</t>
  </si>
  <si>
    <t>六通</t>
    <phoneticPr fontId="31" type="noConversion"/>
  </si>
  <si>
    <t>五通</t>
    <phoneticPr fontId="31" type="noConversion"/>
  </si>
  <si>
    <r>
      <t>4</t>
    </r>
    <r>
      <rPr>
        <sz val="11"/>
        <rFont val="宋体"/>
        <family val="3"/>
        <charset val="134"/>
      </rPr>
      <t>米以上</t>
    </r>
    <phoneticPr fontId="31" type="noConversion"/>
  </si>
  <si>
    <t>4米以上</t>
  </si>
  <si>
    <t>案例1</t>
    <phoneticPr fontId="134" type="noConversion"/>
  </si>
  <si>
    <t>案例2</t>
    <phoneticPr fontId="134" type="noConversion"/>
  </si>
  <si>
    <t>案例3</t>
    <phoneticPr fontId="134" type="noConversion"/>
  </si>
  <si>
    <t>楼层</t>
    <phoneticPr fontId="134" type="noConversion"/>
  </si>
  <si>
    <t>高楼层</t>
    <phoneticPr fontId="134" type="noConversion"/>
  </si>
  <si>
    <t>中楼层</t>
    <phoneticPr fontId="134" type="noConversion"/>
  </si>
  <si>
    <t>比较法-办公</t>
  </si>
  <si>
    <t>楼面单价</t>
  </si>
  <si>
    <t>自定义</t>
  </si>
  <si>
    <t>成交价</t>
    <phoneticPr fontId="134" type="noConversion"/>
  </si>
  <si>
    <t>左右</t>
    <phoneticPr fontId="134" type="noConversion"/>
  </si>
  <si>
    <t>链家马香枝</t>
    <phoneticPr fontId="134" type="noConversion"/>
  </si>
  <si>
    <r>
      <t>5</t>
    </r>
    <r>
      <rPr>
        <sz val="11"/>
        <color theme="1"/>
        <rFont val="宋体"/>
        <family val="3"/>
        <charset val="134"/>
        <scheme val="minor"/>
      </rPr>
      <t>0平的东南朝向，报价75万，70万业主能卖</t>
    </r>
    <phoneticPr fontId="134" type="noConversion"/>
  </si>
  <si>
    <r>
      <t>3</t>
    </r>
    <r>
      <rPr>
        <sz val="11"/>
        <color theme="1"/>
        <rFont val="宋体"/>
        <family val="3"/>
        <charset val="134"/>
        <scheme val="minor"/>
      </rPr>
      <t>000元/月左右</t>
    </r>
    <phoneticPr fontId="134" type="noConversion"/>
  </si>
  <si>
    <t>东南朝向较好，东北朝向、西北朝向不见阳光</t>
    <phoneticPr fontId="134" type="noConversion"/>
  </si>
  <si>
    <t>与级别开发程度不一致</t>
  </si>
  <si>
    <t>通路</t>
  </si>
  <si>
    <t>通电</t>
  </si>
  <si>
    <t>通讯</t>
  </si>
  <si>
    <t>通上水</t>
  </si>
  <si>
    <t>通下水</t>
  </si>
  <si>
    <t>通热</t>
  </si>
  <si>
    <t>平整</t>
  </si>
  <si>
    <t>较差</t>
  </si>
  <si>
    <t>买一层送一层，户型为loft</t>
    <phoneticPr fontId="134" type="noConversion"/>
  </si>
  <si>
    <t>询价</t>
    <phoneticPr fontId="8" type="noConversion"/>
  </si>
  <si>
    <r>
      <t>1.2</t>
    </r>
    <r>
      <rPr>
        <sz val="10"/>
        <color rgb="FFFF0000"/>
        <rFont val="宋体"/>
        <family val="3"/>
        <charset val="134"/>
      </rPr>
      <t>万</t>
    </r>
    <r>
      <rPr>
        <sz val="10"/>
        <color rgb="FFFF0000"/>
        <rFont val="Arial"/>
        <family val="2"/>
      </rPr>
      <t>/</t>
    </r>
    <r>
      <rPr>
        <sz val="10"/>
        <color rgb="FFFF0000"/>
        <rFont val="宋体"/>
        <family val="3"/>
        <charset val="134"/>
      </rPr>
      <t>平方米</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</si>
</sst>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5" fillId="5" borderId="0" xfId="0" applyFont="1" applyFill="1">
      <alignment vertical="center"/>
    </xf>
    <xf numFmtId="0" fontId="53" fillId="5" borderId="32" xfId="0" applyFont="1" applyFill="1" applyBorder="1" applyAlignment="1" applyProtection="1">
      <alignment horizontal="righ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20</xdr:row>
      <xdr:rowOff>0</xdr:rowOff>
    </xdr:from>
    <xdr:to>
      <xdr:col>29</xdr:col>
      <xdr:colOff>341943</xdr:colOff>
      <xdr:row>60</xdr:row>
      <xdr:rowOff>151467</xdr:rowOff>
    </xdr:to>
    <xdr:pic>
      <xdr:nvPicPr>
        <xdr:cNvPr id="6" name="图片 5">
          <a:extLst>
            <a:ext uri="{FF2B5EF4-FFF2-40B4-BE49-F238E27FC236}">
              <a16:creationId xmlns:a16="http://schemas.microsoft.com/office/drawing/2014/main" id="{F36B135A-F6B7-0DBC-9838-F603FB43E29D}"/>
            </a:ext>
          </a:extLst>
        </xdr:cNvPr>
        <xdr:cNvPicPr>
          <a:picLocks noChangeAspect="1"/>
        </xdr:cNvPicPr>
      </xdr:nvPicPr>
      <xdr:blipFill>
        <a:blip xmlns:r="http://schemas.openxmlformats.org/officeDocument/2006/relationships" r:embed="rId1"/>
        <a:stretch>
          <a:fillRect/>
        </a:stretch>
      </xdr:blipFill>
      <xdr:spPr>
        <a:xfrm>
          <a:off x="10363200" y="3657600"/>
          <a:ext cx="7657143" cy="7466667"/>
        </a:xfrm>
        <a:prstGeom prst="rect">
          <a:avLst/>
        </a:prstGeom>
      </xdr:spPr>
    </xdr:pic>
    <xdr:clientData/>
  </xdr:twoCellAnchor>
  <xdr:twoCellAnchor editAs="oneCell">
    <xdr:from>
      <xdr:col>17</xdr:col>
      <xdr:colOff>0</xdr:colOff>
      <xdr:row>61</xdr:row>
      <xdr:rowOff>0</xdr:rowOff>
    </xdr:from>
    <xdr:to>
      <xdr:col>29</xdr:col>
      <xdr:colOff>218133</xdr:colOff>
      <xdr:row>102</xdr:row>
      <xdr:rowOff>120968</xdr:rowOff>
    </xdr:to>
    <xdr:pic>
      <xdr:nvPicPr>
        <xdr:cNvPr id="7" name="图片 6">
          <a:extLst>
            <a:ext uri="{FF2B5EF4-FFF2-40B4-BE49-F238E27FC236}">
              <a16:creationId xmlns:a16="http://schemas.microsoft.com/office/drawing/2014/main" id="{A29903C2-0EE4-3053-72C7-98DF6209B338}"/>
            </a:ext>
          </a:extLst>
        </xdr:cNvPr>
        <xdr:cNvPicPr>
          <a:picLocks noChangeAspect="1"/>
        </xdr:cNvPicPr>
      </xdr:nvPicPr>
      <xdr:blipFill>
        <a:blip xmlns:r="http://schemas.openxmlformats.org/officeDocument/2006/relationships" r:embed="rId2"/>
        <a:stretch>
          <a:fillRect/>
        </a:stretch>
      </xdr:blipFill>
      <xdr:spPr>
        <a:xfrm>
          <a:off x="10363200" y="11155680"/>
          <a:ext cx="7533333" cy="7619048"/>
        </a:xfrm>
        <a:prstGeom prst="rect">
          <a:avLst/>
        </a:prstGeom>
      </xdr:spPr>
    </xdr:pic>
    <xdr:clientData/>
  </xdr:twoCellAnchor>
  <xdr:twoCellAnchor editAs="oneCell">
    <xdr:from>
      <xdr:col>17</xdr:col>
      <xdr:colOff>0</xdr:colOff>
      <xdr:row>103</xdr:row>
      <xdr:rowOff>0</xdr:rowOff>
    </xdr:from>
    <xdr:to>
      <xdr:col>29</xdr:col>
      <xdr:colOff>551467</xdr:colOff>
      <xdr:row>144</xdr:row>
      <xdr:rowOff>44777</xdr:rowOff>
    </xdr:to>
    <xdr:pic>
      <xdr:nvPicPr>
        <xdr:cNvPr id="8" name="图片 7">
          <a:extLst>
            <a:ext uri="{FF2B5EF4-FFF2-40B4-BE49-F238E27FC236}">
              <a16:creationId xmlns:a16="http://schemas.microsoft.com/office/drawing/2014/main" id="{CAF5D0D9-3188-36C6-F908-E38AA6A0D206}"/>
            </a:ext>
          </a:extLst>
        </xdr:cNvPr>
        <xdr:cNvPicPr>
          <a:picLocks noChangeAspect="1"/>
        </xdr:cNvPicPr>
      </xdr:nvPicPr>
      <xdr:blipFill>
        <a:blip xmlns:r="http://schemas.openxmlformats.org/officeDocument/2006/relationships" r:embed="rId3"/>
        <a:stretch>
          <a:fillRect/>
        </a:stretch>
      </xdr:blipFill>
      <xdr:spPr>
        <a:xfrm>
          <a:off x="10363200" y="18836640"/>
          <a:ext cx="7866667" cy="7542857"/>
        </a:xfrm>
        <a:prstGeom prst="rect">
          <a:avLst/>
        </a:prstGeom>
      </xdr:spPr>
    </xdr:pic>
    <xdr:clientData/>
  </xdr:twoCellAnchor>
  <xdr:twoCellAnchor editAs="oneCell">
    <xdr:from>
      <xdr:col>17</xdr:col>
      <xdr:colOff>0</xdr:colOff>
      <xdr:row>145</xdr:row>
      <xdr:rowOff>0</xdr:rowOff>
    </xdr:from>
    <xdr:to>
      <xdr:col>29</xdr:col>
      <xdr:colOff>341943</xdr:colOff>
      <xdr:row>185</xdr:row>
      <xdr:rowOff>75276</xdr:rowOff>
    </xdr:to>
    <xdr:pic>
      <xdr:nvPicPr>
        <xdr:cNvPr id="9" name="图片 8">
          <a:extLst>
            <a:ext uri="{FF2B5EF4-FFF2-40B4-BE49-F238E27FC236}">
              <a16:creationId xmlns:a16="http://schemas.microsoft.com/office/drawing/2014/main" id="{2291F7CB-0E26-0E53-F345-58BE28CF8732}"/>
            </a:ext>
          </a:extLst>
        </xdr:cNvPr>
        <xdr:cNvPicPr>
          <a:picLocks noChangeAspect="1"/>
        </xdr:cNvPicPr>
      </xdr:nvPicPr>
      <xdr:blipFill>
        <a:blip xmlns:r="http://schemas.openxmlformats.org/officeDocument/2006/relationships" r:embed="rId4"/>
        <a:stretch>
          <a:fillRect/>
        </a:stretch>
      </xdr:blipFill>
      <xdr:spPr>
        <a:xfrm>
          <a:off x="10363200" y="26517600"/>
          <a:ext cx="7657143" cy="7390476"/>
        </a:xfrm>
        <a:prstGeom prst="rect">
          <a:avLst/>
        </a:prstGeom>
      </xdr:spPr>
    </xdr:pic>
    <xdr:clientData/>
  </xdr:twoCellAnchor>
  <xdr:twoCellAnchor editAs="oneCell">
    <xdr:from>
      <xdr:col>17</xdr:col>
      <xdr:colOff>0</xdr:colOff>
      <xdr:row>186</xdr:row>
      <xdr:rowOff>0</xdr:rowOff>
    </xdr:from>
    <xdr:to>
      <xdr:col>30</xdr:col>
      <xdr:colOff>113295</xdr:colOff>
      <xdr:row>226</xdr:row>
      <xdr:rowOff>151467</xdr:rowOff>
    </xdr:to>
    <xdr:pic>
      <xdr:nvPicPr>
        <xdr:cNvPr id="10" name="图片 9">
          <a:extLst>
            <a:ext uri="{FF2B5EF4-FFF2-40B4-BE49-F238E27FC236}">
              <a16:creationId xmlns:a16="http://schemas.microsoft.com/office/drawing/2014/main" id="{1D66E09B-2906-D29F-B0DC-695B26046FFB}"/>
            </a:ext>
          </a:extLst>
        </xdr:cNvPr>
        <xdr:cNvPicPr>
          <a:picLocks noChangeAspect="1"/>
        </xdr:cNvPicPr>
      </xdr:nvPicPr>
      <xdr:blipFill>
        <a:blip xmlns:r="http://schemas.openxmlformats.org/officeDocument/2006/relationships" r:embed="rId5"/>
        <a:stretch>
          <a:fillRect/>
        </a:stretch>
      </xdr:blipFill>
      <xdr:spPr>
        <a:xfrm>
          <a:off x="10363200" y="34015680"/>
          <a:ext cx="8038095" cy="7466667"/>
        </a:xfrm>
        <a:prstGeom prst="rect">
          <a:avLst/>
        </a:prstGeom>
      </xdr:spPr>
    </xdr:pic>
    <xdr:clientData/>
  </xdr:twoCellAnchor>
  <xdr:twoCellAnchor editAs="oneCell">
    <xdr:from>
      <xdr:col>0</xdr:col>
      <xdr:colOff>0</xdr:colOff>
      <xdr:row>0</xdr:row>
      <xdr:rowOff>0</xdr:rowOff>
    </xdr:from>
    <xdr:to>
      <xdr:col>11</xdr:col>
      <xdr:colOff>38100</xdr:colOff>
      <xdr:row>31</xdr:row>
      <xdr:rowOff>96208</xdr:rowOff>
    </xdr:to>
    <xdr:pic>
      <xdr:nvPicPr>
        <xdr:cNvPr id="11" name="图片 10">
          <a:extLst>
            <a:ext uri="{FF2B5EF4-FFF2-40B4-BE49-F238E27FC236}">
              <a16:creationId xmlns:a16="http://schemas.microsoft.com/office/drawing/2014/main" id="{8BC6A262-97CC-0CA9-923E-5BCFF94ECC83}"/>
            </a:ext>
          </a:extLst>
        </xdr:cNvPr>
        <xdr:cNvPicPr>
          <a:picLocks noChangeAspect="1"/>
        </xdr:cNvPicPr>
      </xdr:nvPicPr>
      <xdr:blipFill>
        <a:blip xmlns:r="http://schemas.openxmlformats.org/officeDocument/2006/relationships" r:embed="rId6"/>
        <a:stretch>
          <a:fillRect/>
        </a:stretch>
      </xdr:blipFill>
      <xdr:spPr>
        <a:xfrm>
          <a:off x="0" y="0"/>
          <a:ext cx="6743700" cy="5765488"/>
        </a:xfrm>
        <a:prstGeom prst="rect">
          <a:avLst/>
        </a:prstGeom>
      </xdr:spPr>
    </xdr:pic>
    <xdr:clientData/>
  </xdr:twoCellAnchor>
  <xdr:twoCellAnchor editAs="oneCell">
    <xdr:from>
      <xdr:col>0</xdr:col>
      <xdr:colOff>53340</xdr:colOff>
      <xdr:row>72</xdr:row>
      <xdr:rowOff>175260</xdr:rowOff>
    </xdr:from>
    <xdr:to>
      <xdr:col>12</xdr:col>
      <xdr:colOff>595283</xdr:colOff>
      <xdr:row>114</xdr:row>
      <xdr:rowOff>84776</xdr:rowOff>
    </xdr:to>
    <xdr:pic>
      <xdr:nvPicPr>
        <xdr:cNvPr id="12" name="图片 11">
          <a:extLst>
            <a:ext uri="{FF2B5EF4-FFF2-40B4-BE49-F238E27FC236}">
              <a16:creationId xmlns:a16="http://schemas.microsoft.com/office/drawing/2014/main" id="{FE05C7CB-A288-7F03-E29A-49E2ACF2342B}"/>
            </a:ext>
          </a:extLst>
        </xdr:cNvPr>
        <xdr:cNvPicPr>
          <a:picLocks noChangeAspect="1"/>
        </xdr:cNvPicPr>
      </xdr:nvPicPr>
      <xdr:blipFill>
        <a:blip xmlns:r="http://schemas.openxmlformats.org/officeDocument/2006/relationships" r:embed="rId7"/>
        <a:stretch>
          <a:fillRect/>
        </a:stretch>
      </xdr:blipFill>
      <xdr:spPr>
        <a:xfrm>
          <a:off x="53340" y="13342620"/>
          <a:ext cx="7857143" cy="7590476"/>
        </a:xfrm>
        <a:prstGeom prst="rect">
          <a:avLst/>
        </a:prstGeom>
      </xdr:spPr>
    </xdr:pic>
    <xdr:clientData/>
  </xdr:twoCellAnchor>
  <xdr:twoCellAnchor editAs="oneCell">
    <xdr:from>
      <xdr:col>0</xdr:col>
      <xdr:colOff>45720</xdr:colOff>
      <xdr:row>31</xdr:row>
      <xdr:rowOff>167640</xdr:rowOff>
    </xdr:from>
    <xdr:to>
      <xdr:col>12</xdr:col>
      <xdr:colOff>273377</xdr:colOff>
      <xdr:row>72</xdr:row>
      <xdr:rowOff>69560</xdr:rowOff>
    </xdr:to>
    <xdr:pic>
      <xdr:nvPicPr>
        <xdr:cNvPr id="14" name="图片 13">
          <a:extLst>
            <a:ext uri="{FF2B5EF4-FFF2-40B4-BE49-F238E27FC236}">
              <a16:creationId xmlns:a16="http://schemas.microsoft.com/office/drawing/2014/main" id="{903B873D-9EFC-3182-BADC-7FFCD38A92F8}"/>
            </a:ext>
          </a:extLst>
        </xdr:cNvPr>
        <xdr:cNvPicPr>
          <a:picLocks noChangeAspect="1"/>
        </xdr:cNvPicPr>
      </xdr:nvPicPr>
      <xdr:blipFill>
        <a:blip xmlns:r="http://schemas.openxmlformats.org/officeDocument/2006/relationships" r:embed="rId8"/>
        <a:stretch>
          <a:fillRect/>
        </a:stretch>
      </xdr:blipFill>
      <xdr:spPr>
        <a:xfrm>
          <a:off x="45720" y="5836920"/>
          <a:ext cx="7542857" cy="7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351467</xdr:colOff>
      <xdr:row>45</xdr:row>
      <xdr:rowOff>27543</xdr:rowOff>
    </xdr:to>
    <xdr:pic>
      <xdr:nvPicPr>
        <xdr:cNvPr id="2" name="图片 1">
          <a:extLst>
            <a:ext uri="{FF2B5EF4-FFF2-40B4-BE49-F238E27FC236}">
              <a16:creationId xmlns:a16="http://schemas.microsoft.com/office/drawing/2014/main" id="{664E21FA-DE80-9F97-6019-4648906EF27B}"/>
            </a:ext>
          </a:extLst>
        </xdr:cNvPr>
        <xdr:cNvPicPr>
          <a:picLocks noChangeAspect="1"/>
        </xdr:cNvPicPr>
      </xdr:nvPicPr>
      <xdr:blipFill>
        <a:blip xmlns:r="http://schemas.openxmlformats.org/officeDocument/2006/relationships" r:embed="rId1"/>
        <a:stretch>
          <a:fillRect/>
        </a:stretch>
      </xdr:blipFill>
      <xdr:spPr>
        <a:xfrm>
          <a:off x="0" y="0"/>
          <a:ext cx="7666667" cy="8257143"/>
        </a:xfrm>
        <a:prstGeom prst="rect">
          <a:avLst/>
        </a:prstGeom>
      </xdr:spPr>
    </xdr:pic>
    <xdr:clientData/>
  </xdr:twoCellAnchor>
  <xdr:twoCellAnchor editAs="oneCell">
    <xdr:from>
      <xdr:col>0</xdr:col>
      <xdr:colOff>0</xdr:colOff>
      <xdr:row>46</xdr:row>
      <xdr:rowOff>0</xdr:rowOff>
    </xdr:from>
    <xdr:to>
      <xdr:col>12</xdr:col>
      <xdr:colOff>170514</xdr:colOff>
      <xdr:row>91</xdr:row>
      <xdr:rowOff>56114</xdr:rowOff>
    </xdr:to>
    <xdr:pic>
      <xdr:nvPicPr>
        <xdr:cNvPr id="3" name="图片 2">
          <a:extLst>
            <a:ext uri="{FF2B5EF4-FFF2-40B4-BE49-F238E27FC236}">
              <a16:creationId xmlns:a16="http://schemas.microsoft.com/office/drawing/2014/main" id="{0B282364-BC9D-BEA9-31BE-C4D3510FC063}"/>
            </a:ext>
          </a:extLst>
        </xdr:cNvPr>
        <xdr:cNvPicPr>
          <a:picLocks noChangeAspect="1"/>
        </xdr:cNvPicPr>
      </xdr:nvPicPr>
      <xdr:blipFill>
        <a:blip xmlns:r="http://schemas.openxmlformats.org/officeDocument/2006/relationships" r:embed="rId2"/>
        <a:stretch>
          <a:fillRect/>
        </a:stretch>
      </xdr:blipFill>
      <xdr:spPr>
        <a:xfrm>
          <a:off x="0" y="8412480"/>
          <a:ext cx="7485714" cy="82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122057</xdr:colOff>
      <xdr:row>30</xdr:row>
      <xdr:rowOff>27886</xdr:rowOff>
    </xdr:to>
    <xdr:pic>
      <xdr:nvPicPr>
        <xdr:cNvPr id="2" name="图片 1">
          <a:extLst>
            <a:ext uri="{FF2B5EF4-FFF2-40B4-BE49-F238E27FC236}">
              <a16:creationId xmlns:a16="http://schemas.microsoft.com/office/drawing/2014/main" id="{5AA8A438-64FC-9052-74D3-5C1908C33554}"/>
            </a:ext>
          </a:extLst>
        </xdr:cNvPr>
        <xdr:cNvPicPr>
          <a:picLocks noChangeAspect="1"/>
        </xdr:cNvPicPr>
      </xdr:nvPicPr>
      <xdr:blipFill>
        <a:blip xmlns:r="http://schemas.openxmlformats.org/officeDocument/2006/relationships" r:embed="rId1"/>
        <a:stretch>
          <a:fillRect/>
        </a:stretch>
      </xdr:blipFill>
      <xdr:spPr>
        <a:xfrm>
          <a:off x="0" y="0"/>
          <a:ext cx="14142857" cy="55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284648</xdr:colOff>
      <xdr:row>37</xdr:row>
      <xdr:rowOff>42964</xdr:rowOff>
    </xdr:to>
    <xdr:pic>
      <xdr:nvPicPr>
        <xdr:cNvPr id="2" name="图片 1">
          <a:extLst>
            <a:ext uri="{FF2B5EF4-FFF2-40B4-BE49-F238E27FC236}">
              <a16:creationId xmlns:a16="http://schemas.microsoft.com/office/drawing/2014/main" id="{60E4D0CF-D8B5-09CB-2EDA-A7CF2E08301E}"/>
            </a:ext>
          </a:extLst>
        </xdr:cNvPr>
        <xdr:cNvPicPr>
          <a:picLocks noChangeAspect="1"/>
        </xdr:cNvPicPr>
      </xdr:nvPicPr>
      <xdr:blipFill>
        <a:blip xmlns:r="http://schemas.openxmlformats.org/officeDocument/2006/relationships" r:embed="rId1"/>
        <a:stretch>
          <a:fillRect/>
        </a:stretch>
      </xdr:blipFill>
      <xdr:spPr>
        <a:xfrm>
          <a:off x="0" y="0"/>
          <a:ext cx="8819048" cy="6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北京市房山区怡和北路5号院14号楼2层201房地产抵押价值预评估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受贵公司委托，我公司对北京市房山区怡和北路5号院14号楼2层201房地产抵押价值进行了预评估。</v>
      </c>
    </row>
    <row r="7" spans="1:2">
      <c r="A7" s="1119" t="s">
        <v>566</v>
      </c>
      <c r="B7" s="1120" t="str">
        <f>'预评函-1'!A7</f>
        <v>估价对象为北京市房山区怡和北路5号院14号楼2层201房地产，为北京出岫科技有限公司所有。根据《国有土地使用证》[]，估价对象（分摊）出让国有建设用地使用权面积为0平方米，建筑面积为66.63平方米。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山区怡和北路5号院14号楼2层201房地产,属北京出岫科技有限公司开发建设的办公项目，该项目尚在开发建设中。根据《国有土地使用证》[]，估价对象（分摊）出让国有建设用地使用权面积为0平方米，规划建筑面积为66.63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山区怡和北路5号院14号楼2层201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2025年6月6日（评估专业人员实地查勘之日）</v>
      </c>
    </row>
    <row r="13" spans="1:2">
      <c r="A13" s="1119" t="s">
        <v>529</v>
      </c>
      <c r="B13" s="1120" t="str">
        <f>'预评函-1'!A18</f>
        <v>本次估价的“房地产价值”是指在正常市场情况下，在价值时点2025年6月6日，估价对象规划用途为商务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83</v>
      </c>
    </row>
    <row r="21" spans="1:2">
      <c r="A21" s="1119" t="s">
        <v>537</v>
      </c>
      <c r="B21" s="1120">
        <f ca="1">'预评函-2'!D7</f>
        <v>12446</v>
      </c>
    </row>
    <row r="22" spans="1:2">
      <c r="A22" s="1119" t="s">
        <v>538</v>
      </c>
      <c r="B22" s="1120" t="str">
        <f ca="1">'预评函-2'!D6</f>
        <v>捌拾叁万元整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83</v>
      </c>
    </row>
    <row r="31" spans="1:2">
      <c r="A31" s="1119" t="s">
        <v>576</v>
      </c>
      <c r="B31" s="1120">
        <f ca="1">'预评函-2'!D15</f>
        <v>12446</v>
      </c>
    </row>
    <row r="32" spans="1:2">
      <c r="A32" s="1119" t="s">
        <v>543</v>
      </c>
      <c r="B32" s="1120" t="str">
        <f ca="1">'预评函-2'!D14</f>
        <v>捌拾叁万元整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北京市房山区怡和北路5号院14号楼2层201房地产</v>
      </c>
    </row>
    <row r="42" spans="1:2" ht="31.2">
      <c r="A42" s="1119" t="s">
        <v>590</v>
      </c>
      <c r="B42" s="1120" t="str">
        <f>'预评函-3'!B2</f>
        <v>建筑面积</v>
      </c>
    </row>
    <row r="43" spans="1:2">
      <c r="A43" s="1119" t="s">
        <v>591</v>
      </c>
      <c r="B43" s="1120">
        <f>'预评函-3'!B4</f>
        <v>66.63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怡和北路5号院14号楼2层201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6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4" t="s">
        <v>2580</v>
      </c>
      <c r="J2" s="3214"/>
      <c r="K2" s="3214"/>
      <c r="L2" s="3214"/>
      <c r="M2" s="3214"/>
      <c r="N2" s="3214"/>
      <c r="O2" s="3214"/>
      <c r="P2" s="3214"/>
      <c r="Q2" s="3214"/>
      <c r="R2" s="3214"/>
    </row>
    <row r="3" spans="1:18">
      <c r="A3" s="2760" t="s">
        <v>2501</v>
      </c>
      <c r="B3" s="2761">
        <f>项目基本情况!D3</f>
        <v>45814</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1.53</v>
      </c>
      <c r="D5" s="2765">
        <f>IF(ISERROR(ROUND(POWER(1+E5,A5-C5)*(POWER(1+E5,C5)-1)/(POWER(1+E5,A5)-1),3)),0,ROUND(POWER(1+E5,A5-C5)*(POWER(1+E5,C5)-1)/(POWER(1+E5,A5)-1),4))</f>
        <v>7.3599999999999999E-2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11.54</v>
      </c>
      <c r="D6" s="2765">
        <f>IF(ISERROR(ROUND(POWER(1+E6,A6-C6)*(POWER(1+E6,C6)-1)/(POWER(1+E6,A6)-1),3)),0,ROUND(POWER(1+E6,A6-C6)*(POWER(1+E6,C6)-1)/(POWER(1+E6,A6)-1),4))</f>
        <v>0.42359999999999998</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31.55</v>
      </c>
      <c r="D7" s="2765">
        <f>IF(ISERROR(ROUND(POWER(1+E7,A7-C7)*(POWER(1+E7,C7)-1)/(POWER(1+E7,A7)-1),3)),0,ROUND(POWER(1+E7,A7-C7)*(POWER(1+E7,C7)-1)/(POWER(1+E7,A7)-1),4))</f>
        <v>0.75860000000000005</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G8" sqref="G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22" t="str">
        <f>IF(B10="北京市","北京市",C10)&amp;F10&amp;IF(结果表!G1="在建","出让国有建设用地使用权及在建建筑物",IF(结果表!G1="土地","出让国有建设用地使用权",))&amp;B9&amp;"预评估"</f>
        <v>北京市房山区怡和北路5号院14号楼2层201房地产抵押价值预评估</v>
      </c>
      <c r="C1" s="3223"/>
      <c r="D1" s="3223"/>
      <c r="E1" s="3223"/>
      <c r="F1" s="3223"/>
      <c r="G1" s="3223"/>
      <c r="H1" s="3223"/>
      <c r="I1" s="3224"/>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北京市房山区怡和北路5号院14号楼2层201房地产抵押价值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北京市房山区怡和北路5号院14号楼2层201房地产</v>
      </c>
      <c r="T2" s="1618"/>
      <c r="U2" s="1618"/>
      <c r="V2" s="1618"/>
      <c r="W2" s="1618"/>
      <c r="X2" s="1618"/>
      <c r="Y2" s="1618"/>
      <c r="Z2" s="1618"/>
      <c r="AA2" s="1618"/>
      <c r="AB2" s="1618"/>
    </row>
    <row r="3" spans="1:30">
      <c r="A3" s="294" t="s">
        <v>2170</v>
      </c>
      <c r="B3" s="2184">
        <v>45814</v>
      </c>
      <c r="C3" s="2185" t="s">
        <v>2171</v>
      </c>
      <c r="D3" s="2184">
        <f>B3</f>
        <v>45814</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3444</v>
      </c>
      <c r="C4" s="2187">
        <f ca="1">SUMIF(注册房地产估价师,B4,估价师及机构信息!B3:B24)</f>
        <v>1120070131</v>
      </c>
      <c r="D4" s="2186" t="s">
        <v>3445</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3411</v>
      </c>
      <c r="C8" s="2200"/>
      <c r="D8" s="3225" t="s">
        <v>2177</v>
      </c>
      <c r="E8" s="2201" t="s">
        <v>3412</v>
      </c>
      <c r="F8" s="2202"/>
      <c r="G8" s="2440"/>
      <c r="H8" s="2440"/>
      <c r="I8" s="2440"/>
      <c r="J8" s="2243"/>
      <c r="K8" s="2398"/>
      <c r="L8" s="2397"/>
      <c r="M8" s="2397"/>
      <c r="N8" s="2243"/>
      <c r="O8" s="1670"/>
      <c r="P8" s="2243"/>
      <c r="Q8" s="2243"/>
      <c r="R8" s="2243"/>
    </row>
    <row r="9" spans="1:30" ht="13.8" thickBot="1">
      <c r="A9" s="2203" t="s">
        <v>2178</v>
      </c>
      <c r="B9" s="2204" t="s">
        <v>3412</v>
      </c>
      <c r="C9" s="2205"/>
      <c r="D9" s="3226"/>
      <c r="E9" s="2204" t="s">
        <v>43</v>
      </c>
      <c r="F9" s="2206"/>
      <c r="G9" s="2441"/>
      <c r="H9" s="2441"/>
      <c r="I9" s="2441"/>
      <c r="J9" s="2243"/>
      <c r="K9" s="2400"/>
      <c r="L9" s="2397"/>
      <c r="M9" s="2397"/>
      <c r="N9" s="2243"/>
      <c r="O9" s="1670"/>
      <c r="P9" s="2243"/>
      <c r="Q9" s="2243"/>
      <c r="R9" s="2243"/>
    </row>
    <row r="10" spans="1:30" ht="13.8" thickTop="1">
      <c r="A10" s="2207" t="s">
        <v>2179</v>
      </c>
      <c r="B10" s="2208" t="s">
        <v>3413</v>
      </c>
      <c r="C10" s="2209"/>
      <c r="D10" s="2192"/>
      <c r="E10" s="2210" t="s">
        <v>2180</v>
      </c>
      <c r="F10" s="3161" t="s">
        <v>3416</v>
      </c>
      <c r="G10" s="2442"/>
      <c r="H10" s="2443"/>
      <c r="I10" s="2444"/>
      <c r="J10" s="2243"/>
      <c r="K10" s="2400"/>
      <c r="L10" s="2397"/>
      <c r="M10" s="2397"/>
      <c r="N10" s="2243"/>
      <c r="O10" s="1670"/>
      <c r="P10" s="2243"/>
      <c r="Q10" s="2243"/>
      <c r="R10" s="2243"/>
    </row>
    <row r="11" spans="1:30" ht="24">
      <c r="A11" s="2211" t="s">
        <v>2181</v>
      </c>
      <c r="B11" s="2212" t="s">
        <v>3414</v>
      </c>
      <c r="C11" s="3160" t="s">
        <v>3415</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c r="E13" s="803">
        <v>58598</v>
      </c>
      <c r="F13" s="803"/>
      <c r="G13" s="803"/>
      <c r="H13" s="803"/>
      <c r="I13" s="803"/>
      <c r="J13" s="2800"/>
      <c r="K13" s="2397"/>
      <c r="L13" s="2397"/>
      <c r="M13" s="2243"/>
      <c r="N13" s="1670"/>
      <c r="O13" s="2243"/>
      <c r="P13" s="2243"/>
      <c r="Q13" s="2243"/>
      <c r="AD13" s="1618"/>
    </row>
    <row r="14" spans="1:30">
      <c r="A14" s="1018"/>
      <c r="B14" s="2216" t="s">
        <v>2191</v>
      </c>
      <c r="C14" s="2217"/>
      <c r="D14" s="2217"/>
      <c r="E14" s="2217">
        <v>50</v>
      </c>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35.020000000000003</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32" t="s">
        <v>3418</v>
      </c>
      <c r="C16" s="3233"/>
      <c r="D16" s="3234"/>
      <c r="E16" s="2220" t="s">
        <v>2194</v>
      </c>
      <c r="F16" s="3235"/>
      <c r="G16" s="3236"/>
      <c r="H16" s="3236"/>
      <c r="I16" s="3237"/>
      <c r="J16" s="2243"/>
      <c r="K16" s="2401"/>
      <c r="L16" s="1670"/>
      <c r="M16" s="1670"/>
      <c r="N16" s="2243"/>
      <c r="O16" s="1670"/>
      <c r="P16" s="2243"/>
      <c r="Q16" s="2243"/>
      <c r="R16" s="2243"/>
    </row>
    <row r="17" spans="1:28">
      <c r="A17" s="305" t="s">
        <v>2195</v>
      </c>
      <c r="B17" s="294" t="s">
        <v>2196</v>
      </c>
      <c r="C17" s="8">
        <f>'数据-汇总表'!E3</f>
        <v>66.63</v>
      </c>
      <c r="D17" s="1256" t="s">
        <v>2197</v>
      </c>
      <c r="E17" s="3238" t="s">
        <v>2198</v>
      </c>
      <c r="F17" s="3239"/>
      <c r="G17" s="3239"/>
      <c r="H17" s="3239"/>
      <c r="I17" s="3240"/>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41" t="s">
        <v>2202</v>
      </c>
      <c r="F18" s="3242"/>
      <c r="G18" s="3242"/>
      <c r="H18" s="3242"/>
      <c r="I18" s="3243"/>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3417</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28" t="s">
        <v>2206</v>
      </c>
      <c r="C20" s="3229"/>
      <c r="D20" s="3230" t="s">
        <v>2207</v>
      </c>
      <c r="E20" s="3231"/>
      <c r="F20" s="2428" t="s">
        <v>1056</v>
      </c>
      <c r="G20" s="2440"/>
      <c r="H20" s="2440"/>
      <c r="I20" s="2440"/>
      <c r="J20" s="2243"/>
      <c r="K20" s="322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16" t="s">
        <v>2214</v>
      </c>
      <c r="B27" s="312" t="s">
        <v>2215</v>
      </c>
      <c r="C27" s="2223" t="s">
        <v>3419</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16"/>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16"/>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17"/>
      <c r="B30" s="294" t="s">
        <v>2218</v>
      </c>
      <c r="C30" s="3218"/>
      <c r="D30" s="3219"/>
      <c r="E30" s="2440"/>
      <c r="F30" s="2440"/>
      <c r="G30" s="2440"/>
      <c r="H30" s="2440"/>
      <c r="I30" s="2440"/>
      <c r="J30" s="2243"/>
      <c r="K30" s="2400"/>
      <c r="L30" s="2397"/>
      <c r="M30" s="2397"/>
      <c r="N30" s="2243"/>
      <c r="O30" s="1670"/>
      <c r="P30" s="2243"/>
      <c r="Q30" s="2243"/>
      <c r="R30" s="2243"/>
      <c r="S30" s="2243"/>
      <c r="T30" s="2243"/>
      <c r="U30" s="2243"/>
      <c r="V30" s="2243"/>
    </row>
    <row r="31" spans="1:28">
      <c r="A31" s="3220" t="s">
        <v>2219</v>
      </c>
      <c r="B31" s="2229" t="s">
        <v>3420</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1"/>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1"/>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15" t="s">
        <v>2228</v>
      </c>
      <c r="T34" s="315" t="str">
        <f>NUMBERSTRING(7-K34,1)&amp;"通"</f>
        <v>七通</v>
      </c>
      <c r="U34" s="2243"/>
      <c r="V34" s="2243"/>
    </row>
    <row r="35" spans="1:30">
      <c r="A35" s="2234"/>
      <c r="B35" s="3215" t="s">
        <v>2229</v>
      </c>
      <c r="C35" s="3215"/>
      <c r="D35" s="3215"/>
      <c r="E35" s="3215"/>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5"/>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304</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240</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66.63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66.63</v>
      </c>
      <c r="H5" s="13">
        <f t="shared" ref="H5:AT5" si="0">SUM(H13:H656)</f>
        <v>66.63</v>
      </c>
      <c r="I5" s="13">
        <f t="shared" si="0"/>
        <v>66.63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66.63</v>
      </c>
      <c r="BA5" s="15">
        <f t="shared" si="1"/>
        <v>66.63</v>
      </c>
      <c r="BB5" s="15">
        <f t="shared" si="1"/>
        <v>66.63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201</v>
      </c>
      <c r="D13" s="1513" t="s">
        <v>3421</v>
      </c>
      <c r="E13" s="13">
        <f>IF($C$3="是",ROUND($A$3*G13/$B$3,2),ROUND($A$3*(G13-AT13)/$B$3,2))</f>
        <v>0</v>
      </c>
      <c r="F13" s="29"/>
      <c r="G13" s="30">
        <f>H13+AC13+AT13</f>
        <v>66.63</v>
      </c>
      <c r="H13" s="17">
        <f>SUMIF(I$12:AB$12,"总值",I13:AB13)</f>
        <v>66.63</v>
      </c>
      <c r="I13" s="1514">
        <v>66.63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201</v>
      </c>
      <c r="AY13" s="1260">
        <f>ROUND($AY$6*AZ13/$AZ$5,2)</f>
        <v>0</v>
      </c>
      <c r="AZ13" s="13">
        <f>BA13+BL13</f>
        <v>66.63</v>
      </c>
      <c r="BA13" s="13">
        <f>SUM(BB13:BK13)</f>
        <v>66.63</v>
      </c>
      <c r="BB13" s="13">
        <f>IF($D13="是",I13-J13,0)</f>
        <v>66.63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3" t="s">
        <v>1131</v>
      </c>
      <c r="B2" s="3253"/>
      <c r="C2" s="3253"/>
      <c r="D2" s="748" t="s">
        <v>1107</v>
      </c>
      <c r="E2" s="1523" t="s">
        <v>1108</v>
      </c>
      <c r="F2" s="2437"/>
      <c r="G2" s="2430"/>
      <c r="H2" s="2431"/>
      <c r="I2" s="2145" t="s">
        <v>1132</v>
      </c>
      <c r="J2" s="2437"/>
      <c r="K2" s="2437"/>
      <c r="L2" s="2437"/>
      <c r="M2" s="2437"/>
      <c r="N2" s="2438"/>
      <c r="O2" s="2437"/>
      <c r="P2" s="2437"/>
    </row>
    <row r="3" spans="1:16" ht="15" thickBot="1">
      <c r="A3" s="3254" t="s">
        <v>1105</v>
      </c>
      <c r="B3" s="3254"/>
      <c r="C3" s="3254"/>
      <c r="D3" s="41">
        <f>'数据-基础表'!AY6</f>
        <v>0</v>
      </c>
      <c r="E3" s="41">
        <f>'数据-基础表'!AZ5</f>
        <v>66.63</v>
      </c>
      <c r="F3" s="2437"/>
      <c r="G3" s="42"/>
      <c r="H3" s="43" t="s">
        <v>1106</v>
      </c>
      <c r="I3" s="802" t="e">
        <f>ROUND('数据-基础表'!B3/'数据-基础表'!A3,2)</f>
        <v>#DIV/0!</v>
      </c>
      <c r="J3" s="2437"/>
      <c r="K3" s="2437"/>
      <c r="L3" s="2437"/>
      <c r="M3" s="2437"/>
      <c r="N3" s="2438"/>
      <c r="O3" s="2437"/>
      <c r="P3" s="2437"/>
    </row>
    <row r="4" spans="1:16" ht="14.4">
      <c r="A4" s="3255"/>
      <c r="B4" s="3256"/>
      <c r="C4" s="325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58" t="s">
        <v>1110</v>
      </c>
      <c r="C5" s="325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8" t="s">
        <v>1111</v>
      </c>
      <c r="C6" s="3258"/>
      <c r="D6" s="43">
        <f>ROUND($D$3*E6/$E$3,2)</f>
        <v>0</v>
      </c>
      <c r="E6" s="44">
        <f>E3-E5</f>
        <v>66.63</v>
      </c>
      <c r="F6" s="2437"/>
      <c r="G6" s="1529" t="s">
        <v>1112</v>
      </c>
      <c r="H6" s="45" t="s">
        <v>1113</v>
      </c>
      <c r="I6" s="2433" t="e">
        <f>ROUND(F31/D31,2)</f>
        <v>#DIV/0!</v>
      </c>
      <c r="J6" s="2437"/>
      <c r="K6" s="2437"/>
      <c r="L6" s="2437"/>
      <c r="M6" s="2437"/>
      <c r="N6" s="2437"/>
      <c r="O6" s="2437"/>
      <c r="P6" s="2437"/>
    </row>
    <row r="7" spans="1:16" ht="15" thickBot="1">
      <c r="A7" s="3250"/>
      <c r="B7" s="3251"/>
      <c r="C7" s="3252"/>
      <c r="D7" s="1524" t="s">
        <v>1107</v>
      </c>
      <c r="E7" s="1528" t="s">
        <v>1114</v>
      </c>
      <c r="F7" s="2437"/>
      <c r="G7" s="2434" t="s">
        <v>1115</v>
      </c>
      <c r="H7" s="95"/>
      <c r="I7" s="2435">
        <v>2.5</v>
      </c>
      <c r="J7" s="3164" t="s">
        <v>3436</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66.63</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66.63</v>
      </c>
      <c r="F16" s="2437"/>
      <c r="G16" s="2437"/>
      <c r="H16" s="1531" t="s">
        <v>1135</v>
      </c>
      <c r="I16" s="1532"/>
      <c r="J16" s="1071"/>
      <c r="K16" s="3247" t="s">
        <v>1135</v>
      </c>
      <c r="L16" s="3248"/>
      <c r="M16" s="3248"/>
      <c r="N16" s="3248"/>
      <c r="O16" s="3248"/>
      <c r="P16" s="3249"/>
    </row>
    <row r="17" spans="1:19" ht="14.4">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f>'数据-基础表'!C13</f>
        <v>201</v>
      </c>
      <c r="D19" s="43">
        <f>ROUND($D$3*E19/$E$3,2)</f>
        <v>0</v>
      </c>
      <c r="E19" s="51">
        <f t="shared" ref="E19:E26" si="1">SUM(F19:G19)</f>
        <v>66.63</v>
      </c>
      <c r="F19" s="2555">
        <f>'数据-基础表'!G13</f>
        <v>66.63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66.63</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66.63</v>
      </c>
      <c r="F27" s="1072">
        <f>IF(SUM(F19:F26)=E8,SUM(F19:F26),"地上面积有误")</f>
        <v>66.63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66.63</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66.63</v>
      </c>
      <c r="F31" s="644">
        <f>F27+F30</f>
        <v>66.63</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X57" activePane="bottomRight" state="frozen"/>
      <selection activeCell="C50" sqref="C50"/>
      <selection pane="topRight" activeCell="C50" sqref="C50"/>
      <selection pane="bottomLeft" activeCell="C50" sqref="C50"/>
      <selection pane="bottomRight" activeCell="V7" sqref="V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66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201</v>
      </c>
      <c r="B6" s="1587" t="str">
        <f>IF(A6=0,"","经营性")</f>
        <v>经营性</v>
      </c>
      <c r="C6" s="1588" t="s">
        <v>21</v>
      </c>
      <c r="D6" s="805">
        <f>SUMIF(项目基本情况!C$12:I$12,C6,项目基本情况!C$14:I$14)</f>
        <v>50</v>
      </c>
      <c r="E6" s="804">
        <f>IF(B6="","",SUMIF(项目基本情况!C$12:I$12,C6,项目基本情况!C$13:I$13))</f>
        <v>58598</v>
      </c>
      <c r="F6" s="61">
        <f>SUMIF(项目基本情况!C$12:I$12,C6,项目基本情况!C$15:I$15)</f>
        <v>35.020000000000003</v>
      </c>
      <c r="G6" s="62">
        <f>IF(ISERROR(ROUND(POWER(1+H6,D6-F6)*(POWER(1+H6,F6)-1)/(POWER(1+H6,D6)-1),3)),0,ROUND(POWER(1+H6,D6-F6)*(POWER(1+H6,F6)-1)/(POWER(1+H6,D6)-1),3))</f>
        <v>0.89700000000000002</v>
      </c>
      <c r="H6" s="691">
        <v>0.05</v>
      </c>
      <c r="I6" s="691">
        <v>5.5E-2</v>
      </c>
      <c r="J6" s="63">
        <v>7.0000000000000007E-2</v>
      </c>
      <c r="K6" s="970">
        <f>SUMIF('数据-汇总表'!C$19:C$33,A6,'数据-汇总表'!E$19:E$33)</f>
        <v>66.63</v>
      </c>
      <c r="L6" s="692">
        <v>3500</v>
      </c>
      <c r="M6" s="64">
        <f t="shared" ref="M6:M14" si="0">ROUND(K6*L6/10000,0)</f>
        <v>23</v>
      </c>
      <c r="N6" s="690">
        <f>N19</f>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3200</v>
      </c>
      <c r="V6" s="67">
        <v>1.4999999999999999E-2</v>
      </c>
      <c r="W6" s="67">
        <v>0.1</v>
      </c>
      <c r="X6" s="979"/>
      <c r="Y6" s="68">
        <f>N6</f>
        <v>0.85</v>
      </c>
      <c r="Z6" s="69"/>
      <c r="AA6" s="63"/>
      <c r="AB6" s="63"/>
      <c r="AC6" s="979"/>
      <c r="AD6" s="70"/>
      <c r="AE6" s="980">
        <f ca="1">IF(AN6="",0,SUMIF(INDIRECT("'"&amp;AN6&amp;"'"&amp;"!E:E"),$AE$5,INDIRECT("'"&amp;AN6&amp;"'"&amp;"!F:F")))</f>
        <v>35.020000000000003</v>
      </c>
      <c r="AF6" s="74"/>
      <c r="AG6" s="130">
        <f>IF(AF6="",0,AE6-AF6)</f>
        <v>0</v>
      </c>
      <c r="AH6" s="71">
        <v>1</v>
      </c>
      <c r="AI6" s="73">
        <v>12</v>
      </c>
      <c r="AJ6" s="74"/>
      <c r="AK6" s="75">
        <v>0.01</v>
      </c>
      <c r="AL6" s="76">
        <v>1E-3</v>
      </c>
      <c r="AM6" s="77">
        <v>0.01</v>
      </c>
      <c r="AN6" s="1589" t="s">
        <v>3430</v>
      </c>
      <c r="AO6" s="50">
        <f ca="1">SUMIF(INDIRECT("'"&amp;AN6&amp;"'"&amp;"!A:A"),"总价",INDIRECT("'"&amp;AN6&amp;"'"&amp;"!B:B"))</f>
        <v>47.0396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0.89700000000000002</v>
      </c>
      <c r="H16" s="84">
        <f>ROUND(SUMPRODUCT(H6:H13,K6:K13)/SUMPRODUCT((H6:H13&gt;0)*(K6:K13)),3)</f>
        <v>0.05</v>
      </c>
      <c r="I16" s="85"/>
      <c r="J16" s="85"/>
      <c r="K16" s="86">
        <f>SUM(K6:K15)</f>
        <v>66.63</v>
      </c>
      <c r="L16" s="87">
        <f>ROUND(M16*10000/SUM(K6:K14),0)</f>
        <v>3452</v>
      </c>
      <c r="M16" s="87">
        <f>SUM(M6:M14)</f>
        <v>23</v>
      </c>
      <c r="N16" s="88">
        <f>ROUND(SUMPRODUCT(M6:M14,N6:N14)/M16,3)</f>
        <v>0.85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2" t="s">
        <v>3424</v>
      </c>
      <c r="N18" s="2446">
        <v>2016</v>
      </c>
      <c r="O18" s="3162" t="s">
        <v>3425</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62" t="s">
        <v>3426</v>
      </c>
      <c r="N19" s="2446">
        <f>ROUND(1-(1-0)*(2025-N18)/60,2)</f>
        <v>0.85</v>
      </c>
      <c r="O19" s="3162" t="s">
        <v>3428</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150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190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3163" t="s">
        <v>3429</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59" t="s">
        <v>2286</v>
      </c>
      <c r="B1" s="3260"/>
      <c r="C1" s="3260"/>
      <c r="D1" s="3260"/>
      <c r="E1" s="3260"/>
      <c r="F1" s="3260"/>
      <c r="G1" s="326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66.63</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45814</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83</v>
      </c>
      <c r="C5" s="2298">
        <f ca="1">IF(B5=D14,结果表!H102,ROUND(B5*10000/$B$1,0))</f>
        <v>12446</v>
      </c>
      <c r="D5" s="2298" t="e">
        <f ca="1">ROUND(B5*10000/$B$2,0)</f>
        <v>#DIV/0!</v>
      </c>
      <c r="E5" s="2459"/>
      <c r="F5" s="2460"/>
      <c r="G5" s="2460"/>
      <c r="H5" s="2460"/>
      <c r="I5" s="2460"/>
      <c r="J5" s="2460"/>
      <c r="K5" s="2460"/>
    </row>
    <row r="6" spans="1:11" ht="15.6">
      <c r="A6" s="2298" t="s">
        <v>656</v>
      </c>
      <c r="B6" s="2298">
        <f ca="1">SUM(G14:G23)</f>
        <v>83</v>
      </c>
      <c r="C6" s="2298">
        <f ca="1">IF(B6=G14,结果表!H108,ROUND(B6*10000/$B$1,0))</f>
        <v>12446</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3355</v>
      </c>
      <c r="D10" s="2298" t="s">
        <v>3356</v>
      </c>
      <c r="E10" s="3134"/>
      <c r="F10" s="3138" t="s">
        <v>3357</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66.63</v>
      </c>
      <c r="C14" s="2304"/>
      <c r="D14" s="2304">
        <f ca="1">结果表!H101</f>
        <v>83</v>
      </c>
      <c r="E14" s="2304">
        <f ca="1">结果表!H102</f>
        <v>12446</v>
      </c>
      <c r="F14" s="2304" t="e">
        <f ca="1">ROUND(D14*10000/C14,0)</f>
        <v>#DIV/0!</v>
      </c>
      <c r="G14" s="2304">
        <f ca="1">结果表!H107</f>
        <v>83</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G23" sqref="G2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201</v>
      </c>
      <c r="D1" s="646"/>
      <c r="E1" s="646"/>
      <c r="F1" s="1621" t="s">
        <v>1263</v>
      </c>
      <c r="G1" s="1453"/>
      <c r="H1" s="1621" t="str">
        <f>IF(G1="现房","——","估价对象范围")</f>
        <v>估价对象范围</v>
      </c>
      <c r="I1" s="1622"/>
    </row>
    <row r="2" spans="1:12" ht="21.75" customHeight="1" thickBot="1">
      <c r="A2" s="3295" t="str">
        <f>项目基本情况!S2</f>
        <v>北京市房山区怡和北路5号院14号楼2层201房地产</v>
      </c>
      <c r="B2" s="3296"/>
      <c r="C2" s="3296"/>
      <c r="D2" s="3296"/>
      <c r="E2" s="3296"/>
      <c r="F2" s="3296"/>
      <c r="G2" s="3296"/>
      <c r="H2" s="3296"/>
      <c r="I2" s="3297"/>
    </row>
    <row r="3" spans="1:12" ht="13.2">
      <c r="A3" s="3299" t="s">
        <v>1264</v>
      </c>
      <c r="B3" s="3300"/>
      <c r="C3" s="3300"/>
      <c r="D3" s="3300"/>
      <c r="E3" s="3300"/>
      <c r="F3" s="3300"/>
      <c r="G3" s="3300"/>
      <c r="H3" s="3300"/>
      <c r="I3" s="3300"/>
    </row>
    <row r="4" spans="1:12" ht="14.4">
      <c r="A4" s="1624" t="s">
        <v>1265</v>
      </c>
      <c r="B4" s="1625" t="s">
        <v>1266</v>
      </c>
      <c r="C4" s="1626" t="s">
        <v>3490</v>
      </c>
      <c r="D4" s="1626" t="s">
        <v>3430</v>
      </c>
      <c r="E4" s="3301" t="s">
        <v>1267</v>
      </c>
      <c r="F4" s="3302"/>
      <c r="G4" s="3302"/>
      <c r="H4" s="3302"/>
      <c r="I4" s="330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5" t="s">
        <v>1268</v>
      </c>
      <c r="B5" s="3262">
        <v>25</v>
      </c>
      <c r="C5" s="3278"/>
      <c r="D5" s="3298"/>
      <c r="E5" s="123" t="s">
        <v>1269</v>
      </c>
      <c r="F5" s="1627"/>
      <c r="G5" s="1627"/>
      <c r="H5" s="1627"/>
      <c r="I5" s="1281"/>
    </row>
    <row r="6" spans="1:12" ht="13.2">
      <c r="A6" s="3275"/>
      <c r="B6" s="3262"/>
      <c r="C6" s="3279"/>
      <c r="D6" s="3298"/>
      <c r="E6" s="123" t="s">
        <v>1270</v>
      </c>
      <c r="F6" s="1627"/>
      <c r="G6" s="1627"/>
      <c r="H6" s="1627"/>
      <c r="I6" s="1281"/>
    </row>
    <row r="7" spans="1:12" ht="13.2">
      <c r="A7" s="3275"/>
      <c r="B7" s="3262"/>
      <c r="C7" s="3280"/>
      <c r="D7" s="3298"/>
      <c r="E7" s="123" t="s">
        <v>1271</v>
      </c>
      <c r="F7" s="1627"/>
      <c r="G7" s="1627"/>
      <c r="H7" s="1627"/>
      <c r="I7" s="1281"/>
    </row>
    <row r="8" spans="1:12" ht="13.2">
      <c r="A8" s="3275" t="s">
        <v>1272</v>
      </c>
      <c r="B8" s="3262">
        <v>15</v>
      </c>
      <c r="C8" s="3278"/>
      <c r="D8" s="3298"/>
      <c r="E8" s="123" t="s">
        <v>1273</v>
      </c>
      <c r="F8" s="1627"/>
      <c r="G8" s="1627"/>
      <c r="H8" s="1627"/>
      <c r="I8" s="1281"/>
    </row>
    <row r="9" spans="1:12" ht="13.2">
      <c r="A9" s="3275"/>
      <c r="B9" s="3262"/>
      <c r="C9" s="3280"/>
      <c r="D9" s="3298"/>
      <c r="E9" s="123" t="s">
        <v>1274</v>
      </c>
      <c r="F9" s="1627"/>
      <c r="G9" s="1627"/>
      <c r="H9" s="1627"/>
      <c r="I9" s="1281"/>
    </row>
    <row r="10" spans="1:12" ht="13.2">
      <c r="A10" s="3275" t="s">
        <v>1275</v>
      </c>
      <c r="B10" s="3262">
        <v>15</v>
      </c>
      <c r="C10" s="3278"/>
      <c r="D10" s="3298"/>
      <c r="E10" s="123" t="s">
        <v>1276</v>
      </c>
      <c r="F10" s="1627"/>
      <c r="G10" s="1627"/>
      <c r="H10" s="1627"/>
      <c r="I10" s="1281"/>
    </row>
    <row r="11" spans="1:12" ht="13.2">
      <c r="A11" s="3275"/>
      <c r="B11" s="3262"/>
      <c r="C11" s="3280"/>
      <c r="D11" s="3298"/>
      <c r="E11" s="123" t="s">
        <v>1277</v>
      </c>
      <c r="F11" s="1627"/>
      <c r="G11" s="1627"/>
      <c r="H11" s="1627"/>
      <c r="I11" s="1281"/>
    </row>
    <row r="12" spans="1:12" ht="13.2">
      <c r="A12" s="3275" t="s">
        <v>1278</v>
      </c>
      <c r="B12" s="3262">
        <v>15</v>
      </c>
      <c r="C12" s="3278"/>
      <c r="D12" s="3298"/>
      <c r="E12" s="123" t="s">
        <v>1279</v>
      </c>
      <c r="F12" s="1627"/>
      <c r="G12" s="1627"/>
      <c r="H12" s="1627"/>
      <c r="I12" s="1281"/>
    </row>
    <row r="13" spans="1:12" ht="13.2">
      <c r="A13" s="3275"/>
      <c r="B13" s="3262"/>
      <c r="C13" s="3280"/>
      <c r="D13" s="3298"/>
      <c r="E13" s="123" t="s">
        <v>1280</v>
      </c>
      <c r="F13" s="1627"/>
      <c r="G13" s="1627"/>
      <c r="H13" s="1627"/>
      <c r="I13" s="1281"/>
    </row>
    <row r="14" spans="1:12" ht="13.2">
      <c r="A14" s="3275" t="s">
        <v>1281</v>
      </c>
      <c r="B14" s="3262">
        <v>30</v>
      </c>
      <c r="C14" s="3278">
        <v>55</v>
      </c>
      <c r="D14" s="3298">
        <v>45</v>
      </c>
      <c r="E14" s="123" t="s">
        <v>1282</v>
      </c>
      <c r="F14" s="1627"/>
      <c r="G14" s="1627"/>
      <c r="H14" s="1627"/>
      <c r="I14" s="1281"/>
    </row>
    <row r="15" spans="1:12" ht="13.2">
      <c r="A15" s="3275"/>
      <c r="B15" s="3262"/>
      <c r="C15" s="3279"/>
      <c r="D15" s="3298"/>
      <c r="E15" s="123" t="s">
        <v>1283</v>
      </c>
      <c r="F15" s="1627"/>
      <c r="G15" s="1627"/>
      <c r="H15" s="1627"/>
      <c r="I15" s="1281"/>
    </row>
    <row r="16" spans="1:12" ht="13.2">
      <c r="A16" s="3275"/>
      <c r="B16" s="3262"/>
      <c r="C16" s="3280"/>
      <c r="D16" s="3298"/>
      <c r="E16" s="123" t="s">
        <v>1284</v>
      </c>
      <c r="F16" s="1627"/>
      <c r="G16" s="1627"/>
      <c r="H16" s="1627"/>
      <c r="I16" s="1281"/>
    </row>
    <row r="17" spans="1:36" ht="14.4">
      <c r="A17" s="1628" t="s">
        <v>1285</v>
      </c>
      <c r="B17" s="54"/>
      <c r="C17" s="124">
        <f>SUM(C5:C16)</f>
        <v>55</v>
      </c>
      <c r="D17" s="124">
        <f>SUM(D5:D16)</f>
        <v>45</v>
      </c>
      <c r="E17" s="121"/>
      <c r="F17" s="121"/>
      <c r="G17" s="121"/>
      <c r="H17" s="121"/>
      <c r="I17" s="121"/>
      <c r="K17" s="294"/>
      <c r="L17" s="294" t="s">
        <v>1286</v>
      </c>
      <c r="M17" s="294" t="s">
        <v>1287</v>
      </c>
    </row>
    <row r="18" spans="1:36" ht="31.95" customHeight="1" thickBot="1">
      <c r="A18" s="1629" t="s">
        <v>1288</v>
      </c>
      <c r="B18" s="1542"/>
      <c r="C18" s="125">
        <f>ROUND(C17/SUM(C17:D17),2)</f>
        <v>0.55000000000000004</v>
      </c>
      <c r="D18" s="125">
        <f>1-C18</f>
        <v>0.44999999999999996</v>
      </c>
      <c r="E18" s="3285" t="s">
        <v>2131</v>
      </c>
      <c r="F18" s="3286"/>
      <c r="G18" s="3286"/>
      <c r="H18" s="3286"/>
      <c r="I18" s="3286"/>
      <c r="K18" s="294" t="s">
        <v>1289</v>
      </c>
      <c r="L18" s="294">
        <f>IF(C1="",'数据-汇总表'!E3,SUMIF(项目类型,C1,'数据-汇总表'!E17:E26)+SUMIF(项目类型,C1,'数据-汇总表'!I17:I26))</f>
        <v>66.63</v>
      </c>
      <c r="M18" s="294">
        <f>IF(C1="",'数据-汇总表'!E3,SUMIF(项目类型,C1,'数据-汇总表'!E17:E26))</f>
        <v>66.63</v>
      </c>
    </row>
    <row r="19" spans="1:36" ht="14.4">
      <c r="A19" s="1630" t="s">
        <v>1290</v>
      </c>
      <c r="B19" s="1631" t="s">
        <v>1291</v>
      </c>
      <c r="C19" s="126">
        <f ca="1">SUMIF(INDIRECT("'"&amp;C4&amp;"'"&amp;"!A:A"),结果表!B19,INDIRECT("'"&amp;C4&amp;"'"&amp;"!B:B"))</f>
        <v>112.28489999999999</v>
      </c>
      <c r="D19" s="127">
        <f ca="1">SUMIF(INDIRECT("'"&amp;D4&amp;"'"&amp;"!A:A"),结果表!B19,INDIRECT("'"&amp;D4&amp;"'"&amp;"!B:B"))</f>
        <v>47.0396</v>
      </c>
      <c r="E19" s="1630" t="s">
        <v>1292</v>
      </c>
      <c r="F19" s="1631" t="s">
        <v>1291</v>
      </c>
      <c r="G19" s="128">
        <f ca="1">ROUND(C19*$C$18+D19*$D$18,0)</f>
        <v>83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16852</v>
      </c>
      <c r="D20" s="130">
        <f ca="1">SUMIF(INDIRECT("'"&amp;D4&amp;"'"&amp;"!A:A"),结果表!B20,INDIRECT("'"&amp;D4&amp;"'"&amp;"!B:B"))</f>
        <v>7060</v>
      </c>
      <c r="E20" s="1633"/>
      <c r="F20" s="43" t="s">
        <v>1295</v>
      </c>
      <c r="G20" s="131">
        <f ca="1">ROUND(C20*$C$18+D20*$D$18,0)</f>
        <v>12446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1.3870292264390001</v>
      </c>
      <c r="E22" s="121"/>
      <c r="F22" s="121"/>
      <c r="G22" s="121"/>
      <c r="H22" s="121"/>
      <c r="I22" s="121"/>
    </row>
    <row r="23" spans="1:36" ht="13.8" thickBot="1">
      <c r="A23" s="646"/>
      <c r="B23" s="646"/>
      <c r="C23" s="646"/>
      <c r="D23" s="646"/>
      <c r="E23" s="121"/>
      <c r="F23" s="3509" t="s">
        <v>3509</v>
      </c>
      <c r="G23" s="1346" t="s">
        <v>3510</v>
      </c>
      <c r="H23" s="121"/>
      <c r="I23" s="121"/>
    </row>
    <row r="24" spans="1:36" ht="14.4">
      <c r="A24" s="3269" t="s">
        <v>1299</v>
      </c>
      <c r="B24" s="1631" t="s">
        <v>1291</v>
      </c>
      <c r="C24" s="128">
        <f>IF(B30=0,0,D30)</f>
        <v>0</v>
      </c>
      <c r="D24" s="1637"/>
      <c r="E24" s="121"/>
      <c r="F24" s="121"/>
      <c r="G24" s="121"/>
      <c r="H24" s="121"/>
      <c r="I24" s="121"/>
    </row>
    <row r="25" spans="1:36" ht="14.4">
      <c r="A25" s="327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12446</v>
      </c>
      <c r="D32" s="1641" t="s">
        <v>3491</v>
      </c>
      <c r="E32" s="121"/>
      <c r="F32" s="121"/>
      <c r="G32" s="121"/>
      <c r="H32" s="121"/>
      <c r="I32" s="121"/>
    </row>
    <row r="33" spans="1:15" ht="14.4">
      <c r="A33" s="740" t="s">
        <v>1306</v>
      </c>
      <c r="B33" s="123"/>
      <c r="C33" s="1642" t="s">
        <v>3492</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9" t="s">
        <v>1312</v>
      </c>
      <c r="B36" s="1652" t="s">
        <v>1313</v>
      </c>
      <c r="C36" s="137"/>
      <c r="D36" s="1653"/>
      <c r="E36" s="1567"/>
      <c r="F36" s="1654"/>
      <c r="G36" s="121"/>
      <c r="H36" s="121"/>
      <c r="I36" s="121"/>
    </row>
    <row r="37" spans="1:15" ht="15" thickBot="1">
      <c r="A37" s="3290"/>
      <c r="B37" s="1555" t="s">
        <v>1314</v>
      </c>
      <c r="C37" s="139"/>
      <c r="D37" s="1071"/>
      <c r="E37" s="1071"/>
      <c r="F37" s="1654"/>
      <c r="G37" s="121"/>
      <c r="H37" s="121"/>
      <c r="I37" s="121"/>
    </row>
    <row r="38" spans="1:15" ht="15" thickBot="1">
      <c r="A38" s="329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6" t="s">
        <v>1326</v>
      </c>
      <c r="B45" s="3267"/>
      <c r="C45" s="3268"/>
      <c r="D45" s="147">
        <f ca="1">ROUND(H101*F45,0)</f>
        <v>83</v>
      </c>
      <c r="E45" s="148" t="s">
        <v>1327</v>
      </c>
      <c r="F45" s="149">
        <v>1</v>
      </c>
      <c r="G45" s="150" t="s">
        <v>1328</v>
      </c>
      <c r="H45" s="121"/>
      <c r="I45" s="121"/>
      <c r="J45" s="3344" t="s">
        <v>1329</v>
      </c>
      <c r="K45" s="3344"/>
      <c r="L45" s="3344"/>
      <c r="M45" s="3344"/>
      <c r="N45" s="3344"/>
      <c r="O45" s="3344"/>
    </row>
    <row r="46" spans="1:15" ht="14.25" customHeight="1">
      <c r="A46" s="3263" t="s">
        <v>1330</v>
      </c>
      <c r="B46" s="3264"/>
      <c r="C46" s="3264"/>
      <c r="D46" s="3264"/>
      <c r="E46" s="3264"/>
      <c r="F46" s="3264"/>
      <c r="G46" s="3265"/>
      <c r="H46" s="1668"/>
      <c r="I46" s="151"/>
      <c r="J46" s="2308">
        <v>1</v>
      </c>
      <c r="K46" s="3325" t="s">
        <v>1331</v>
      </c>
      <c r="L46" s="3325"/>
      <c r="M46" s="3345"/>
      <c r="N46" s="3345"/>
      <c r="O46" s="3345"/>
    </row>
    <row r="47" spans="1:15" ht="12" customHeight="1">
      <c r="A47" s="152" t="s">
        <v>1332</v>
      </c>
      <c r="B47" s="153"/>
      <c r="C47" s="154"/>
      <c r="D47" s="1024" t="s">
        <v>1333</v>
      </c>
      <c r="E47" s="294" t="s">
        <v>1334</v>
      </c>
      <c r="F47" s="155" t="s">
        <v>1335</v>
      </c>
      <c r="G47" s="2331" t="s">
        <v>1336</v>
      </c>
      <c r="H47" s="2332"/>
      <c r="I47" s="151"/>
      <c r="J47" s="2308">
        <v>2</v>
      </c>
      <c r="K47" s="3325" t="s">
        <v>1337</v>
      </c>
      <c r="L47" s="3325"/>
      <c r="M47" s="3346">
        <f>'数据-取费表'!B2</f>
        <v>45814</v>
      </c>
      <c r="N47" s="3346"/>
      <c r="O47" s="3346"/>
    </row>
    <row r="48" spans="1:15" ht="26.4">
      <c r="A48" s="3294" t="s">
        <v>1338</v>
      </c>
      <c r="B48" s="3277"/>
      <c r="C48" s="3277"/>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25" t="s">
        <v>1340</v>
      </c>
      <c r="L48" s="3325"/>
      <c r="M48" s="3347">
        <f ca="1">H101</f>
        <v>83</v>
      </c>
      <c r="N48" s="3347"/>
      <c r="O48" s="3347"/>
    </row>
    <row r="49" spans="1:35" ht="25.5" customHeight="1">
      <c r="A49" s="2151" t="s">
        <v>1341</v>
      </c>
      <c r="B49" s="3261" t="s">
        <v>1342</v>
      </c>
      <c r="C49" s="3261"/>
      <c r="D49" s="1478">
        <v>0</v>
      </c>
      <c r="E49" s="316" t="s">
        <v>1343</v>
      </c>
      <c r="F49" s="2231" t="s">
        <v>28</v>
      </c>
      <c r="G49" s="3331"/>
      <c r="H49" s="2133" t="s">
        <v>2134</v>
      </c>
      <c r="I49" s="2134"/>
      <c r="J49" s="2308">
        <v>4</v>
      </c>
      <c r="K49" s="3325" t="str">
        <f>IF(项目基本情况!E8="房地产抵押价值","房地产抵押价值","抵押担保权已注销时的房地产抵押价值")</f>
        <v>房地产抵押价值</v>
      </c>
      <c r="L49" s="3325"/>
      <c r="M49" s="3347">
        <f ca="1">IF(项目基本情况!E8="房地产抵押价值",H107,H109)</f>
        <v>83</v>
      </c>
      <c r="N49" s="3347"/>
      <c r="O49" s="3347"/>
    </row>
    <row r="50" spans="1:35" ht="25.5" customHeight="1">
      <c r="A50" s="2336"/>
      <c r="B50" s="3261" t="s">
        <v>1344</v>
      </c>
      <c r="C50" s="3261"/>
      <c r="D50" s="2188"/>
      <c r="E50" s="323"/>
      <c r="F50" s="2231"/>
      <c r="G50" s="3332"/>
      <c r="H50" s="2135" t="s">
        <v>2135</v>
      </c>
      <c r="I50" s="2134"/>
      <c r="J50" s="3344" t="s">
        <v>1345</v>
      </c>
      <c r="K50" s="3344"/>
      <c r="L50" s="3344"/>
      <c r="M50" s="3344"/>
      <c r="N50" s="3344"/>
      <c r="O50" s="3344"/>
    </row>
    <row r="51" spans="1:35" ht="20.399999999999999" customHeight="1">
      <c r="A51" s="2337"/>
      <c r="B51" s="3261" t="s">
        <v>1346</v>
      </c>
      <c r="C51" s="3261"/>
      <c r="D51" s="1024"/>
      <c r="E51" s="319"/>
      <c r="F51" s="2231"/>
      <c r="G51" s="3333"/>
      <c r="H51" s="2135" t="s">
        <v>2136</v>
      </c>
      <c r="I51" s="2134"/>
      <c r="J51" s="2309" t="s">
        <v>1347</v>
      </c>
      <c r="K51" s="3325" t="s">
        <v>1348</v>
      </c>
      <c r="L51" s="3325"/>
      <c r="M51" s="2309" t="s">
        <v>1349</v>
      </c>
      <c r="N51" s="2309" t="s">
        <v>1350</v>
      </c>
      <c r="O51" s="2309" t="s">
        <v>1351</v>
      </c>
    </row>
    <row r="52" spans="1:35" ht="24" customHeight="1">
      <c r="A52" s="2152" t="s">
        <v>1352</v>
      </c>
      <c r="B52" s="3261" t="s">
        <v>1353</v>
      </c>
      <c r="C52" s="3261"/>
      <c r="D52" s="1024">
        <f ca="1">ROUND(D45*'数据-取费表'!B41/(1+'数据-取费表'!C42),0)</f>
        <v>4</v>
      </c>
      <c r="E52" s="1256" t="s">
        <v>1354</v>
      </c>
      <c r="F52" s="2338">
        <f>'数据-取费表'!B41</f>
        <v>5.5000000000000007E-2</v>
      </c>
      <c r="G52" s="2339"/>
      <c r="H52" s="2329"/>
      <c r="I52" s="1669"/>
      <c r="J52" s="2308">
        <v>1</v>
      </c>
      <c r="K52" s="3326" t="s">
        <v>1355</v>
      </c>
      <c r="L52" s="3326"/>
      <c r="M52" s="2310" t="b">
        <f>D48</f>
        <v>0</v>
      </c>
      <c r="N52" s="2308" t="str">
        <f>E48</f>
        <v>销售额×税（费）率</v>
      </c>
      <c r="O52" s="2311">
        <f>F48</f>
        <v>5.5000000000000007E-2</v>
      </c>
    </row>
    <row r="53" spans="1:35" ht="12" customHeight="1">
      <c r="A53" s="2152" t="s">
        <v>1356</v>
      </c>
      <c r="B53" s="3287" t="s">
        <v>2291</v>
      </c>
      <c r="C53" s="3288"/>
      <c r="D53" s="1024">
        <f ca="1">ROUND(D45*'数据-取费表'!B41/(1+'数据-取费表'!C42),0)</f>
        <v>4</v>
      </c>
      <c r="E53" s="1256" t="s">
        <v>1354</v>
      </c>
      <c r="F53" s="2338">
        <f>'数据-取费表'!B41</f>
        <v>5.5000000000000007E-2</v>
      </c>
      <c r="G53" s="2339"/>
      <c r="H53" s="2329"/>
      <c r="I53" s="1669"/>
      <c r="J53" s="2308">
        <v>2</v>
      </c>
      <c r="K53" s="3326" t="s">
        <v>1357</v>
      </c>
      <c r="L53" s="3326"/>
      <c r="M53" s="2310">
        <f t="shared" ref="M53:O54" ca="1" si="0">D55</f>
        <v>0</v>
      </c>
      <c r="N53" s="2308" t="str">
        <f t="shared" si="0"/>
        <v>销售额×税（费）率</v>
      </c>
      <c r="O53" s="2311" t="str">
        <f t="shared" si="0"/>
        <v>免征</v>
      </c>
    </row>
    <row r="54" spans="1:35" ht="12" customHeight="1">
      <c r="A54" s="2152" t="s">
        <v>1358</v>
      </c>
      <c r="B54" s="3287" t="s">
        <v>2292</v>
      </c>
      <c r="C54" s="3288"/>
      <c r="D54" s="1024">
        <f ca="1">C68</f>
        <v>4</v>
      </c>
      <c r="E54" s="319" t="s">
        <v>1359</v>
      </c>
      <c r="F54" s="2338">
        <f>'数据-取费表'!B41</f>
        <v>5.5000000000000007E-2</v>
      </c>
      <c r="G54" s="2339"/>
      <c r="H54" s="2340"/>
      <c r="I54" s="1669"/>
      <c r="J54" s="2308">
        <v>3</v>
      </c>
      <c r="K54" s="3326" t="s">
        <v>1360</v>
      </c>
      <c r="L54" s="3326"/>
      <c r="M54" s="2310" t="e">
        <f t="shared" ca="1" si="0"/>
        <v>#DIV/0!</v>
      </c>
      <c r="N54" s="2308" t="str">
        <f t="shared" si="0"/>
        <v>增值额×税（费）率</v>
      </c>
      <c r="O54" s="2312" t="str">
        <f t="shared" si="0"/>
        <v>免征</v>
      </c>
    </row>
    <row r="55" spans="1:35" ht="24" customHeight="1">
      <c r="A55" s="3276" t="s">
        <v>1361</v>
      </c>
      <c r="B55" s="3277"/>
      <c r="C55" s="3277"/>
      <c r="D55" s="12">
        <f ca="1">IF(H55="个人住宅",0,ROUND(D45*I55,0))</f>
        <v>0</v>
      </c>
      <c r="E55" s="1256" t="s">
        <v>1362</v>
      </c>
      <c r="F55" s="2338" t="str">
        <f>IF(H55="正常",I55,"免征")</f>
        <v>免征</v>
      </c>
      <c r="G55" s="2339"/>
      <c r="H55" s="2335"/>
      <c r="I55" s="157">
        <f>'数据-取费表'!B49</f>
        <v>5.0000000000000001E-4</v>
      </c>
      <c r="J55" s="2308">
        <f>IF(H59="非个人房产","",4)</f>
        <v>4</v>
      </c>
      <c r="K55" s="3326" t="str">
        <f>IF(H59="非个人房产","——","个人所得税")</f>
        <v>个人所得税</v>
      </c>
      <c r="L55" s="3326"/>
      <c r="M55" s="2313">
        <f ca="1">D59</f>
        <v>1</v>
      </c>
      <c r="N55" s="1883" t="str">
        <f>E59</f>
        <v>差额计税</v>
      </c>
      <c r="O55" s="2314">
        <f>F59</f>
        <v>0.01</v>
      </c>
    </row>
    <row r="56" spans="1:35" ht="25.2">
      <c r="A56" s="3276" t="s">
        <v>1363</v>
      </c>
      <c r="B56" s="3277"/>
      <c r="C56" s="3277"/>
      <c r="D56" s="12" t="e">
        <f ca="1">IF(H56="个人住宅",D57,D58)</f>
        <v>#DIV/0!</v>
      </c>
      <c r="E56" s="1256" t="s">
        <v>1364</v>
      </c>
      <c r="F56" s="2338" t="str">
        <f>IF(H56="正常",F58,"免征")</f>
        <v>免征</v>
      </c>
      <c r="G56" s="2341" t="s">
        <v>1365</v>
      </c>
      <c r="H56" s="2342"/>
      <c r="I56" s="1670"/>
      <c r="J56" s="2308" t="str">
        <f>IF(项目基本情况!K6="上海银行",IF(J55="",4,J55+1),"")</f>
        <v/>
      </c>
      <c r="K56" s="3349" t="str">
        <f>IF(项目基本情况!K6="上海银行","其他处置费用","")</f>
        <v/>
      </c>
      <c r="L56" s="3350"/>
      <c r="M56" s="2310" t="str">
        <f>IF(项目基本情况!K6="上海银行",M69,"")</f>
        <v/>
      </c>
      <c r="N56" s="3349" t="str">
        <f>IF(项目基本情况!K6="上海银行","包含处置中涉及的律师、诉讼、拍卖、评估等费用","")</f>
        <v/>
      </c>
      <c r="O56" s="3352"/>
    </row>
    <row r="57" spans="1:35" ht="13.2">
      <c r="A57" s="2152" t="s">
        <v>1341</v>
      </c>
      <c r="B57" s="3287" t="s">
        <v>1366</v>
      </c>
      <c r="C57" s="3288"/>
      <c r="D57" s="1478">
        <v>0</v>
      </c>
      <c r="E57" s="316" t="s">
        <v>1343</v>
      </c>
      <c r="F57" s="294"/>
      <c r="G57" s="2339"/>
      <c r="H57" s="2343"/>
      <c r="I57" s="1670"/>
      <c r="J57" s="3326">
        <f>IF(AND(J55="",J56=""),4,IF(项目基本情况!K6="上海银行",结果表!J56+1,结果表!J55+1))</f>
        <v>5</v>
      </c>
      <c r="K57" s="3326" t="s">
        <v>1367</v>
      </c>
      <c r="L57" s="2315" t="s">
        <v>1368</v>
      </c>
      <c r="M57" s="2316"/>
      <c r="N57" s="2317">
        <f ca="1">SUMIF(M52:M56,"&lt;9e307")</f>
        <v>1</v>
      </c>
      <c r="O57" s="2318"/>
      <c r="P57" s="2462">
        <f ca="1">N57/M49</f>
        <v>1.2048192771084338E-2</v>
      </c>
    </row>
    <row r="58" spans="1:35" ht="25.2">
      <c r="A58" s="2152" t="s">
        <v>1352</v>
      </c>
      <c r="B58" s="3287" t="s">
        <v>1369</v>
      </c>
      <c r="C58" s="3261"/>
      <c r="D58" s="12" t="e">
        <f ca="1">IF(H58="转让取得",C81,C97)</f>
        <v>#DIV/0!</v>
      </c>
      <c r="E58" s="1256" t="s">
        <v>1364</v>
      </c>
      <c r="F58" s="294" t="s">
        <v>28</v>
      </c>
      <c r="G58" s="2339"/>
      <c r="H58" s="2342"/>
      <c r="I58" s="1670"/>
      <c r="J58" s="3326"/>
      <c r="K58" s="3326"/>
      <c r="L58" s="2315" t="s">
        <v>1370</v>
      </c>
      <c r="M58" s="2319"/>
      <c r="N58" s="2320" t="str">
        <f ca="1">NUMBERSTRING(INT(N57*10000),2)&amp;"元整"</f>
        <v>壹万元整</v>
      </c>
      <c r="O58" s="2321"/>
    </row>
    <row r="59" spans="1:35" ht="24.6" thickBot="1">
      <c r="A59" s="3329" t="s">
        <v>1371</v>
      </c>
      <c r="B59" s="3330"/>
      <c r="C59" s="3330"/>
      <c r="D59" s="2344">
        <f ca="1">IF(H59="非个人房产","——",IF(H59="个人住宅（满五唯一有凭证）",0,IF(H59="个人其他（无凭证）",ROUND(D45*F59,0),ROUND(C67*F59,0))))</f>
        <v>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27">
        <f>J57+1</f>
        <v>6</v>
      </c>
      <c r="K59" s="3326" t="s">
        <v>1372</v>
      </c>
      <c r="L59" s="2308" t="s">
        <v>1368</v>
      </c>
      <c r="M59" s="2322"/>
      <c r="N59" s="2323">
        <f ca="1">M49-N57</f>
        <v>82</v>
      </c>
      <c r="O59" s="2324"/>
    </row>
    <row r="60" spans="1:35" ht="12" customHeight="1">
      <c r="A60" s="1671"/>
      <c r="B60" s="646"/>
      <c r="C60" s="646"/>
      <c r="D60" s="646"/>
      <c r="E60" s="1466"/>
      <c r="F60" s="1670"/>
      <c r="G60" s="1670"/>
      <c r="H60" s="151"/>
      <c r="I60" s="121"/>
      <c r="J60" s="3328"/>
      <c r="K60" s="3326"/>
      <c r="L60" s="2315" t="s">
        <v>1370</v>
      </c>
      <c r="M60" s="2319"/>
      <c r="N60" s="2320" t="str">
        <f ca="1">NUMBERSTRING(INT(N59*10000),2)&amp;"元整"</f>
        <v>捌拾贰万元整</v>
      </c>
      <c r="O60" s="2321"/>
    </row>
    <row r="61" spans="1:35" ht="13.8" thickBot="1">
      <c r="A61" s="3274" t="s">
        <v>1373</v>
      </c>
      <c r="B61" s="3274"/>
      <c r="C61" s="3274"/>
      <c r="D61" s="3274"/>
      <c r="E61" s="3274"/>
      <c r="F61" s="1670"/>
      <c r="G61" s="1670"/>
      <c r="H61" s="151"/>
      <c r="I61" s="121"/>
      <c r="J61" s="2308">
        <f>J59+1</f>
        <v>7</v>
      </c>
      <c r="K61" s="3326" t="s">
        <v>1374</v>
      </c>
      <c r="L61" s="3326"/>
      <c r="M61" s="2325"/>
      <c r="N61" s="2326">
        <f ca="1">ROUND(N59*10000/'数据-汇总表'!E3,0)</f>
        <v>12307</v>
      </c>
      <c r="O61" s="2327"/>
    </row>
    <row r="62" spans="1:35" ht="13.2">
      <c r="A62" s="3292" t="s">
        <v>1375</v>
      </c>
      <c r="B62" s="3293"/>
      <c r="C62" s="1865"/>
      <c r="D62" s="1865" t="s">
        <v>1376</v>
      </c>
      <c r="E62" s="158" t="s">
        <v>1377</v>
      </c>
      <c r="F62" s="1670"/>
      <c r="G62" s="1670"/>
      <c r="H62" s="151"/>
      <c r="I62" s="121"/>
    </row>
    <row r="63" spans="1:35" ht="13.2">
      <c r="A63" s="165" t="s">
        <v>330</v>
      </c>
      <c r="B63" s="159" t="s">
        <v>1378</v>
      </c>
      <c r="C63" s="2348">
        <f ca="1">ROUND((C64+C65)/(1+'数据-取费表'!C42),0)</f>
        <v>79</v>
      </c>
      <c r="D63" s="159"/>
      <c r="E63" s="160"/>
      <c r="F63" s="1670"/>
      <c r="G63" s="1670"/>
      <c r="H63" s="151"/>
      <c r="I63" s="121"/>
      <c r="J63" s="3351" t="s">
        <v>1379</v>
      </c>
      <c r="K63" s="1245" t="s">
        <v>1380</v>
      </c>
      <c r="L63" s="1245">
        <f ca="1">IF(M49&gt;10000,M49*0.5%,IF(AND(M49&gt;1000,M49&lt;=10000),M49*1%,IF(AND(M49&gt;100,M49&lt;=1000),M49*3%,IF(AND(M49&gt;10,M49&lt;=100),M49*5%,M49*8%))))</f>
        <v>4.1500000000000004</v>
      </c>
      <c r="M63" s="294">
        <f ca="1">ROUND(L63,1)</f>
        <v>4.2</v>
      </c>
      <c r="N63" s="2328"/>
      <c r="Z63" s="1623"/>
      <c r="AI63" s="1561"/>
    </row>
    <row r="64" spans="1:35" ht="14.25" customHeight="1">
      <c r="A64" s="161" t="s">
        <v>325</v>
      </c>
      <c r="B64" s="162" t="s">
        <v>1381</v>
      </c>
      <c r="C64" s="2349">
        <f ca="1">D45</f>
        <v>83</v>
      </c>
      <c r="D64" s="162" t="s">
        <v>26</v>
      </c>
      <c r="E64" s="164"/>
      <c r="F64" s="1670"/>
      <c r="G64" s="1670"/>
      <c r="H64" s="151"/>
      <c r="I64" s="121"/>
      <c r="J64" s="3351"/>
      <c r="K64" s="1245" t="s">
        <v>1382</v>
      </c>
      <c r="L64" s="1245">
        <f ca="1">IF(M49&gt;2000,M49*0.5%,IF(AND(M49&gt;1000,M49&lt;=2000),M49*0.6%,IF(AND(M49&gt;500,M49&lt;=1000),M49*0.7%,IF(AND(M49&gt;200,M49&lt;=500),M49*0.8%,IF(AND(M49&gt;100,M49&lt;=200),M49*0.9%,IF(AND(M49&gt;50,M49&lt;=100),M49*1%,IF(AND(M49&gt;20,M49&lt;=50),M49*1.5%,IF(AND(M49&gt;10,M49&lt;=20),M49*2%,IF(AND(M49&gt;1,M49&lt;=10),M49*2.5%)))))))))</f>
        <v>0.83000000000000007</v>
      </c>
      <c r="M64" s="294">
        <f t="shared" ref="M64:M65" ca="1" si="1">ROUND(L64,1)</f>
        <v>0.8</v>
      </c>
      <c r="N64" s="2329" t="s">
        <v>1383</v>
      </c>
      <c r="Z64" s="1623"/>
      <c r="AI64" s="1561"/>
    </row>
    <row r="65" spans="1:35" ht="14.25" customHeight="1">
      <c r="A65" s="161" t="s">
        <v>326</v>
      </c>
      <c r="B65" s="162" t="s">
        <v>1384</v>
      </c>
      <c r="C65" s="2350"/>
      <c r="D65" s="162"/>
      <c r="E65" s="164"/>
      <c r="F65" s="1670"/>
      <c r="G65" s="1670"/>
      <c r="H65" s="151"/>
      <c r="I65" s="121"/>
      <c r="J65" s="3351"/>
      <c r="K65" s="1245" t="s">
        <v>1385</v>
      </c>
      <c r="L65" s="1245">
        <f ca="1">IF(M49&gt;1000,M49*0.1%,IF(AND(M49&gt;500,M49&lt;=1000),M49*0.5%,IF(AND(M49&gt;50,M49&lt;=500),M49*1%,IF(AND(M49&gt;1,M49&lt;=50),M49*1.5%))))</f>
        <v>0.83000000000000007</v>
      </c>
      <c r="M65" s="294">
        <f t="shared" ca="1" si="1"/>
        <v>0.8</v>
      </c>
      <c r="N65" s="2329" t="s">
        <v>1383</v>
      </c>
      <c r="Z65" s="1623"/>
      <c r="AI65" s="1561"/>
    </row>
    <row r="66" spans="1:35" ht="14.25" customHeight="1">
      <c r="A66" s="165" t="s">
        <v>327</v>
      </c>
      <c r="B66" s="166" t="s">
        <v>1386</v>
      </c>
      <c r="C66" s="2351"/>
      <c r="D66" s="166" t="s">
        <v>26</v>
      </c>
      <c r="E66" s="1251" t="s">
        <v>671</v>
      </c>
      <c r="F66" s="1670"/>
      <c r="G66" s="1670"/>
      <c r="H66" s="151"/>
      <c r="I66" s="121"/>
      <c r="J66" s="3351"/>
      <c r="K66" s="1245" t="s">
        <v>1387</v>
      </c>
      <c r="L66" s="1245">
        <f ca="1">M49*0.5%</f>
        <v>0.41500000000000004</v>
      </c>
      <c r="M66" s="294">
        <f ca="1">IF(L66&gt;0.5,0.5,ROUND(L66,0))</f>
        <v>0</v>
      </c>
      <c r="N66" s="2329" t="s">
        <v>1388</v>
      </c>
      <c r="Z66" s="1623"/>
      <c r="AI66" s="1561"/>
    </row>
    <row r="67" spans="1:35" ht="14.25" customHeight="1">
      <c r="A67" s="165" t="s">
        <v>328</v>
      </c>
      <c r="B67" s="166" t="s">
        <v>1389</v>
      </c>
      <c r="C67" s="2352">
        <f ca="1">C63-C66</f>
        <v>79</v>
      </c>
      <c r="D67" s="162" t="s">
        <v>26</v>
      </c>
      <c r="E67" s="164"/>
      <c r="F67" s="1670"/>
      <c r="G67" s="1670"/>
      <c r="H67" s="151"/>
      <c r="I67" s="121"/>
      <c r="J67" s="3351"/>
      <c r="K67" s="1245" t="s">
        <v>1390</v>
      </c>
      <c r="L67" s="1245">
        <f ca="1">IF(M49&gt;=10000,(8.25+(M49-10000)*0.01%),IF(AND(M49&gt;=8000,M49&lt;10000),(7.85+(M49-8000)*0.02%),IF(AND(M49&gt;=5000,M49&lt;8000),(6.65+(M49-5000)*0.04%),IF(AND(M49&gt;=2000,M49&lt;5000),(4.25+(PM49-2000)*0.08%),IF(AND(M49&gt;=1000,M49&lt;2000),(2.75+(M49-1000)*0.15%),IF(AND(M49&gt;=100,M49&lt;1000),(0.5+(M49-100)*0.25%),IF(AND(M49&gt;0,M49&lt;100),M49*0.5%)))))))</f>
        <v>0.41500000000000004</v>
      </c>
      <c r="M67" s="294">
        <f ca="1">ROUND(L67*0.9,1)</f>
        <v>0.4</v>
      </c>
      <c r="N67" s="2328"/>
      <c r="Z67" s="1623"/>
      <c r="AI67" s="1561"/>
    </row>
    <row r="68" spans="1:35" ht="14.25" customHeight="1" thickBot="1">
      <c r="A68" s="168" t="s">
        <v>329</v>
      </c>
      <c r="B68" s="169" t="s">
        <v>1391</v>
      </c>
      <c r="C68" s="2353">
        <f ca="1">IF(C67&lt;=0,0,ROUND(C67*D68,0))</f>
        <v>4</v>
      </c>
      <c r="D68" s="2354">
        <f>'数据-取费表'!B41</f>
        <v>5.5000000000000007E-2</v>
      </c>
      <c r="E68" s="170"/>
      <c r="F68" s="1670"/>
      <c r="G68" s="1670"/>
      <c r="H68" s="151"/>
      <c r="I68" s="121"/>
      <c r="J68" s="3351"/>
      <c r="K68" s="1245" t="s">
        <v>1392</v>
      </c>
      <c r="L68" s="1245">
        <f ca="1">IF(M49&gt;10000,M49*0.5%,IF(AND(M49&gt;5000,M49&lt;=10000),M49*1%,IF(AND(M49&gt;1000,M49&lt;=5000),M49*2%,IF(AND(M49&gt;200,M49&lt;=1000),M49*3%,M49*5%))))</f>
        <v>4.1500000000000004</v>
      </c>
      <c r="M68" s="294">
        <f ca="1">ROUND(L68,1)</f>
        <v>4.2</v>
      </c>
      <c r="N68" s="2328"/>
      <c r="Z68" s="1623"/>
      <c r="AI68" s="1561"/>
    </row>
    <row r="69" spans="1:35" ht="16.5" customHeight="1">
      <c r="A69" s="1672"/>
      <c r="B69" s="1673"/>
      <c r="C69" s="1674"/>
      <c r="D69" s="1675"/>
      <c r="E69" s="1676"/>
      <c r="F69" s="1466"/>
      <c r="G69" s="1466"/>
      <c r="H69" s="1467"/>
      <c r="I69" s="646"/>
      <c r="J69" s="3351"/>
      <c r="K69" s="1245" t="s">
        <v>1393</v>
      </c>
      <c r="L69" s="1245"/>
      <c r="M69" s="294">
        <f ca="1">ROUND(SUM(M63:M68),0)</f>
        <v>10</v>
      </c>
      <c r="N69" s="2330">
        <f ca="1">M69/M49</f>
        <v>0.12048192771084337</v>
      </c>
      <c r="Z69" s="1623"/>
      <c r="AI69" s="1561"/>
    </row>
    <row r="70" spans="1:35" s="642" customFormat="1" ht="14.4"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2" t="s">
        <v>1375</v>
      </c>
      <c r="B71" s="329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79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7" t="s">
        <v>1402</v>
      </c>
      <c r="F76" s="3261"/>
      <c r="G76" s="3261"/>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271" t="s">
        <v>1406</v>
      </c>
      <c r="F78" s="3272"/>
      <c r="G78" s="3272"/>
      <c r="H78" s="328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79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2" t="s">
        <v>1375</v>
      </c>
      <c r="B84" s="329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79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53" t="s">
        <v>2129</v>
      </c>
      <c r="H90" s="3354"/>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1" t="s">
        <v>1419</v>
      </c>
      <c r="F91" s="3272"/>
      <c r="G91" s="327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1" t="s">
        <v>1422</v>
      </c>
      <c r="F92" s="3272"/>
      <c r="G92" s="3272"/>
      <c r="H92" s="3281"/>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271" t="s">
        <v>1406</v>
      </c>
      <c r="F93" s="3272"/>
      <c r="G93" s="3272"/>
      <c r="H93" s="328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2" t="s">
        <v>1426</v>
      </c>
      <c r="F94" s="3283"/>
      <c r="G94" s="3283"/>
      <c r="H94" s="328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79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73"/>
      <c r="E100" s="3256" t="s">
        <v>1429</v>
      </c>
      <c r="F100" s="3256"/>
      <c r="G100" s="3256"/>
      <c r="H100" s="3273"/>
      <c r="I100" s="121"/>
    </row>
    <row r="101" spans="1:35" ht="18.75" customHeight="1">
      <c r="A101" s="3334" t="s">
        <v>1430</v>
      </c>
      <c r="B101" s="3335"/>
      <c r="C101" s="2369" t="str">
        <f>C4</f>
        <v>比较法-办公</v>
      </c>
      <c r="D101" s="2370" t="str">
        <f>D4</f>
        <v>收益法 (元)</v>
      </c>
      <c r="E101" s="3348" t="s">
        <v>1431</v>
      </c>
      <c r="F101" s="3305"/>
      <c r="G101" s="1687" t="s">
        <v>1432</v>
      </c>
      <c r="H101" s="2379">
        <f ca="1">H118</f>
        <v>83</v>
      </c>
      <c r="I101" s="121"/>
    </row>
    <row r="102" spans="1:35" ht="18.75" customHeight="1">
      <c r="A102" s="3307" t="s">
        <v>1433</v>
      </c>
      <c r="B102" s="2368" t="s">
        <v>1432</v>
      </c>
      <c r="C102" s="2369">
        <f ca="1">IF(D32="楼面单价",ROUND(C19,0),C19)</f>
        <v>112</v>
      </c>
      <c r="D102" s="2370">
        <f ca="1">IF(D32="楼面单价",ROUND(D19,0),D19)</f>
        <v>47</v>
      </c>
      <c r="E102" s="3348"/>
      <c r="F102" s="3305"/>
      <c r="G102" s="1687" t="s">
        <v>1434</v>
      </c>
      <c r="H102" s="2339">
        <f ca="1">I118</f>
        <v>12446</v>
      </c>
      <c r="I102" s="121"/>
    </row>
    <row r="103" spans="1:35" ht="42.75" customHeight="1">
      <c r="A103" s="3307"/>
      <c r="B103" s="2368" t="s">
        <v>1434</v>
      </c>
      <c r="C103" s="2371">
        <f ca="1">C20</f>
        <v>16852</v>
      </c>
      <c r="D103" s="2372">
        <f ca="1">D20</f>
        <v>7060</v>
      </c>
      <c r="E103" s="3342" t="s">
        <v>1435</v>
      </c>
      <c r="F103" s="3343"/>
      <c r="G103" s="1688" t="s">
        <v>1436</v>
      </c>
      <c r="H103" s="2379">
        <f>IF(D36="正常操作",H104+H105+H106,H105+H106)</f>
        <v>0</v>
      </c>
      <c r="I103" s="121"/>
    </row>
    <row r="104" spans="1:35" ht="18.75" customHeight="1">
      <c r="A104" s="3307" t="s">
        <v>1437</v>
      </c>
      <c r="B104" s="2373" t="s">
        <v>1432</v>
      </c>
      <c r="C104" s="2374">
        <f ca="1">H118</f>
        <v>83</v>
      </c>
      <c r="D104" s="2375"/>
      <c r="E104" s="1555" t="s">
        <v>1438</v>
      </c>
      <c r="F104" s="1548"/>
      <c r="G104" s="1688" t="s">
        <v>1436</v>
      </c>
      <c r="H104" s="2380">
        <f>IF(D36="同一抵押权人同一抵押物续贷",C36&amp;"（续贷，未扣减，详见特别提示）",C36)</f>
        <v>0</v>
      </c>
      <c r="I104" s="121"/>
    </row>
    <row r="105" spans="1:35" ht="18.75" customHeight="1" thickBot="1">
      <c r="A105" s="3308"/>
      <c r="B105" s="2376" t="s">
        <v>1434</v>
      </c>
      <c r="C105" s="2377">
        <f ca="1">I118</f>
        <v>12446</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4" t="str">
        <f>IF(项目基本情况!E8="已注销","——","3.房地产抵押价值")</f>
        <v>3.房地产抵押价值</v>
      </c>
      <c r="F107" s="3305"/>
      <c r="G107" s="1687" t="s">
        <v>1432</v>
      </c>
      <c r="H107" s="2379">
        <f ca="1">IF(E107="——","——",H101-H103)</f>
        <v>83</v>
      </c>
      <c r="I107" s="121"/>
    </row>
    <row r="108" spans="1:35" ht="18.75" customHeight="1">
      <c r="A108" s="121"/>
      <c r="B108" s="121"/>
      <c r="C108" s="121"/>
      <c r="D108" s="121"/>
      <c r="E108" s="3304"/>
      <c r="F108" s="3305"/>
      <c r="G108" s="1687" t="s">
        <v>1434</v>
      </c>
      <c r="H108" s="2339">
        <f ca="1">IF(H107=H101,H102,ROUND(H107*10000/'数据-汇总表'!E3,0))</f>
        <v>12446</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305"/>
      <c r="G109" s="1687" t="s">
        <v>1432</v>
      </c>
      <c r="H109" s="2382" t="str">
        <f>IF(E109="——","——",H101-H105-H106)</f>
        <v>——</v>
      </c>
      <c r="I109" s="121"/>
    </row>
    <row r="110" spans="1:35" ht="18.75" customHeight="1">
      <c r="A110" s="121"/>
      <c r="B110" s="121"/>
      <c r="C110" s="121"/>
      <c r="D110" s="121"/>
      <c r="E110" s="3304"/>
      <c r="F110" s="3305"/>
      <c r="G110" s="1687" t="s">
        <v>1434</v>
      </c>
      <c r="H110" s="2339" t="str">
        <f>IF(H109="——","——",ROUND(H109*10000/'数据-汇总表'!E3,0))</f>
        <v>——</v>
      </c>
      <c r="I110" s="121"/>
    </row>
    <row r="111" spans="1:35" ht="18.75" customHeight="1">
      <c r="A111" s="121"/>
      <c r="B111" s="121"/>
      <c r="C111" s="121"/>
      <c r="D111" s="121"/>
      <c r="E111" s="3336" t="str">
        <f>IF(项目基本情况!E9="抵押净值",IF(OR(项目基本情况!E8="已注销",项目基本情况!E8="房地产抵押价值"),"4.抵押净值","5.抵押净值"),"——")</f>
        <v>——</v>
      </c>
      <c r="F111" s="3306"/>
      <c r="G111" s="1687" t="s">
        <v>1432</v>
      </c>
      <c r="H111" s="2379" t="str">
        <f>IF(E111="——","——",N59)</f>
        <v>——</v>
      </c>
      <c r="I111" s="121"/>
    </row>
    <row r="112" spans="1:35" ht="18.75" customHeight="1" thickBot="1">
      <c r="A112" s="121"/>
      <c r="B112" s="121"/>
      <c r="C112" s="121"/>
      <c r="D112" s="121"/>
      <c r="E112" s="3337"/>
      <c r="F112" s="3338"/>
      <c r="G112" s="1690" t="s">
        <v>1434</v>
      </c>
      <c r="H112" s="2383" t="str">
        <f>IF(E111="——","——",N61)</f>
        <v>——</v>
      </c>
      <c r="I112" s="121"/>
    </row>
    <row r="113" spans="1:27" ht="18.75" customHeight="1">
      <c r="A113" s="121"/>
      <c r="B113" s="121"/>
      <c r="C113" s="121"/>
      <c r="D113" s="121"/>
      <c r="E113" s="3309" t="s">
        <v>1440</v>
      </c>
      <c r="F113" s="3309"/>
      <c r="G113" s="3309"/>
      <c r="H113" s="3309"/>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5" t="s">
        <v>1443</v>
      </c>
      <c r="B116" s="3310" t="s">
        <v>1444</v>
      </c>
      <c r="C116" s="3310" t="s">
        <v>1445</v>
      </c>
      <c r="D116" s="3323" t="s">
        <v>1446</v>
      </c>
      <c r="E116" s="3324"/>
      <c r="F116" s="3318" t="s">
        <v>1447</v>
      </c>
      <c r="G116" s="3318"/>
      <c r="H116" s="3275" t="s">
        <v>1448</v>
      </c>
      <c r="I116" s="3275"/>
    </row>
    <row r="117" spans="1:27" ht="18.75" customHeight="1">
      <c r="A117" s="3275"/>
      <c r="B117" s="3311"/>
      <c r="C117" s="3311"/>
      <c r="D117" s="2149" t="s">
        <v>1449</v>
      </c>
      <c r="E117" s="2149" t="s">
        <v>1450</v>
      </c>
      <c r="F117" s="2149" t="s">
        <v>1449</v>
      </c>
      <c r="G117" s="2149" t="s">
        <v>1451</v>
      </c>
      <c r="H117" s="2149" t="s">
        <v>1449</v>
      </c>
      <c r="I117" s="2149" t="s">
        <v>1451</v>
      </c>
    </row>
    <row r="118" spans="1:27" ht="24.75" customHeight="1">
      <c r="A118" s="2384" t="str">
        <f>项目基本情况!S2</f>
        <v>北京市房山区怡和北路5号院14号楼2层201房地产</v>
      </c>
      <c r="B118" s="2149">
        <f>M18</f>
        <v>66.63</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83</v>
      </c>
      <c r="I118" s="2149">
        <f ca="1">ROUND(IF(D32="楼面单价",C32,H118*10000/B118),0)</f>
        <v>12446</v>
      </c>
    </row>
    <row r="119" spans="1:27" ht="18.75" customHeight="1">
      <c r="A119" s="3275" t="s">
        <v>1452</v>
      </c>
      <c r="B119" s="3275"/>
      <c r="C119" s="3275"/>
      <c r="D119" s="3315" t="str">
        <f>NUMBERSTRING(INT(D118*10000),2)&amp;"元整"</f>
        <v>零元整</v>
      </c>
      <c r="E119" s="3317"/>
      <c r="F119" s="3315" t="str">
        <f>NUMBERSTRING(INT(F118*10000),2)&amp;"元整"</f>
        <v>零元整</v>
      </c>
      <c r="G119" s="3317"/>
      <c r="H119" s="3315" t="str">
        <f ca="1">NUMBERSTRING(INT(H118*10000),2)&amp;"元整"</f>
        <v>捌拾叁万元整</v>
      </c>
      <c r="I119" s="3317"/>
    </row>
    <row r="120" spans="1:27" ht="18.75" customHeight="1">
      <c r="A120" s="3339" t="str">
        <f>IF(项目基本情况!B9="房地产市场价值","",MID(E103,3,LEN(E103)-2))</f>
        <v>估价师知悉的法定优先受偿款</v>
      </c>
      <c r="B120" s="3340"/>
      <c r="C120" s="3341"/>
      <c r="D120" s="3339">
        <f>H103</f>
        <v>0</v>
      </c>
      <c r="E120" s="3340"/>
      <c r="F120" s="3340"/>
      <c r="G120" s="3340"/>
      <c r="H120" s="3340"/>
      <c r="I120" s="334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5" t="s">
        <v>1452</v>
      </c>
      <c r="B121" s="3316"/>
      <c r="C121" s="3317"/>
      <c r="D121" s="3315" t="str">
        <f>IF(D120=0,"零元整",NUMBERSTRING(INT(D120*10000),2)&amp;"元整")</f>
        <v>零元整</v>
      </c>
      <c r="E121" s="3316"/>
      <c r="F121" s="3316"/>
      <c r="G121" s="3316"/>
      <c r="H121" s="3316"/>
      <c r="I121" s="3317"/>
      <c r="AA121" s="684"/>
    </row>
    <row r="122" spans="1:27" ht="18.75" customHeight="1">
      <c r="A122" s="3306" t="str">
        <f>IF(项目基本情况!B9="房地产市场价值","",MID(E107,3,LEN(E107)-2))</f>
        <v>房地产抵押价值</v>
      </c>
      <c r="B122" s="3306"/>
      <c r="C122" s="3306"/>
      <c r="D122" s="3339">
        <f ca="1">H107</f>
        <v>83</v>
      </c>
      <c r="E122" s="3340"/>
      <c r="F122" s="3340"/>
      <c r="G122" s="3340"/>
      <c r="H122" s="3340"/>
      <c r="I122" s="3341"/>
      <c r="AA122" s="684"/>
    </row>
    <row r="123" spans="1:27" ht="18.75" customHeight="1">
      <c r="A123" s="3275" t="s">
        <v>1452</v>
      </c>
      <c r="B123" s="3275"/>
      <c r="C123" s="3275"/>
      <c r="D123" s="3315" t="str">
        <f ca="1">NUMBERSTRING(INT(D122*10000),2)&amp;"元整"</f>
        <v>捌拾叁万元整</v>
      </c>
      <c r="E123" s="3316"/>
      <c r="F123" s="3316"/>
      <c r="G123" s="3316"/>
      <c r="H123" s="3316"/>
      <c r="I123" s="3317"/>
      <c r="AA123" s="684"/>
    </row>
    <row r="124" spans="1:27" ht="18.75" customHeight="1">
      <c r="A124" s="3306" t="str">
        <f>IF(项目基本情况!B9="房地产市场价值","",MID(E109,3,LEN(E109)-2))</f>
        <v/>
      </c>
      <c r="B124" s="3306"/>
      <c r="C124" s="3306"/>
      <c r="D124" s="3339" t="str">
        <f>H109</f>
        <v>——</v>
      </c>
      <c r="E124" s="3340"/>
      <c r="F124" s="3340"/>
      <c r="G124" s="3340"/>
      <c r="H124" s="3340"/>
      <c r="I124" s="3341"/>
      <c r="AA124" s="684"/>
    </row>
    <row r="125" spans="1:27" ht="18.75" customHeight="1">
      <c r="A125" s="3275" t="s">
        <v>1452</v>
      </c>
      <c r="B125" s="3275"/>
      <c r="C125" s="3275"/>
      <c r="D125" s="3315" t="e">
        <f>NUMBERSTRING(INT(D124*10000),2)&amp;"元整"</f>
        <v>#VALUE!</v>
      </c>
      <c r="E125" s="3316"/>
      <c r="F125" s="3316"/>
      <c r="G125" s="3316"/>
      <c r="H125" s="3316"/>
      <c r="I125" s="3317"/>
      <c r="AA125" s="684"/>
    </row>
    <row r="126" spans="1:27" ht="18.75" customHeight="1">
      <c r="A126" s="3306" t="str">
        <f>IF(项目基本情况!B9="房地产市场价值","",MID(E111,3,LEN(E111)-2))</f>
        <v/>
      </c>
      <c r="B126" s="3306"/>
      <c r="C126" s="3306"/>
      <c r="D126" s="3339" t="str">
        <f>H111</f>
        <v>——</v>
      </c>
      <c r="E126" s="3340"/>
      <c r="F126" s="3340"/>
      <c r="G126" s="3340"/>
      <c r="H126" s="3340"/>
      <c r="I126" s="3341"/>
      <c r="AA126" s="684"/>
    </row>
    <row r="127" spans="1:27" ht="18.75" customHeight="1">
      <c r="A127" s="3275" t="s">
        <v>1452</v>
      </c>
      <c r="B127" s="3275"/>
      <c r="C127" s="3275"/>
      <c r="D127" s="3315" t="e">
        <f>NUMBERSTRING(INT(D126*10000),2)&amp;"元整"</f>
        <v>#VALUE!</v>
      </c>
      <c r="E127" s="3316"/>
      <c r="F127" s="3316"/>
      <c r="G127" s="3316"/>
      <c r="H127" s="3316"/>
      <c r="I127" s="3317"/>
      <c r="AA127" s="684"/>
    </row>
    <row r="128" spans="1:27" ht="21.75" customHeight="1">
      <c r="A128" s="3322" t="s">
        <v>1453</v>
      </c>
      <c r="B128" s="3322"/>
      <c r="C128" s="3322"/>
      <c r="D128" s="3322"/>
      <c r="E128" s="3322"/>
      <c r="F128" s="3322"/>
      <c r="G128" s="3322"/>
      <c r="H128" s="3322"/>
      <c r="I128" s="332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4502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66.63</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66.63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23</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66.63</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5" t="s">
        <v>1544</v>
      </c>
    </row>
    <row r="43" spans="1:7" ht="13.5" customHeight="1">
      <c r="A43" s="734" t="s">
        <v>347</v>
      </c>
      <c r="B43" s="207" t="s">
        <v>1545</v>
      </c>
      <c r="C43" s="230">
        <f ca="1">ROUND(IF('数据-取费表'!B22&lt;=1,C39*F22*'数据-取费表'!B21/2,C39*(POWER((1+F22),'数据-取费表'!B21/2)-1)),0)</f>
        <v>0</v>
      </c>
      <c r="D43" s="230"/>
      <c r="E43" s="230"/>
      <c r="F43" s="231"/>
      <c r="G43" s="3356"/>
    </row>
    <row r="44" spans="1:7" ht="13.5" customHeight="1">
      <c r="A44" s="734" t="s">
        <v>348</v>
      </c>
      <c r="B44" s="207" t="s">
        <v>1546</v>
      </c>
      <c r="C44" s="230">
        <f ca="1">ROUND(IF('数据-取费表'!B22&lt;=1,C40*F22*'数据-取费表'!B21/2,C40*(POWER((1+F22),'数据-取费表'!B21/2)-1)),4)</f>
        <v>5.9999999999999995E-4</v>
      </c>
      <c r="D44" s="230"/>
      <c r="E44" s="230"/>
      <c r="F44" s="231"/>
      <c r="G44" s="3357"/>
    </row>
    <row r="45" spans="1:7" s="206" customFormat="1" ht="13.5" customHeight="1">
      <c r="A45" s="247" t="s">
        <v>1547</v>
      </c>
      <c r="B45" s="236" t="s">
        <v>1513</v>
      </c>
      <c r="C45" s="237">
        <f ca="1">C46</f>
        <v>4</v>
      </c>
      <c r="D45" s="227">
        <f ca="1">C47</f>
        <v>3.0000000000000001E-3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34</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29</v>
      </c>
      <c r="D51" s="224"/>
      <c r="E51" s="224"/>
      <c r="F51" s="256"/>
      <c r="G51" s="226" t="s">
        <v>1560</v>
      </c>
    </row>
    <row r="52" spans="1:7" s="200" customFormat="1" ht="16.8" thickBot="1">
      <c r="A52" s="257" t="s">
        <v>1561</v>
      </c>
      <c r="B52" s="258"/>
      <c r="C52" s="259">
        <f ca="1">C31+C51</f>
        <v>30</v>
      </c>
      <c r="D52" s="258"/>
      <c r="E52" s="258"/>
      <c r="F52" s="258"/>
      <c r="G52" s="260"/>
    </row>
    <row r="55" spans="1:7" ht="15">
      <c r="B55" s="262" t="s">
        <v>1562</v>
      </c>
      <c r="C55" s="263"/>
    </row>
    <row r="56" spans="1:7">
      <c r="B56" s="265" t="s">
        <v>802</v>
      </c>
      <c r="C56" s="267">
        <f ca="1">1-C57</f>
        <v>3.3000000000000029E-2</v>
      </c>
    </row>
    <row r="57" spans="1:7">
      <c r="B57" s="265" t="s">
        <v>803</v>
      </c>
      <c r="C57" s="266">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北京市房山区怡和北路5号院14号楼2层201房地产抵押价值预评估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37" zoomScale="60" zoomScaleNormal="70" workbookViewId="0">
      <selection activeCell="G49" sqref="G4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201</v>
      </c>
      <c r="E1" s="3129" t="s">
        <v>3441</v>
      </c>
      <c r="F1" s="1735" t="s">
        <v>3442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112.28489999999999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16852</v>
      </c>
      <c r="C3" s="344" t="s">
        <v>1768</v>
      </c>
      <c r="D3" s="343">
        <f>IF(D1="",'数据-汇总表'!E3,SUMIF('数据-汇总表'!$C19:$C33,D1,'数据-汇总表'!$E19:$E33))</f>
        <v>66.63</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380" t="s">
        <v>1775</v>
      </c>
      <c r="Q4" s="3381"/>
      <c r="R4" s="3386" t="s">
        <v>1771</v>
      </c>
      <c r="S4" s="3387"/>
      <c r="T4" s="3386" t="s">
        <v>1772</v>
      </c>
      <c r="U4" s="3387"/>
      <c r="V4" s="3392" t="s">
        <v>1773</v>
      </c>
      <c r="W4" s="3392"/>
      <c r="X4" s="1809"/>
      <c r="Y4" s="3386" t="s">
        <v>1775</v>
      </c>
      <c r="Z4" s="3387"/>
      <c r="AA4" s="3403" t="s">
        <v>1771</v>
      </c>
      <c r="AB4" s="3403" t="s">
        <v>1772</v>
      </c>
      <c r="AC4" s="3373" t="s">
        <v>1773</v>
      </c>
    </row>
    <row r="5" spans="1:29" ht="13.8" customHeight="1">
      <c r="A5" s="348"/>
      <c r="B5" s="349"/>
      <c r="C5" s="3395" t="s">
        <v>3443</v>
      </c>
      <c r="D5" s="3396"/>
      <c r="E5" s="3395" t="s">
        <v>3443</v>
      </c>
      <c r="F5" s="3396"/>
      <c r="G5" s="3395" t="s">
        <v>3443</v>
      </c>
      <c r="H5" s="3396"/>
      <c r="I5" s="3395" t="s">
        <v>3443</v>
      </c>
      <c r="J5" s="3396"/>
      <c r="K5" s="537"/>
      <c r="L5" s="2484"/>
      <c r="M5" s="2485"/>
      <c r="N5" s="2485"/>
      <c r="O5" s="2485"/>
      <c r="P5" s="3382"/>
      <c r="Q5" s="3383"/>
      <c r="R5" s="3388"/>
      <c r="S5" s="3389"/>
      <c r="T5" s="3388"/>
      <c r="U5" s="3389"/>
      <c r="V5" s="3360"/>
      <c r="W5" s="3360"/>
      <c r="X5" s="1265"/>
      <c r="Y5" s="3388"/>
      <c r="Z5" s="3389"/>
      <c r="AA5" s="3404"/>
      <c r="AB5" s="3404"/>
      <c r="AC5" s="3374"/>
    </row>
    <row r="6" spans="1:29" ht="15" thickBot="1">
      <c r="A6" s="350"/>
      <c r="B6" s="351"/>
      <c r="C6" s="3393" t="s">
        <v>1677</v>
      </c>
      <c r="D6" s="3394"/>
      <c r="E6" s="3401" t="s">
        <v>1677</v>
      </c>
      <c r="F6" s="3402"/>
      <c r="G6" s="3393" t="s">
        <v>1677</v>
      </c>
      <c r="H6" s="3394"/>
      <c r="I6" s="3393" t="s">
        <v>1677</v>
      </c>
      <c r="J6" s="3394"/>
      <c r="K6" s="537" t="s">
        <v>1678</v>
      </c>
      <c r="L6" s="2484"/>
      <c r="M6" s="2485"/>
      <c r="N6" s="2485"/>
      <c r="O6" s="2485"/>
      <c r="P6" s="3384"/>
      <c r="Q6" s="3385"/>
      <c r="R6" s="3388"/>
      <c r="S6" s="3389"/>
      <c r="T6" s="3390"/>
      <c r="U6" s="3391"/>
      <c r="V6" s="3360"/>
      <c r="W6" s="3360"/>
      <c r="X6" s="1265"/>
      <c r="Y6" s="3390"/>
      <c r="Z6" s="3391"/>
      <c r="AA6" s="3405"/>
      <c r="AB6" s="3405"/>
      <c r="AC6" s="3375"/>
    </row>
    <row r="7" spans="1:29" s="102" customFormat="1" ht="15" thickBot="1">
      <c r="A7" s="352" t="s">
        <v>1679</v>
      </c>
      <c r="B7" s="353"/>
      <c r="C7" s="354">
        <f>'数据-取费表'!B2</f>
        <v>45814</v>
      </c>
      <c r="D7" s="355">
        <v>100</v>
      </c>
      <c r="E7" s="356">
        <f>C7</f>
        <v>45814</v>
      </c>
      <c r="F7" s="357">
        <f>SUMIF(59:59,YEAR(E7)&amp;"-"&amp;MONTH(E7),60:60)</f>
        <v>100</v>
      </c>
      <c r="G7" s="356">
        <f>C7</f>
        <v>45814</v>
      </c>
      <c r="H7" s="355">
        <f>SUMIF(59:59,YEAR(G7)&amp;"-"&amp;MONTH(G7),60:60)</f>
        <v>100</v>
      </c>
      <c r="I7" s="356">
        <f>C7</f>
        <v>45814</v>
      </c>
      <c r="J7" s="355">
        <f>SUMIF(59:59,YEAR(I7)&amp;"-"&amp;MONTH(I7),60:60)</f>
        <v>100</v>
      </c>
      <c r="K7" s="38"/>
      <c r="L7" s="2486"/>
      <c r="M7" s="2438"/>
      <c r="N7" s="2438"/>
      <c r="O7" s="2438"/>
      <c r="P7" s="3397" t="s">
        <v>1680</v>
      </c>
      <c r="Q7" s="3400"/>
      <c r="R7" s="664" t="s">
        <v>14</v>
      </c>
      <c r="S7" s="665">
        <f t="shared" ref="S7:S15" si="0">F7</f>
        <v>100</v>
      </c>
      <c r="T7" s="664" t="s">
        <v>14</v>
      </c>
      <c r="U7" s="665">
        <f t="shared" ref="U7:U15" si="1">H7</f>
        <v>100</v>
      </c>
      <c r="V7" s="664" t="s">
        <v>14</v>
      </c>
      <c r="W7" s="665">
        <f t="shared" ref="W7:W15" si="2">J7</f>
        <v>100</v>
      </c>
      <c r="X7" s="666"/>
      <c r="Y7" s="3399" t="s">
        <v>1680</v>
      </c>
      <c r="Z7" s="3398"/>
      <c r="AA7" s="50">
        <f>D7/F7</f>
        <v>1</v>
      </c>
      <c r="AB7" s="50">
        <f>D7/H7</f>
        <v>1</v>
      </c>
      <c r="AC7" s="802">
        <f>D7/J7</f>
        <v>1</v>
      </c>
    </row>
    <row r="8" spans="1:29" s="102" customFormat="1" ht="15" thickBot="1">
      <c r="A8" s="352" t="s">
        <v>1681</v>
      </c>
      <c r="B8" s="353"/>
      <c r="C8" s="358" t="s">
        <v>3446</v>
      </c>
      <c r="D8" s="355">
        <v>100</v>
      </c>
      <c r="E8" s="358" t="s">
        <v>3447</v>
      </c>
      <c r="F8" s="357">
        <f>SUMIF(62:62,E8,63:63)-SUMIF(62:62,C8,63:63)+100</f>
        <v>105</v>
      </c>
      <c r="G8" s="358" t="s">
        <v>3447</v>
      </c>
      <c r="H8" s="355">
        <f>SUMIF(62:62,G8,63:63)-SUMIF(62:62,C8,63:63)+100</f>
        <v>105</v>
      </c>
      <c r="I8" s="358" t="s">
        <v>3447</v>
      </c>
      <c r="J8" s="355">
        <f>SUMIF(62:62,I8,63:63)-SUMIF(62:62,C8,63:63)+100</f>
        <v>105</v>
      </c>
      <c r="K8" s="38"/>
      <c r="L8" s="2486"/>
      <c r="M8" s="2438"/>
      <c r="N8" s="2438"/>
      <c r="O8" s="2438"/>
      <c r="P8" s="3397" t="s">
        <v>1683</v>
      </c>
      <c r="Q8" s="3398"/>
      <c r="R8" s="664" t="s">
        <v>14</v>
      </c>
      <c r="S8" s="665">
        <f t="shared" si="0"/>
        <v>105</v>
      </c>
      <c r="T8" s="664" t="s">
        <v>14</v>
      </c>
      <c r="U8" s="665">
        <f t="shared" si="1"/>
        <v>105</v>
      </c>
      <c r="V8" s="664" t="s">
        <v>14</v>
      </c>
      <c r="W8" s="665">
        <f t="shared" si="2"/>
        <v>105</v>
      </c>
      <c r="X8" s="666"/>
      <c r="Y8" s="3399" t="s">
        <v>1683</v>
      </c>
      <c r="Z8" s="3398"/>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66" t="s">
        <v>3450</v>
      </c>
      <c r="D9" s="59">
        <v>100</v>
      </c>
      <c r="E9" s="362" t="s">
        <v>3449</v>
      </c>
      <c r="F9" s="59">
        <f>SUMIF(64:64,E9,65:65)-SUMIF(64:64,C9,65:65)+100</f>
        <v>100</v>
      </c>
      <c r="G9" s="361" t="s">
        <v>3449</v>
      </c>
      <c r="H9" s="59">
        <f>SUMIF(64:64,G9,65:65)-SUMIF(64:64,C9,65:65)+100</f>
        <v>100</v>
      </c>
      <c r="I9" s="361" t="s">
        <v>3449</v>
      </c>
      <c r="J9" s="59">
        <f>SUMIF(64:64,I9,65:65)-SUMIF(64:64,C9,65:65)+100</f>
        <v>100</v>
      </c>
      <c r="K9" s="38"/>
      <c r="L9" s="2486"/>
      <c r="M9" s="2438"/>
      <c r="N9" s="2438"/>
      <c r="O9" s="2438"/>
      <c r="P9" s="335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802">
        <f t="shared" si="5"/>
        <v>1</v>
      </c>
    </row>
    <row r="10" spans="1:29" s="366" customFormat="1" ht="28.8">
      <c r="A10" s="363"/>
      <c r="B10" s="364" t="s">
        <v>1688</v>
      </c>
      <c r="C10" s="3130" t="s">
        <v>3457</v>
      </c>
      <c r="D10" s="119">
        <v>100</v>
      </c>
      <c r="E10" s="3130" t="s">
        <v>3457</v>
      </c>
      <c r="F10" s="119">
        <f>SUMIF(66:66,E10,67:67)-SUMIF(66:66,C10,67:67)+100</f>
        <v>100</v>
      </c>
      <c r="G10" s="3130" t="s">
        <v>3457</v>
      </c>
      <c r="H10" s="119">
        <f>SUMIF(66:66,G10,67:67)-SUMIF(66:66,C10,67:67)+100</f>
        <v>100</v>
      </c>
      <c r="I10" s="3130" t="s">
        <v>3457</v>
      </c>
      <c r="J10" s="119">
        <f>SUMIF(66:66,I10,67:67)-SUMIF(66:66,C10,67:67)+100</f>
        <v>100</v>
      </c>
      <c r="K10" s="38"/>
      <c r="L10" s="2487"/>
      <c r="M10" s="2488"/>
      <c r="N10" s="2488"/>
      <c r="O10" s="2488"/>
      <c r="P10" s="335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58"/>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58"/>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58"/>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58"/>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64" t="s">
        <v>1691</v>
      </c>
      <c r="Q15" s="1263" t="str">
        <f t="shared" si="6"/>
        <v>办公集聚程度</v>
      </c>
      <c r="R15" s="667" t="s">
        <v>14</v>
      </c>
      <c r="S15" s="668">
        <f t="shared" si="0"/>
        <v>100</v>
      </c>
      <c r="T15" s="667" t="s">
        <v>14</v>
      </c>
      <c r="U15" s="668">
        <f t="shared" si="1"/>
        <v>100</v>
      </c>
      <c r="V15" s="667" t="s">
        <v>14</v>
      </c>
      <c r="W15" s="668">
        <f t="shared" si="2"/>
        <v>100</v>
      </c>
      <c r="X15" s="1265"/>
      <c r="Y15" s="3366" t="s">
        <v>1691</v>
      </c>
      <c r="Z15" s="1264" t="str">
        <f t="shared" si="7"/>
        <v>办公集聚程度</v>
      </c>
      <c r="AA15" s="1264">
        <f t="shared" si="3"/>
        <v>1</v>
      </c>
      <c r="AB15" s="1264">
        <f t="shared" si="4"/>
        <v>1</v>
      </c>
      <c r="AC15" s="1812">
        <f t="shared" si="5"/>
        <v>1</v>
      </c>
    </row>
    <row r="16" spans="1:29" ht="15">
      <c r="A16" s="367"/>
      <c r="B16" s="555"/>
      <c r="C16" s="1758" t="s">
        <v>3439</v>
      </c>
      <c r="D16" s="387"/>
      <c r="E16" s="1758" t="s">
        <v>3439</v>
      </c>
      <c r="F16" s="387"/>
      <c r="G16" s="1758" t="s">
        <v>3439</v>
      </c>
      <c r="H16" s="389"/>
      <c r="I16" s="1758" t="s">
        <v>3439</v>
      </c>
      <c r="J16" s="387"/>
      <c r="K16" s="541"/>
      <c r="L16" s="2490"/>
      <c r="M16" s="2485"/>
      <c r="N16" s="2485"/>
      <c r="O16" s="2485"/>
      <c r="P16" s="3365"/>
      <c r="Q16" s="1263"/>
      <c r="R16" s="667"/>
      <c r="S16" s="668"/>
      <c r="T16" s="667"/>
      <c r="U16" s="668"/>
      <c r="V16" s="667"/>
      <c r="W16" s="668"/>
      <c r="X16" s="1265"/>
      <c r="Y16" s="336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65"/>
      <c r="Q17" s="1263" t="str">
        <f>B17</f>
        <v>交通便捷度</v>
      </c>
      <c r="R17" s="667" t="s">
        <v>14</v>
      </c>
      <c r="S17" s="668">
        <f>F17</f>
        <v>100</v>
      </c>
      <c r="T17" s="667" t="s">
        <v>14</v>
      </c>
      <c r="U17" s="668">
        <f>H17</f>
        <v>100</v>
      </c>
      <c r="V17" s="667" t="s">
        <v>14</v>
      </c>
      <c r="W17" s="668">
        <f>J17</f>
        <v>100</v>
      </c>
      <c r="X17" s="1265"/>
      <c r="Y17" s="3367"/>
      <c r="Z17" s="1264" t="str">
        <f>Q17</f>
        <v>交通便捷度</v>
      </c>
      <c r="AA17" s="1264">
        <f t="shared" si="3"/>
        <v>1</v>
      </c>
      <c r="AB17" s="1264">
        <f t="shared" si="4"/>
        <v>1</v>
      </c>
      <c r="AC17" s="1812">
        <f t="shared" si="5"/>
        <v>1</v>
      </c>
    </row>
    <row r="18" spans="1:29" ht="15">
      <c r="A18" s="367"/>
      <c r="B18" s="401"/>
      <c r="C18" s="1758" t="s">
        <v>3439</v>
      </c>
      <c r="D18" s="389"/>
      <c r="E18" s="1758" t="s">
        <v>3439</v>
      </c>
      <c r="F18" s="389"/>
      <c r="G18" s="1758" t="s">
        <v>3439</v>
      </c>
      <c r="H18" s="387"/>
      <c r="I18" s="1758" t="s">
        <v>3439</v>
      </c>
      <c r="J18" s="387"/>
      <c r="K18" s="541"/>
      <c r="L18" s="2490"/>
      <c r="M18" s="2485"/>
      <c r="N18" s="2485"/>
      <c r="O18" s="2485"/>
      <c r="P18" s="3365"/>
      <c r="Q18" s="1263"/>
      <c r="R18" s="667"/>
      <c r="S18" s="668"/>
      <c r="T18" s="667"/>
      <c r="U18" s="668"/>
      <c r="V18" s="667"/>
      <c r="W18" s="668"/>
      <c r="X18" s="1265"/>
      <c r="Y18" s="336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65"/>
      <c r="Q19" s="1263" t="str">
        <f>B19</f>
        <v>公共配套设施</v>
      </c>
      <c r="R19" s="667" t="s">
        <v>14</v>
      </c>
      <c r="S19" s="668">
        <f>F19</f>
        <v>100</v>
      </c>
      <c r="T19" s="667" t="s">
        <v>14</v>
      </c>
      <c r="U19" s="668">
        <f>H19</f>
        <v>100</v>
      </c>
      <c r="V19" s="667" t="s">
        <v>14</v>
      </c>
      <c r="W19" s="668">
        <f>J19</f>
        <v>100</v>
      </c>
      <c r="X19" s="1265"/>
      <c r="Y19" s="3367"/>
      <c r="Z19" s="1264" t="str">
        <f>Q19</f>
        <v>公共配套设施</v>
      </c>
      <c r="AA19" s="1264">
        <f t="shared" si="3"/>
        <v>1</v>
      </c>
      <c r="AB19" s="1264">
        <f t="shared" si="4"/>
        <v>1</v>
      </c>
      <c r="AC19" s="1812">
        <f t="shared" si="5"/>
        <v>1</v>
      </c>
    </row>
    <row r="20" spans="1:29" ht="15">
      <c r="A20" s="367"/>
      <c r="B20" s="401"/>
      <c r="C20" s="1758" t="s">
        <v>3439</v>
      </c>
      <c r="D20" s="387"/>
      <c r="E20" s="1758" t="s">
        <v>3439</v>
      </c>
      <c r="F20" s="387"/>
      <c r="G20" s="1758" t="s">
        <v>3439</v>
      </c>
      <c r="H20" s="387"/>
      <c r="I20" s="1758" t="s">
        <v>3439</v>
      </c>
      <c r="J20" s="387"/>
      <c r="K20" s="541"/>
      <c r="L20" s="2490"/>
      <c r="M20" s="2485"/>
      <c r="N20" s="2485"/>
      <c r="O20" s="2485"/>
      <c r="P20" s="3365"/>
      <c r="Q20" s="1263"/>
      <c r="R20" s="667"/>
      <c r="S20" s="668"/>
      <c r="T20" s="667"/>
      <c r="U20" s="668"/>
      <c r="V20" s="667"/>
      <c r="W20" s="668"/>
      <c r="X20" s="1265"/>
      <c r="Y20" s="336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365"/>
      <c r="Q21" s="1263" t="str">
        <f>B21</f>
        <v>基础设施水平</v>
      </c>
      <c r="R21" s="667" t="s">
        <v>14</v>
      </c>
      <c r="S21" s="668">
        <f>F21</f>
        <v>100</v>
      </c>
      <c r="T21" s="667" t="s">
        <v>14</v>
      </c>
      <c r="U21" s="668">
        <f>H21</f>
        <v>100</v>
      </c>
      <c r="V21" s="667" t="s">
        <v>14</v>
      </c>
      <c r="W21" s="668">
        <f>J21</f>
        <v>100</v>
      </c>
      <c r="X21" s="1265"/>
      <c r="Y21" s="3367"/>
      <c r="Z21" s="1264" t="str">
        <f>Q21</f>
        <v>基础设施水平</v>
      </c>
      <c r="AA21" s="1264">
        <f t="shared" ref="AA21" si="8">D21/F21</f>
        <v>1</v>
      </c>
      <c r="AB21" s="1264">
        <f t="shared" ref="AB21" si="9">D21/H21</f>
        <v>1</v>
      </c>
      <c r="AC21" s="1812">
        <f t="shared" ref="AC21" si="10">D21/J21</f>
        <v>1</v>
      </c>
    </row>
    <row r="22" spans="1:29" ht="15">
      <c r="A22" s="367"/>
      <c r="B22" s="557"/>
      <c r="C22" s="1814" t="s">
        <v>3451</v>
      </c>
      <c r="D22" s="387"/>
      <c r="E22" s="1814" t="s">
        <v>3451</v>
      </c>
      <c r="F22" s="387"/>
      <c r="G22" s="1814" t="s">
        <v>3451</v>
      </c>
      <c r="H22" s="387"/>
      <c r="I22" s="1814" t="s">
        <v>3451</v>
      </c>
      <c r="J22" s="387"/>
      <c r="K22" s="1064"/>
      <c r="L22" s="2490"/>
      <c r="M22" s="2485"/>
      <c r="N22" s="2485"/>
      <c r="O22" s="2485"/>
      <c r="P22" s="3365"/>
      <c r="Q22" s="1263"/>
      <c r="R22" s="667"/>
      <c r="S22" s="668"/>
      <c r="T22" s="667"/>
      <c r="U22" s="668"/>
      <c r="V22" s="667"/>
      <c r="W22" s="668"/>
      <c r="X22" s="1265"/>
      <c r="Y22" s="336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365"/>
      <c r="Q23" s="1263" t="str">
        <f>B23</f>
        <v>环境质量</v>
      </c>
      <c r="R23" s="667" t="s">
        <v>14</v>
      </c>
      <c r="S23" s="668">
        <f>F23</f>
        <v>100</v>
      </c>
      <c r="T23" s="667" t="s">
        <v>14</v>
      </c>
      <c r="U23" s="668">
        <f>H23</f>
        <v>100</v>
      </c>
      <c r="V23" s="667" t="s">
        <v>14</v>
      </c>
      <c r="W23" s="668">
        <f>J23</f>
        <v>100</v>
      </c>
      <c r="X23" s="1265"/>
      <c r="Y23" s="3367"/>
      <c r="Z23" s="1264" t="str">
        <f>Q23</f>
        <v>环境质量</v>
      </c>
      <c r="AA23" s="1264">
        <f t="shared" si="3"/>
        <v>1</v>
      </c>
      <c r="AB23" s="1264">
        <f t="shared" si="4"/>
        <v>1</v>
      </c>
      <c r="AC23" s="1812">
        <f t="shared" si="5"/>
        <v>1</v>
      </c>
    </row>
    <row r="24" spans="1:29" ht="15">
      <c r="A24" s="367"/>
      <c r="B24" s="557"/>
      <c r="C24" s="1758" t="s">
        <v>3439</v>
      </c>
      <c r="D24" s="387"/>
      <c r="E24" s="1758" t="s">
        <v>3439</v>
      </c>
      <c r="F24" s="387"/>
      <c r="G24" s="1758" t="s">
        <v>3439</v>
      </c>
      <c r="H24" s="387"/>
      <c r="I24" s="1758" t="s">
        <v>3439</v>
      </c>
      <c r="J24" s="387"/>
      <c r="K24" s="541"/>
      <c r="L24" s="2490"/>
      <c r="M24" s="2485"/>
      <c r="N24" s="2485"/>
      <c r="O24" s="2485"/>
      <c r="P24" s="3365"/>
      <c r="Q24" s="1263"/>
      <c r="R24" s="667"/>
      <c r="S24" s="668"/>
      <c r="T24" s="667"/>
      <c r="U24" s="668"/>
      <c r="V24" s="667"/>
      <c r="W24" s="668"/>
      <c r="X24" s="1265"/>
      <c r="Y24" s="336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365"/>
      <c r="Q25" s="1263" t="str">
        <f>B25</f>
        <v>毗邻道路的类型与等级</v>
      </c>
      <c r="R25" s="667" t="s">
        <v>14</v>
      </c>
      <c r="S25" s="668">
        <f>F25</f>
        <v>100</v>
      </c>
      <c r="T25" s="667" t="s">
        <v>14</v>
      </c>
      <c r="U25" s="668">
        <f>H25</f>
        <v>100</v>
      </c>
      <c r="V25" s="667" t="s">
        <v>14</v>
      </c>
      <c r="W25" s="668">
        <f>J25</f>
        <v>100</v>
      </c>
      <c r="X25" s="1265"/>
      <c r="Y25" s="336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65"/>
      <c r="Q26" s="1263"/>
      <c r="R26" s="667"/>
      <c r="S26" s="668"/>
      <c r="T26" s="667"/>
      <c r="U26" s="668"/>
      <c r="V26" s="667"/>
      <c r="W26" s="668"/>
      <c r="X26" s="1265"/>
      <c r="Y26" s="3367"/>
      <c r="Z26" s="1264"/>
      <c r="AA26" s="1264">
        <v>1</v>
      </c>
      <c r="AB26" s="1264">
        <v>1</v>
      </c>
      <c r="AC26" s="1812">
        <v>1</v>
      </c>
    </row>
    <row r="27" spans="1:29" ht="15">
      <c r="A27" s="367"/>
      <c r="B27" s="401" t="s">
        <v>1783</v>
      </c>
      <c r="C27" s="558" t="s">
        <v>3462</v>
      </c>
      <c r="D27" s="374">
        <v>100</v>
      </c>
      <c r="E27" s="542" t="s">
        <v>3466</v>
      </c>
      <c r="F27" s="374">
        <f>SUMIF(89:89,E27,90:90)-SUMIF(89:89,C27,90:90)+100</f>
        <v>96</v>
      </c>
      <c r="G27" s="558" t="s">
        <v>3464</v>
      </c>
      <c r="H27" s="374">
        <f>SUMIF(89:89,G27,90:90)-SUMIF(89:89,C27,90:90)+100</f>
        <v>98</v>
      </c>
      <c r="I27" s="542" t="s">
        <v>3464</v>
      </c>
      <c r="J27" s="374">
        <f>SUMIF(89:89,I27,90:90)-SUMIF(89:89,C27,90:90)+100</f>
        <v>98</v>
      </c>
      <c r="K27" s="538">
        <v>2</v>
      </c>
      <c r="L27" s="2490"/>
      <c r="M27" s="2485"/>
      <c r="N27" s="2485"/>
      <c r="O27" s="2485"/>
      <c r="P27" s="3365"/>
      <c r="Q27" s="1263" t="str">
        <f t="shared" ref="Q27:Q47" si="11">B27</f>
        <v>楼层</v>
      </c>
      <c r="R27" s="667" t="s">
        <v>14</v>
      </c>
      <c r="S27" s="668">
        <f>F27</f>
        <v>96</v>
      </c>
      <c r="T27" s="667" t="s">
        <v>14</v>
      </c>
      <c r="U27" s="668">
        <f>H27</f>
        <v>98</v>
      </c>
      <c r="V27" s="667" t="s">
        <v>14</v>
      </c>
      <c r="W27" s="668">
        <f>J27</f>
        <v>98</v>
      </c>
      <c r="X27" s="1265"/>
      <c r="Y27" s="3367"/>
      <c r="Z27" s="1264" t="str">
        <f>Q27</f>
        <v>楼层</v>
      </c>
      <c r="AA27" s="1264">
        <f t="shared" si="3"/>
        <v>1.0416666666666667</v>
      </c>
      <c r="AB27" s="1264">
        <f t="shared" si="4"/>
        <v>1.0204081632653061</v>
      </c>
      <c r="AC27" s="1812">
        <f t="shared" si="5"/>
        <v>1.0204081632653061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0.5</v>
      </c>
      <c r="L28" s="2486"/>
      <c r="M28" s="2438"/>
      <c r="N28" s="2438"/>
      <c r="O28" s="2438"/>
      <c r="P28" s="3365"/>
      <c r="Q28" s="530" t="str">
        <f t="shared" si="11"/>
        <v>朝向</v>
      </c>
      <c r="R28" s="664" t="s">
        <v>14</v>
      </c>
      <c r="S28" s="665">
        <f>F28</f>
        <v>100</v>
      </c>
      <c r="T28" s="664" t="s">
        <v>14</v>
      </c>
      <c r="U28" s="665">
        <f>H28</f>
        <v>100</v>
      </c>
      <c r="V28" s="664" t="s">
        <v>14</v>
      </c>
      <c r="W28" s="665">
        <f>J28</f>
        <v>100</v>
      </c>
      <c r="X28" s="666"/>
      <c r="Y28" s="336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65"/>
      <c r="Q29" s="1263">
        <f t="shared" si="11"/>
        <v>111</v>
      </c>
      <c r="R29" s="667" t="s">
        <v>14</v>
      </c>
      <c r="S29" s="668">
        <f t="shared" ref="S29:S47" si="12">F29</f>
        <v>100</v>
      </c>
      <c r="T29" s="667" t="s">
        <v>14</v>
      </c>
      <c r="U29" s="668">
        <f t="shared" ref="U29:U47" si="13">H29</f>
        <v>100</v>
      </c>
      <c r="V29" s="667" t="s">
        <v>14</v>
      </c>
      <c r="W29" s="668">
        <f t="shared" ref="W29:W47" si="14">J29</f>
        <v>100</v>
      </c>
      <c r="X29" s="1265"/>
      <c r="Y29" s="336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65"/>
      <c r="Q30" s="1263">
        <f t="shared" si="11"/>
        <v>111</v>
      </c>
      <c r="R30" s="667" t="s">
        <v>14</v>
      </c>
      <c r="S30" s="668">
        <f t="shared" si="12"/>
        <v>100</v>
      </c>
      <c r="T30" s="667" t="s">
        <v>14</v>
      </c>
      <c r="U30" s="668">
        <f t="shared" si="13"/>
        <v>100</v>
      </c>
      <c r="V30" s="667" t="s">
        <v>14</v>
      </c>
      <c r="W30" s="668">
        <f t="shared" si="14"/>
        <v>100</v>
      </c>
      <c r="X30" s="1265"/>
      <c r="Y30" s="336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65"/>
      <c r="Q31" s="1263">
        <f t="shared" si="11"/>
        <v>111</v>
      </c>
      <c r="R31" s="667" t="s">
        <v>14</v>
      </c>
      <c r="S31" s="668">
        <f t="shared" si="12"/>
        <v>100</v>
      </c>
      <c r="T31" s="667" t="s">
        <v>14</v>
      </c>
      <c r="U31" s="668">
        <f t="shared" si="13"/>
        <v>100</v>
      </c>
      <c r="V31" s="667" t="s">
        <v>14</v>
      </c>
      <c r="W31" s="668">
        <f t="shared" si="14"/>
        <v>100</v>
      </c>
      <c r="X31" s="1265"/>
      <c r="Y31" s="336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65"/>
      <c r="Q32" s="1263">
        <f t="shared" si="11"/>
        <v>111</v>
      </c>
      <c r="R32" s="667" t="s">
        <v>14</v>
      </c>
      <c r="S32" s="668">
        <f t="shared" si="12"/>
        <v>100</v>
      </c>
      <c r="T32" s="667" t="s">
        <v>14</v>
      </c>
      <c r="U32" s="668">
        <f t="shared" si="13"/>
        <v>100</v>
      </c>
      <c r="V32" s="667" t="s">
        <v>14</v>
      </c>
      <c r="W32" s="668">
        <f t="shared" si="14"/>
        <v>100</v>
      </c>
      <c r="X32" s="1265"/>
      <c r="Y32" s="3367"/>
      <c r="Z32" s="1264">
        <f t="shared" si="15"/>
        <v>111</v>
      </c>
      <c r="AA32" s="1264">
        <f t="shared" si="3"/>
        <v>1</v>
      </c>
      <c r="AB32" s="1264">
        <f t="shared" si="4"/>
        <v>1</v>
      </c>
      <c r="AC32" s="1812">
        <f t="shared" si="5"/>
        <v>1</v>
      </c>
    </row>
    <row r="33" spans="1:29" ht="15">
      <c r="A33" s="379" t="s">
        <v>1694</v>
      </c>
      <c r="B33" s="60" t="s">
        <v>1817</v>
      </c>
      <c r="C33" s="1764" t="s">
        <v>3468</v>
      </c>
      <c r="D33" s="405">
        <v>100</v>
      </c>
      <c r="E33" s="1764" t="s">
        <v>3468</v>
      </c>
      <c r="F33" s="400">
        <f>SUMIF(101:101,E33,102:102)-SUMIF(101:101,C33,102:102)+100</f>
        <v>100</v>
      </c>
      <c r="G33" s="1764" t="s">
        <v>3468</v>
      </c>
      <c r="H33" s="374">
        <f>SUMIF(101:101,G33,102:102)-SUMIF(101:101,C33,102:102)+100</f>
        <v>100</v>
      </c>
      <c r="I33" s="1764" t="s">
        <v>3468</v>
      </c>
      <c r="J33" s="405">
        <f>SUMIF(101:101,I33,102:102)-SUMIF(101:101,C33,102:102)+100</f>
        <v>100</v>
      </c>
      <c r="K33" s="538">
        <v>2</v>
      </c>
      <c r="L33" s="2490"/>
      <c r="M33" s="2485"/>
      <c r="N33" s="2485"/>
      <c r="O33" s="2485"/>
      <c r="P33" s="3368" t="s">
        <v>1696</v>
      </c>
      <c r="Q33" s="1263" t="str">
        <f t="shared" si="11"/>
        <v>建筑类型</v>
      </c>
      <c r="R33" s="667" t="s">
        <v>14</v>
      </c>
      <c r="S33" s="668">
        <f t="shared" si="12"/>
        <v>100</v>
      </c>
      <c r="T33" s="667" t="s">
        <v>14</v>
      </c>
      <c r="U33" s="668">
        <f t="shared" si="13"/>
        <v>100</v>
      </c>
      <c r="V33" s="667" t="s">
        <v>14</v>
      </c>
      <c r="W33" s="668">
        <f t="shared" si="14"/>
        <v>100</v>
      </c>
      <c r="X33" s="1265"/>
      <c r="Y33" s="3371" t="s">
        <v>1696</v>
      </c>
      <c r="Z33" s="1264" t="str">
        <f t="shared" si="15"/>
        <v>建筑类型</v>
      </c>
      <c r="AA33" s="1264">
        <f t="shared" si="3"/>
        <v>1</v>
      </c>
      <c r="AB33" s="1264">
        <f t="shared" si="4"/>
        <v>1</v>
      </c>
      <c r="AC33" s="1812">
        <f t="shared" si="5"/>
        <v>1</v>
      </c>
    </row>
    <row r="34" spans="1:29" s="408" customFormat="1" ht="15">
      <c r="A34" s="406"/>
      <c r="B34" s="364" t="s">
        <v>1697</v>
      </c>
      <c r="C34" s="407">
        <v>66.63</v>
      </c>
      <c r="D34" s="119">
        <v>100</v>
      </c>
      <c r="E34" s="369">
        <f>售价案例!M3</f>
        <v>50.09</v>
      </c>
      <c r="F34" s="364">
        <f>LOOKUP(E34,104:104,105:105)-LOOKUP(C34,104:104,105:105)+100</f>
        <v>101</v>
      </c>
      <c r="G34" s="368">
        <f>售价案例!$M$4</f>
        <v>62.9</v>
      </c>
      <c r="H34" s="119">
        <f>LOOKUP(G34,104:104,105:105)-LOOKUP(C34,104:104,105:105)+100</f>
        <v>100</v>
      </c>
      <c r="I34" s="368">
        <f>售价案例!M5</f>
        <v>57.93</v>
      </c>
      <c r="J34" s="119">
        <f>LOOKUP(I34,104:104,105:105)-LOOKUP(C34,104:104,105:105)+100</f>
        <v>101</v>
      </c>
      <c r="K34" s="539"/>
      <c r="L34" s="2489"/>
      <c r="M34" s="2491"/>
      <c r="N34" s="2491"/>
      <c r="O34" s="2491"/>
      <c r="P34" s="3369"/>
      <c r="Q34" s="531" t="str">
        <f t="shared" si="11"/>
        <v>项目建筑规模</v>
      </c>
      <c r="R34" s="669" t="s">
        <v>14</v>
      </c>
      <c r="S34" s="670">
        <f t="shared" si="12"/>
        <v>101</v>
      </c>
      <c r="T34" s="669" t="s">
        <v>14</v>
      </c>
      <c r="U34" s="670">
        <f t="shared" si="13"/>
        <v>100</v>
      </c>
      <c r="V34" s="669" t="s">
        <v>14</v>
      </c>
      <c r="W34" s="670">
        <f t="shared" si="14"/>
        <v>101</v>
      </c>
      <c r="X34" s="671"/>
      <c r="Y34" s="3371"/>
      <c r="Z34" s="672" t="str">
        <f t="shared" si="15"/>
        <v>项目建筑规模</v>
      </c>
      <c r="AA34" s="1264">
        <f t="shared" si="3"/>
        <v>0.99009900990099009</v>
      </c>
      <c r="AB34" s="1264">
        <f t="shared" si="4"/>
        <v>1</v>
      </c>
      <c r="AC34" s="1812">
        <f t="shared" si="5"/>
        <v>0.99009900990099009</v>
      </c>
    </row>
    <row r="35" spans="1:29" ht="15">
      <c r="A35" s="409"/>
      <c r="B35" s="364" t="s">
        <v>1698</v>
      </c>
      <c r="C35" s="399" t="s">
        <v>3427</v>
      </c>
      <c r="D35" s="374">
        <v>100</v>
      </c>
      <c r="E35" s="399" t="s">
        <v>3427</v>
      </c>
      <c r="F35" s="400">
        <f>SUMIF(106:106,E35,107:107)-SUMIF(106:106,C35,107:107)+100</f>
        <v>100</v>
      </c>
      <c r="G35" s="399" t="s">
        <v>3427</v>
      </c>
      <c r="H35" s="374">
        <f>SUMIF(106:106,G35,107:107)-SUMIF(106:106,C35,107:107)+100</f>
        <v>100</v>
      </c>
      <c r="I35" s="399" t="s">
        <v>3427</v>
      </c>
      <c r="J35" s="374">
        <f>SUMIF(106:106,I35,107:107)-SUMIF(106:106,C35,107:107)+100</f>
        <v>100</v>
      </c>
      <c r="K35" s="538">
        <v>2</v>
      </c>
      <c r="L35" s="2490"/>
      <c r="M35" s="2485"/>
      <c r="N35" s="2485"/>
      <c r="O35" s="2485"/>
      <c r="P35" s="3369"/>
      <c r="Q35" s="1263" t="str">
        <f t="shared" si="11"/>
        <v>建筑结构</v>
      </c>
      <c r="R35" s="667" t="s">
        <v>14</v>
      </c>
      <c r="S35" s="668">
        <f t="shared" si="12"/>
        <v>100</v>
      </c>
      <c r="T35" s="667" t="s">
        <v>14</v>
      </c>
      <c r="U35" s="668">
        <f t="shared" si="13"/>
        <v>100</v>
      </c>
      <c r="V35" s="667" t="s">
        <v>14</v>
      </c>
      <c r="W35" s="668">
        <f t="shared" si="14"/>
        <v>100</v>
      </c>
      <c r="X35" s="1265"/>
      <c r="Y35" s="337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369"/>
      <c r="Q36" s="1263" t="str">
        <f t="shared" si="11"/>
        <v>公共部分装修</v>
      </c>
      <c r="R36" s="667" t="s">
        <v>14</v>
      </c>
      <c r="S36" s="668">
        <f t="shared" si="12"/>
        <v>100</v>
      </c>
      <c r="T36" s="667" t="s">
        <v>14</v>
      </c>
      <c r="U36" s="668">
        <f t="shared" si="13"/>
        <v>100</v>
      </c>
      <c r="V36" s="667" t="s">
        <v>14</v>
      </c>
      <c r="W36" s="668">
        <f t="shared" si="14"/>
        <v>100</v>
      </c>
      <c r="X36" s="1265"/>
      <c r="Y36" s="3371"/>
      <c r="Z36" s="1264" t="str">
        <f t="shared" si="15"/>
        <v>公共部分装修</v>
      </c>
      <c r="AA36" s="1264">
        <f t="shared" si="3"/>
        <v>1</v>
      </c>
      <c r="AB36" s="1264">
        <f t="shared" si="4"/>
        <v>1</v>
      </c>
      <c r="AC36" s="1812">
        <f t="shared" si="5"/>
        <v>1</v>
      </c>
    </row>
    <row r="37" spans="1:29" ht="15">
      <c r="A37" s="409"/>
      <c r="B37" s="364" t="s">
        <v>1786</v>
      </c>
      <c r="C37" s="411">
        <f>'数据-取费表'!N6</f>
        <v>0.85</v>
      </c>
      <c r="D37" s="374">
        <v>100</v>
      </c>
      <c r="E37" s="411">
        <f>C37</f>
        <v>0.85</v>
      </c>
      <c r="F37" s="400">
        <f>LOOKUP(E37,111:111,112:112)-LOOKUP(C37,111:111,112:112)+100</f>
        <v>100</v>
      </c>
      <c r="G37" s="411">
        <f>C37</f>
        <v>0.85</v>
      </c>
      <c r="H37" s="400">
        <f>LOOKUP(G37,111:111,112:112)-LOOKUP(C37,111:111,112:112)+100</f>
        <v>100</v>
      </c>
      <c r="I37" s="411">
        <f>C37</f>
        <v>0.85</v>
      </c>
      <c r="J37" s="374">
        <f>LOOKUP(I37,111:111,112:112)-LOOKUP(C37,111:111,112:112)+100</f>
        <v>100</v>
      </c>
      <c r="K37" s="538">
        <v>1</v>
      </c>
      <c r="L37" s="2490"/>
      <c r="M37" s="2485"/>
      <c r="N37" s="2485"/>
      <c r="O37" s="2485"/>
      <c r="P37" s="3369"/>
      <c r="Q37" s="1263" t="str">
        <f t="shared" si="11"/>
        <v>成新度</v>
      </c>
      <c r="R37" s="667" t="s">
        <v>14</v>
      </c>
      <c r="S37" s="668">
        <f t="shared" si="12"/>
        <v>100</v>
      </c>
      <c r="T37" s="667" t="s">
        <v>14</v>
      </c>
      <c r="U37" s="668">
        <f t="shared" si="13"/>
        <v>100</v>
      </c>
      <c r="V37" s="667" t="s">
        <v>14</v>
      </c>
      <c r="W37" s="668">
        <f t="shared" si="14"/>
        <v>100</v>
      </c>
      <c r="X37" s="1265"/>
      <c r="Y37" s="3371"/>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369"/>
      <c r="Q38" s="530" t="str">
        <f t="shared" si="11"/>
        <v>写字楼等级</v>
      </c>
      <c r="R38" s="664" t="s">
        <v>14</v>
      </c>
      <c r="S38" s="665">
        <f t="shared" si="12"/>
        <v>100</v>
      </c>
      <c r="T38" s="664" t="s">
        <v>14</v>
      </c>
      <c r="U38" s="665">
        <f t="shared" si="13"/>
        <v>100</v>
      </c>
      <c r="V38" s="664" t="s">
        <v>14</v>
      </c>
      <c r="W38" s="665">
        <f t="shared" si="14"/>
        <v>100</v>
      </c>
      <c r="X38" s="666"/>
      <c r="Y38" s="3371"/>
      <c r="Z38" s="50" t="str">
        <f t="shared" si="15"/>
        <v>写字楼等级</v>
      </c>
      <c r="AA38" s="50">
        <f t="shared" si="3"/>
        <v>1</v>
      </c>
      <c r="AB38" s="50">
        <f t="shared" si="4"/>
        <v>1</v>
      </c>
      <c r="AC38" s="802">
        <f t="shared" si="5"/>
        <v>1</v>
      </c>
    </row>
    <row r="39" spans="1:29" ht="15">
      <c r="A39" s="409"/>
      <c r="B39" s="364" t="s">
        <v>1819</v>
      </c>
      <c r="C39" s="399" t="s">
        <v>3476</v>
      </c>
      <c r="D39" s="374">
        <v>100</v>
      </c>
      <c r="E39" s="399" t="s">
        <v>3476</v>
      </c>
      <c r="F39" s="400">
        <f>SUMIF(115:115,E39,116:116)-SUMIF(115:115,C39,116:116)+100</f>
        <v>100</v>
      </c>
      <c r="G39" s="399" t="s">
        <v>3476</v>
      </c>
      <c r="H39" s="374">
        <f>SUMIF(115:115,G39,116:116)-SUMIF(115:115,C39,116:116)+100</f>
        <v>100</v>
      </c>
      <c r="I39" s="399" t="s">
        <v>3476</v>
      </c>
      <c r="J39" s="374">
        <f>SUMIF(115:115,I39,116:116)-SUMIF(115:115,C39,116:116)+100</f>
        <v>100</v>
      </c>
      <c r="K39" s="538">
        <v>2</v>
      </c>
      <c r="L39" s="2490"/>
      <c r="M39" s="2485"/>
      <c r="N39" s="2485"/>
      <c r="O39" s="2485"/>
      <c r="P39" s="3369" t="s">
        <v>1696</v>
      </c>
      <c r="Q39" s="1263" t="str">
        <f t="shared" si="11"/>
        <v>物业管理</v>
      </c>
      <c r="R39" s="667" t="s">
        <v>14</v>
      </c>
      <c r="S39" s="668">
        <f t="shared" si="12"/>
        <v>100</v>
      </c>
      <c r="T39" s="667" t="s">
        <v>14</v>
      </c>
      <c r="U39" s="668">
        <f t="shared" si="13"/>
        <v>100</v>
      </c>
      <c r="V39" s="667" t="s">
        <v>14</v>
      </c>
      <c r="W39" s="668">
        <f t="shared" si="14"/>
        <v>100</v>
      </c>
      <c r="X39" s="1265"/>
      <c r="Y39" s="3371" t="s">
        <v>1696</v>
      </c>
      <c r="Z39" s="1264" t="str">
        <f t="shared" si="15"/>
        <v>物业管理</v>
      </c>
      <c r="AA39" s="1264">
        <f t="shared" si="3"/>
        <v>1</v>
      </c>
      <c r="AB39" s="1264">
        <f t="shared" si="4"/>
        <v>1</v>
      </c>
      <c r="AC39" s="1812">
        <f t="shared" si="5"/>
        <v>1</v>
      </c>
    </row>
    <row r="40" spans="1:29" ht="15">
      <c r="A40" s="409"/>
      <c r="B40" s="364" t="s">
        <v>1787</v>
      </c>
      <c r="C40" s="399" t="s">
        <v>3479</v>
      </c>
      <c r="D40" s="374">
        <v>100</v>
      </c>
      <c r="E40" s="399" t="s">
        <v>3479</v>
      </c>
      <c r="F40" s="400">
        <f>SUMIF(117:117,E40,118:118)-SUMIF(117:117,C40,118:118)+100</f>
        <v>100</v>
      </c>
      <c r="G40" s="399" t="s">
        <v>3479</v>
      </c>
      <c r="H40" s="374">
        <f>SUMIF(117:117,G40,118:118)-SUMIF(117:117,C40,118:118)+100</f>
        <v>100</v>
      </c>
      <c r="I40" s="399" t="s">
        <v>3479</v>
      </c>
      <c r="J40" s="374">
        <f>SUMIF(117:117,I40,118:118)-SUMIF(117:117,C40,118:118)+100</f>
        <v>100</v>
      </c>
      <c r="K40" s="538">
        <v>1</v>
      </c>
      <c r="L40" s="2490"/>
      <c r="M40" s="2485"/>
      <c r="N40" s="2485"/>
      <c r="O40" s="2485"/>
      <c r="P40" s="3369"/>
      <c r="Q40" s="1263" t="str">
        <f t="shared" si="11"/>
        <v>市政基础设施</v>
      </c>
      <c r="R40" s="667" t="s">
        <v>14</v>
      </c>
      <c r="S40" s="668">
        <f t="shared" si="12"/>
        <v>100</v>
      </c>
      <c r="T40" s="667" t="s">
        <v>14</v>
      </c>
      <c r="U40" s="668">
        <f t="shared" si="13"/>
        <v>100</v>
      </c>
      <c r="V40" s="667" t="s">
        <v>14</v>
      </c>
      <c r="W40" s="668">
        <f t="shared" si="14"/>
        <v>100</v>
      </c>
      <c r="X40" s="1265"/>
      <c r="Y40" s="3371"/>
      <c r="Z40" s="1264" t="str">
        <f t="shared" si="15"/>
        <v>市政基础设施</v>
      </c>
      <c r="AA40" s="1264">
        <f t="shared" si="3"/>
        <v>1</v>
      </c>
      <c r="AB40" s="1264">
        <f t="shared" si="4"/>
        <v>1</v>
      </c>
      <c r="AC40" s="1812">
        <f t="shared" si="5"/>
        <v>1</v>
      </c>
    </row>
    <row r="41" spans="1:29" ht="15">
      <c r="A41" s="409"/>
      <c r="B41" s="364" t="s">
        <v>1789</v>
      </c>
      <c r="C41" s="542" t="s">
        <v>3483</v>
      </c>
      <c r="D41" s="374">
        <v>100</v>
      </c>
      <c r="E41" s="542" t="s">
        <v>3483</v>
      </c>
      <c r="F41" s="400">
        <f>SUMIF(119:119,E41,120:120)-SUMIF(119:119,C41,120:120)+100</f>
        <v>100</v>
      </c>
      <c r="G41" s="542" t="s">
        <v>3483</v>
      </c>
      <c r="H41" s="374">
        <f>SUMIF(119:119,G41,120:120)-SUMIF(119:119,C41,120:120)+100</f>
        <v>100</v>
      </c>
      <c r="I41" s="542" t="s">
        <v>3483</v>
      </c>
      <c r="J41" s="374">
        <f>SUMIF(119:119,I41,120:120)-SUMIF(119:119,C41,120:120)+100</f>
        <v>100</v>
      </c>
      <c r="K41" s="538">
        <v>5</v>
      </c>
      <c r="L41" s="2490"/>
      <c r="M41" s="2485"/>
      <c r="N41" s="2485"/>
      <c r="O41" s="2485"/>
      <c r="P41" s="3369"/>
      <c r="Q41" s="1263" t="str">
        <f t="shared" si="11"/>
        <v>层高</v>
      </c>
      <c r="R41" s="667" t="s">
        <v>14</v>
      </c>
      <c r="S41" s="668">
        <f t="shared" si="12"/>
        <v>100</v>
      </c>
      <c r="T41" s="667" t="s">
        <v>14</v>
      </c>
      <c r="U41" s="668">
        <f t="shared" si="13"/>
        <v>100</v>
      </c>
      <c r="V41" s="667" t="s">
        <v>14</v>
      </c>
      <c r="W41" s="668">
        <f t="shared" si="14"/>
        <v>100</v>
      </c>
      <c r="X41" s="1265"/>
      <c r="Y41" s="337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69"/>
      <c r="Q42" s="531" t="str">
        <f t="shared" si="11"/>
        <v>单套建筑面积</v>
      </c>
      <c r="R42" s="669" t="s">
        <v>14</v>
      </c>
      <c r="S42" s="670">
        <f t="shared" si="12"/>
        <v>100</v>
      </c>
      <c r="T42" s="669" t="s">
        <v>14</v>
      </c>
      <c r="U42" s="670">
        <f t="shared" si="13"/>
        <v>100</v>
      </c>
      <c r="V42" s="669" t="s">
        <v>14</v>
      </c>
      <c r="W42" s="670">
        <f t="shared" si="14"/>
        <v>100</v>
      </c>
      <c r="X42" s="671"/>
      <c r="Y42" s="3371"/>
      <c r="Z42" s="672" t="str">
        <f t="shared" si="15"/>
        <v>单套建筑面积</v>
      </c>
      <c r="AA42" s="1264">
        <f t="shared" si="3"/>
        <v>1</v>
      </c>
      <c r="AB42" s="1264">
        <f t="shared" si="4"/>
        <v>1</v>
      </c>
      <c r="AC42" s="1812">
        <f t="shared" si="5"/>
        <v>1</v>
      </c>
    </row>
    <row r="43" spans="1:29" ht="15">
      <c r="A43" s="409"/>
      <c r="B43" s="364" t="s">
        <v>1792</v>
      </c>
      <c r="C43" s="399" t="s">
        <v>3472</v>
      </c>
      <c r="D43" s="374">
        <v>100</v>
      </c>
      <c r="E43" s="399" t="s">
        <v>3472</v>
      </c>
      <c r="F43" s="400">
        <f>SUMIF(123:123,E43,124:124)-SUMIF(123:123,C43,124:124)+100</f>
        <v>100</v>
      </c>
      <c r="G43" s="399" t="s">
        <v>3472</v>
      </c>
      <c r="H43" s="374">
        <f>SUMIF(123:123,G43,124:124)-SUMIF(123:123,C43,124:124)+100</f>
        <v>100</v>
      </c>
      <c r="I43" s="399" t="s">
        <v>3472</v>
      </c>
      <c r="J43" s="374">
        <f>SUMIF(123:123,I43,124:124)-SUMIF(123:123,C43,124:124)+100</f>
        <v>100</v>
      </c>
      <c r="K43" s="538">
        <v>2</v>
      </c>
      <c r="L43" s="2490"/>
      <c r="M43" s="2485"/>
      <c r="N43" s="2485"/>
      <c r="O43" s="2485"/>
      <c r="P43" s="3369"/>
      <c r="Q43" s="1263" t="str">
        <f t="shared" si="11"/>
        <v>内部装修</v>
      </c>
      <c r="R43" s="667" t="s">
        <v>14</v>
      </c>
      <c r="S43" s="668">
        <f t="shared" si="12"/>
        <v>100</v>
      </c>
      <c r="T43" s="667" t="s">
        <v>14</v>
      </c>
      <c r="U43" s="668">
        <f t="shared" si="13"/>
        <v>100</v>
      </c>
      <c r="V43" s="667" t="s">
        <v>14</v>
      </c>
      <c r="W43" s="668">
        <f t="shared" si="14"/>
        <v>100</v>
      </c>
      <c r="X43" s="1265"/>
      <c r="Y43" s="3371"/>
      <c r="Z43" s="1264" t="str">
        <f t="shared" si="15"/>
        <v>内部装修</v>
      </c>
      <c r="AA43" s="1264">
        <f t="shared" si="3"/>
        <v>1</v>
      </c>
      <c r="AB43" s="1264">
        <f t="shared" si="4"/>
        <v>1</v>
      </c>
      <c r="AC43" s="1812">
        <f t="shared" si="5"/>
        <v>1</v>
      </c>
    </row>
    <row r="44" spans="1:29" ht="28.8">
      <c r="A44" s="409"/>
      <c r="B44" s="364" t="s">
        <v>1707</v>
      </c>
      <c r="C44" s="399" t="s">
        <v>3439</v>
      </c>
      <c r="D44" s="374">
        <v>100</v>
      </c>
      <c r="E44" s="399" t="s">
        <v>3439</v>
      </c>
      <c r="F44" s="400">
        <f>SUMIF(125:125,E44,126:126)-SUMIF(125:125,C44,126:126)+100</f>
        <v>100</v>
      </c>
      <c r="G44" s="399" t="s">
        <v>3439</v>
      </c>
      <c r="H44" s="374">
        <f>SUMIF(125:125,G44,126:126)-SUMIF(125:125,C44,126:126)+100</f>
        <v>100</v>
      </c>
      <c r="I44" s="399" t="s">
        <v>3439</v>
      </c>
      <c r="J44" s="374">
        <f>SUMIF(125:125,I44,126:126)-SUMIF(125:125,C44,126:126)+100</f>
        <v>100</v>
      </c>
      <c r="K44" s="538">
        <v>2</v>
      </c>
      <c r="L44" s="2490"/>
      <c r="M44" s="2485"/>
      <c r="N44" s="2485"/>
      <c r="O44" s="2485"/>
      <c r="P44" s="3369"/>
      <c r="Q44" s="1263" t="str">
        <f t="shared" si="11"/>
        <v>内部装修维护情况</v>
      </c>
      <c r="R44" s="667" t="s">
        <v>14</v>
      </c>
      <c r="S44" s="668">
        <f t="shared" si="12"/>
        <v>100</v>
      </c>
      <c r="T44" s="667" t="s">
        <v>14</v>
      </c>
      <c r="U44" s="668">
        <f t="shared" si="13"/>
        <v>100</v>
      </c>
      <c r="V44" s="667" t="s">
        <v>14</v>
      </c>
      <c r="W44" s="668">
        <f t="shared" si="14"/>
        <v>100</v>
      </c>
      <c r="X44" s="1265"/>
      <c r="Y44" s="337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69"/>
      <c r="Q45" s="530">
        <f t="shared" si="11"/>
        <v>111</v>
      </c>
      <c r="R45" s="664" t="s">
        <v>14</v>
      </c>
      <c r="S45" s="665">
        <f t="shared" si="12"/>
        <v>100</v>
      </c>
      <c r="T45" s="664" t="s">
        <v>14</v>
      </c>
      <c r="U45" s="665">
        <f t="shared" si="13"/>
        <v>100</v>
      </c>
      <c r="V45" s="664" t="s">
        <v>14</v>
      </c>
      <c r="W45" s="665">
        <f t="shared" si="14"/>
        <v>100</v>
      </c>
      <c r="X45" s="666"/>
      <c r="Y45" s="337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69"/>
      <c r="Q46" s="1263">
        <f t="shared" si="11"/>
        <v>111</v>
      </c>
      <c r="R46" s="667" t="s">
        <v>14</v>
      </c>
      <c r="S46" s="668">
        <f t="shared" si="12"/>
        <v>100</v>
      </c>
      <c r="T46" s="667" t="s">
        <v>14</v>
      </c>
      <c r="U46" s="668">
        <f t="shared" si="13"/>
        <v>100</v>
      </c>
      <c r="V46" s="667" t="s">
        <v>14</v>
      </c>
      <c r="W46" s="668">
        <f t="shared" si="14"/>
        <v>100</v>
      </c>
      <c r="X46" s="1265"/>
      <c r="Y46" s="337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70"/>
      <c r="Q47" s="1263">
        <f t="shared" si="11"/>
        <v>111</v>
      </c>
      <c r="R47" s="667" t="s">
        <v>14</v>
      </c>
      <c r="S47" s="668">
        <f t="shared" si="12"/>
        <v>100</v>
      </c>
      <c r="T47" s="667" t="s">
        <v>14</v>
      </c>
      <c r="U47" s="668">
        <f t="shared" si="13"/>
        <v>100</v>
      </c>
      <c r="V47" s="667" t="s">
        <v>14</v>
      </c>
      <c r="W47" s="668">
        <f t="shared" si="14"/>
        <v>100</v>
      </c>
      <c r="X47" s="1265"/>
      <c r="Y47" s="3372"/>
      <c r="Z47" s="1264">
        <f t="shared" si="15"/>
        <v>111</v>
      </c>
      <c r="AA47" s="1264">
        <f t="shared" si="3"/>
        <v>1</v>
      </c>
      <c r="AB47" s="1264">
        <f t="shared" si="4"/>
        <v>1</v>
      </c>
      <c r="AC47" s="1812">
        <f t="shared" si="5"/>
        <v>1</v>
      </c>
    </row>
    <row r="48" spans="1:29" ht="14.4">
      <c r="A48" s="416" t="s">
        <v>1708</v>
      </c>
      <c r="B48" s="417"/>
      <c r="C48" s="1081" t="s">
        <v>0</v>
      </c>
      <c r="D48" s="418"/>
      <c r="E48" s="419">
        <f>售价案例!N3</f>
        <v>17968</v>
      </c>
      <c r="F48" s="420"/>
      <c r="G48" s="421">
        <f>售价案例!$N$4</f>
        <v>17966</v>
      </c>
      <c r="H48" s="422"/>
      <c r="I48" s="419">
        <f>售价案例!N5</f>
        <v>16054</v>
      </c>
      <c r="J48" s="422"/>
      <c r="K48" s="674"/>
      <c r="L48" s="2492"/>
      <c r="M48" s="2485"/>
      <c r="N48" s="2485"/>
      <c r="O48" s="2485"/>
      <c r="P48" s="3358" t="str">
        <f>A48</f>
        <v>成交单价（元/平方米）</v>
      </c>
      <c r="Q48" s="3359"/>
      <c r="R48" s="3360">
        <f>E48</f>
        <v>17968</v>
      </c>
      <c r="S48" s="3360"/>
      <c r="T48" s="3360">
        <f>G48</f>
        <v>17966</v>
      </c>
      <c r="U48" s="3360"/>
      <c r="V48" s="3360">
        <f>I48</f>
        <v>16054</v>
      </c>
      <c r="W48" s="3360"/>
      <c r="X48" s="385"/>
      <c r="Y48" s="673"/>
      <c r="Z48" s="385"/>
      <c r="AA48" s="385"/>
      <c r="AB48" s="385"/>
      <c r="AC48" s="555"/>
    </row>
    <row r="49" spans="1:29" ht="15" thickBot="1">
      <c r="A49" s="423" t="s">
        <v>1793</v>
      </c>
      <c r="B49" s="424"/>
      <c r="C49" s="1082">
        <f>R50</f>
        <v>16852</v>
      </c>
      <c r="D49" s="2140" t="s">
        <v>2138</v>
      </c>
      <c r="E49" s="1083">
        <f>R49</f>
        <v>17649</v>
      </c>
      <c r="F49" s="2141"/>
      <c r="G49" s="1082">
        <f>T49</f>
        <v>17460</v>
      </c>
      <c r="H49" s="2141"/>
      <c r="I49" s="1083">
        <f>V49</f>
        <v>15447</v>
      </c>
      <c r="J49" s="2141"/>
      <c r="K49" s="2143">
        <f>F49+H49+J49</f>
        <v>0</v>
      </c>
      <c r="L49" s="2492"/>
      <c r="M49" s="2485"/>
      <c r="N49" s="2485"/>
      <c r="O49" s="2485"/>
      <c r="P49" s="3358" t="str">
        <f>A49</f>
        <v>比较价值（元/平方米）</v>
      </c>
      <c r="Q49" s="3359"/>
      <c r="R49" s="3360">
        <f>IF(F1="售价",ROUND(PRODUCT(R48,AA7:AA47),0),ROUND(PRODUCT(R48,AA7:AA47),1))</f>
        <v>17649</v>
      </c>
      <c r="S49" s="3360"/>
      <c r="T49" s="3360">
        <f>IF(F1="售价",ROUND(PRODUCT(T48,AB7:AB47),0),ROUND(PRODUCT(T48,AB7:AB47),1))</f>
        <v>17460</v>
      </c>
      <c r="U49" s="3360"/>
      <c r="V49" s="3360">
        <f>IF(F1="售价",ROUND(PRODUCT(V48,AC7:AC47),0),ROUND(PRODUCT(V48,AC7:AC47),1))</f>
        <v>15447</v>
      </c>
      <c r="W49" s="3360"/>
      <c r="X49" s="385"/>
      <c r="Y49" s="385"/>
      <c r="Z49" s="385"/>
      <c r="AA49" s="385"/>
      <c r="AB49" s="385"/>
      <c r="AC49" s="555"/>
    </row>
    <row r="50" spans="1:29" ht="15" thickBot="1">
      <c r="A50" s="427" t="s">
        <v>1794</v>
      </c>
      <c r="B50" s="428"/>
      <c r="C50" s="351">
        <f>R50</f>
        <v>16852</v>
      </c>
      <c r="D50" s="351"/>
      <c r="E50" s="351"/>
      <c r="F50" s="351"/>
      <c r="G50" s="351"/>
      <c r="H50" s="351"/>
      <c r="I50" s="351"/>
      <c r="J50" s="429"/>
      <c r="K50" s="675"/>
      <c r="L50" s="2492"/>
      <c r="M50" s="2485"/>
      <c r="N50" s="2485"/>
      <c r="O50" s="2485"/>
      <c r="P50" s="3361" t="str">
        <f>A50</f>
        <v>估价对象XX用房的比较价值（楼面单价，元/平方米）</v>
      </c>
      <c r="Q50" s="3362"/>
      <c r="R50" s="3363">
        <f>IF(F1="售价",ROUND(IF(D49="简单平均",AVERAGE(R49:V49),R49*F49+T49*H49+V49*J49),0),ROUND(IF(D49="简单平均",AVERAGE(R49:V49),R49*F49+T49*H49+V49*J49),1))</f>
        <v>16852</v>
      </c>
      <c r="S50" s="3363"/>
      <c r="T50" s="3363"/>
      <c r="U50" s="3363"/>
      <c r="V50" s="3363"/>
      <c r="W50" s="3363"/>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1.8074678452036919E-2</v>
      </c>
      <c r="F53" s="435" t="str">
        <f>IF(OR(E53&gt;=0.3,E53&lt;=-0.3),"超过30%","")</f>
        <v/>
      </c>
      <c r="G53" s="434">
        <f>IF(G48&lt;G49,G49/G48-1,G48/G49-1)</f>
        <v>2.8980526918671146E-2</v>
      </c>
      <c r="H53" s="435" t="str">
        <f>IF(OR(G53&gt;=0.3,G53&lt;=-0.3),"超过30%","")</f>
        <v/>
      </c>
      <c r="I53" s="434">
        <f>IF(I48&lt;I49,I49/I48-1,I48/I49-1)</f>
        <v>3.9295656114455957E-2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1.0824742268041199E-2</v>
      </c>
      <c r="F54" s="435" t="str">
        <f>IF(OR(E54&gt;=0.2,E54&lt;=-0.2),"超过20%","")</f>
        <v/>
      </c>
      <c r="G54" s="434">
        <f>IF(G49&lt;I49,I49/G49-1,G49/I49-1)</f>
        <v>0.13031656632355793</v>
      </c>
      <c r="H54" s="435" t="str">
        <f>IF(OR(G54&gt;=0.2,G54&lt;=-0.2),"超过20%","")</f>
        <v/>
      </c>
      <c r="I54" s="434">
        <f>IF(I49&lt;E49,E49/I49-1,I49/E49-1)</f>
        <v>0.14255195183530778</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1.1132138483804788E-4</v>
      </c>
      <c r="F55" s="435" t="str">
        <f>IF(OR(E55&gt;=0.3,E55&lt;=-0.3),"超过30%","")</f>
        <v/>
      </c>
      <c r="G55" s="434">
        <f>IF(G48&lt;I48,I48/G48-1,G48/I48-1)</f>
        <v>0.11909804410115865</v>
      </c>
      <c r="H55" s="435" t="str">
        <f>IF(OR(G55&gt;=0.3,G55&lt;=-0.3),"超过30%","")</f>
        <v/>
      </c>
      <c r="I55" s="434">
        <f>IF(I48&lt;E48,E48/I48-1,I48/E48-1)</f>
        <v>0.11922262364519742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65" t="s">
        <v>3448</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商务办公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3452</v>
      </c>
      <c r="D66" s="513" t="s">
        <v>3453</v>
      </c>
      <c r="E66" s="513" t="s">
        <v>3454</v>
      </c>
      <c r="F66" s="513" t="s">
        <v>3455</v>
      </c>
      <c r="G66" s="513" t="s">
        <v>3456</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67" t="s">
        <v>3458</v>
      </c>
      <c r="D87" s="3168" t="s">
        <v>3459</v>
      </c>
      <c r="E87" s="3168" t="s">
        <v>3460</v>
      </c>
      <c r="F87" s="3168" t="s">
        <v>3461</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68" t="s">
        <v>3463</v>
      </c>
      <c r="D89" s="3168" t="s">
        <v>3465</v>
      </c>
      <c r="E89" s="3168" t="s">
        <v>3467</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99.5</v>
      </c>
      <c r="E92" s="475">
        <f t="shared" si="22"/>
        <v>99</v>
      </c>
      <c r="F92" s="475">
        <f t="shared" si="22"/>
        <v>98.5</v>
      </c>
      <c r="G92" s="475">
        <f t="shared" si="22"/>
        <v>98</v>
      </c>
      <c r="H92" s="475">
        <f t="shared" si="22"/>
        <v>97.5</v>
      </c>
      <c r="I92" s="475">
        <f t="shared" si="22"/>
        <v>97</v>
      </c>
      <c r="J92" s="475">
        <f t="shared" si="22"/>
        <v>96.5</v>
      </c>
      <c r="K92" s="475">
        <f t="shared" si="22"/>
        <v>96</v>
      </c>
      <c r="L92" s="475">
        <f t="shared" si="22"/>
        <v>95.5</v>
      </c>
      <c r="M92" s="475">
        <f t="shared" si="22"/>
        <v>95</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69" t="s">
        <v>3469</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0(含)-60</v>
      </c>
      <c r="D103" s="509" t="str">
        <f t="shared" ref="D103:L103" si="24">D104&amp;"(含)"&amp;"-"&amp;E104</f>
        <v>60(含)-80</v>
      </c>
      <c r="E103" s="509" t="str">
        <f t="shared" si="24"/>
        <v>80(含)-</v>
      </c>
      <c r="F103" s="509" t="str">
        <f t="shared" si="24"/>
        <v>(含)-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60</v>
      </c>
      <c r="E104" s="6">
        <v>80</v>
      </c>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D105-1</f>
        <v>98</v>
      </c>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68" t="s">
        <v>3470</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68" t="s">
        <v>3471</v>
      </c>
      <c r="D108" s="3168" t="s">
        <v>3473</v>
      </c>
      <c r="E108" s="3168" t="s">
        <v>3474</v>
      </c>
      <c r="F108" s="3170" t="s">
        <v>3475</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68" t="s">
        <v>3477</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68" t="s">
        <v>3478</v>
      </c>
      <c r="D117" s="3168" t="s">
        <v>3480</v>
      </c>
      <c r="E117" s="3168" t="s">
        <v>3481</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t="s">
        <v>3482</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68" t="s">
        <v>3471</v>
      </c>
      <c r="D123" s="3168" t="s">
        <v>3473</v>
      </c>
      <c r="E123" s="3168" t="s">
        <v>3474</v>
      </c>
      <c r="F123" s="3170" t="s">
        <v>3475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-150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66.63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66.63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66.63</v>
      </c>
      <c r="E20" s="21">
        <f>'数据-取费表'!B28</f>
        <v>190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8" t="s">
        <v>694</v>
      </c>
      <c r="C6" s="1011">
        <f ca="1">ROUND(F6*F8*F7*(1-F9)/10000,0)</f>
        <v>0</v>
      </c>
      <c r="D6" s="147" t="s">
        <v>2109</v>
      </c>
      <c r="E6" s="294" t="s">
        <v>696</v>
      </c>
      <c r="F6" s="295">
        <f ca="1">INDIRECT("'数据-取费表'!u"&amp;$G$1)</f>
        <v>0</v>
      </c>
      <c r="G6" s="1292"/>
      <c r="H6" s="1006" t="s">
        <v>398</v>
      </c>
      <c r="I6" s="3408" t="s">
        <v>694</v>
      </c>
      <c r="J6" s="293">
        <f ca="1">ROUND(M6*M8*M7*(1-M9)/10000,0)</f>
        <v>0</v>
      </c>
      <c r="K6" s="147" t="s">
        <v>2108</v>
      </c>
      <c r="L6" s="294" t="s">
        <v>696</v>
      </c>
      <c r="M6" s="295">
        <f ca="1">INDIRECT("'数据-取费表'!z"&amp;$G$1)</f>
        <v>0</v>
      </c>
    </row>
    <row r="7" spans="1:37" ht="18" customHeight="1">
      <c r="A7" s="1010"/>
      <c r="B7" s="3409"/>
      <c r="C7" s="1012"/>
      <c r="D7" s="299"/>
      <c r="E7" s="1013" t="s">
        <v>697</v>
      </c>
      <c r="F7" s="295">
        <f ca="1">IF(INDIRECT("'数据-取费表'!ah"&amp;$G$1)="",INDIRECT("'数据-取费表'!k"&amp;$G$1),INDIRECT("'数据-取费表'!ah"&amp;$G$1))</f>
        <v>0</v>
      </c>
      <c r="G7" s="1292"/>
      <c r="H7" s="296"/>
      <c r="I7" s="3409"/>
      <c r="J7" s="298"/>
      <c r="K7" s="299"/>
      <c r="L7" s="294" t="s">
        <v>697</v>
      </c>
      <c r="M7" s="295">
        <f ca="1">F7</f>
        <v>0</v>
      </c>
    </row>
    <row r="8" spans="1:37" ht="18" customHeight="1">
      <c r="A8" s="296"/>
      <c r="B8" s="3409"/>
      <c r="C8" s="298"/>
      <c r="D8" s="299"/>
      <c r="E8" s="294" t="s">
        <v>698</v>
      </c>
      <c r="F8" s="295">
        <f ca="1">INDIRECT("'数据-取费表'!ai"&amp;$G$1)</f>
        <v>0</v>
      </c>
      <c r="G8" s="1292"/>
      <c r="H8" s="296"/>
      <c r="I8" s="3409"/>
      <c r="J8" s="298"/>
      <c r="K8" s="299"/>
      <c r="L8" s="294" t="s">
        <v>698</v>
      </c>
      <c r="M8" s="295">
        <f ca="1">INDIRECT("'数据-取费表'!ai"&amp;$G$1)</f>
        <v>0</v>
      </c>
    </row>
    <row r="9" spans="1:37" ht="18" customHeight="1">
      <c r="A9" s="296"/>
      <c r="B9" s="3410"/>
      <c r="C9" s="298"/>
      <c r="D9" s="299"/>
      <c r="E9" s="294" t="s">
        <v>699</v>
      </c>
      <c r="F9" s="304">
        <f ca="1">INDIRECT("'数据-取费表'!w"&amp;$G$1)</f>
        <v>0</v>
      </c>
      <c r="G9" s="1292"/>
      <c r="H9" s="296"/>
      <c r="I9" s="341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406" t="s">
        <v>837</v>
      </c>
      <c r="L53" s="3407"/>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201</v>
      </c>
      <c r="D1" s="1271" t="s">
        <v>43</v>
      </c>
      <c r="E1" s="1272" t="s">
        <v>678</v>
      </c>
      <c r="F1" s="999">
        <f ca="1">J53</f>
        <v>35.020000000000003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47.0396</v>
      </c>
      <c r="C2" s="1289" t="s">
        <v>879</v>
      </c>
      <c r="D2" s="1375">
        <f ca="1">C40+J29+L46</f>
        <v>470396</v>
      </c>
      <c r="E2" s="1295" t="s">
        <v>880</v>
      </c>
      <c r="F2" s="1296"/>
      <c r="G2" s="2476"/>
      <c r="H2" s="2466"/>
      <c r="I2" s="2466"/>
      <c r="J2" s="2466"/>
      <c r="K2" s="2467"/>
      <c r="L2" s="2466"/>
      <c r="M2" s="2466"/>
    </row>
    <row r="3" spans="1:37" ht="18" customHeight="1" thickBot="1">
      <c r="A3" s="1297" t="s">
        <v>881</v>
      </c>
      <c r="B3" s="1298">
        <f ca="1">IF(ISERROR(D2/F43),0,ROUND(D2/F43,0))</f>
        <v>7060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34603</v>
      </c>
      <c r="D5" s="1273" t="s">
        <v>889</v>
      </c>
      <c r="E5" s="1008"/>
      <c r="F5" s="1009"/>
      <c r="G5" s="1292"/>
      <c r="H5" s="291">
        <v>1</v>
      </c>
      <c r="I5" s="292" t="s">
        <v>888</v>
      </c>
      <c r="J5" s="1007">
        <f ca="1">J6+J10+J12</f>
        <v>0</v>
      </c>
      <c r="K5" s="1273" t="s">
        <v>889</v>
      </c>
      <c r="L5" s="1008"/>
      <c r="M5" s="1009"/>
    </row>
    <row r="6" spans="1:37" ht="18" customHeight="1">
      <c r="A6" s="1006" t="s">
        <v>398</v>
      </c>
      <c r="B6" s="3408" t="s">
        <v>694</v>
      </c>
      <c r="C6" s="1011">
        <f ca="1">ROUND(F6*F8*F7*(1-F9),0)</f>
        <v>34560</v>
      </c>
      <c r="D6" s="147" t="s">
        <v>2106</v>
      </c>
      <c r="E6" s="294" t="s">
        <v>696</v>
      </c>
      <c r="F6" s="295">
        <f ca="1">INDIRECT("'数据-取费表'!u"&amp;$G$1)</f>
        <v>3200</v>
      </c>
      <c r="G6" s="1292"/>
      <c r="H6" s="1006" t="s">
        <v>398</v>
      </c>
      <c r="I6" s="3408" t="s">
        <v>694</v>
      </c>
      <c r="J6" s="293">
        <f ca="1">ROUND(M6*M8*M7*(1-M9),0)</f>
        <v>0</v>
      </c>
      <c r="K6" s="1284" t="s">
        <v>2107</v>
      </c>
      <c r="L6" s="294" t="s">
        <v>696</v>
      </c>
      <c r="M6" s="295">
        <f ca="1">INDIRECT("'数据-取费表'!z"&amp;$G$1)</f>
        <v>0</v>
      </c>
    </row>
    <row r="7" spans="1:37" ht="18" customHeight="1">
      <c r="A7" s="1010"/>
      <c r="B7" s="3409"/>
      <c r="C7" s="1012"/>
      <c r="D7" s="299"/>
      <c r="E7" s="1013" t="s">
        <v>697</v>
      </c>
      <c r="F7" s="295">
        <f ca="1">IF(INDIRECT("'数据-取费表'!ah"&amp;$G$1)="",INDIRECT("'数据-取费表'!k"&amp;$G$1),INDIRECT("'数据-取费表'!ah"&amp;$G$1))</f>
        <v>1</v>
      </c>
      <c r="G7" s="1292"/>
      <c r="H7" s="296"/>
      <c r="I7" s="3409"/>
      <c r="J7" s="298"/>
      <c r="K7" s="299"/>
      <c r="L7" s="294" t="s">
        <v>697</v>
      </c>
      <c r="M7" s="295">
        <f ca="1">F7</f>
        <v>1</v>
      </c>
    </row>
    <row r="8" spans="1:37" ht="18" customHeight="1">
      <c r="A8" s="296"/>
      <c r="B8" s="3409"/>
      <c r="C8" s="298"/>
      <c r="D8" s="299"/>
      <c r="E8" s="294" t="s">
        <v>698</v>
      </c>
      <c r="F8" s="295">
        <f ca="1">INDIRECT("'数据-取费表'!ai"&amp;$G$1)</f>
        <v>12</v>
      </c>
      <c r="G8" s="1292"/>
      <c r="H8" s="296"/>
      <c r="I8" s="3409"/>
      <c r="J8" s="298"/>
      <c r="K8" s="299"/>
      <c r="L8" s="294" t="s">
        <v>698</v>
      </c>
      <c r="M8" s="295">
        <f ca="1">INDIRECT("'数据-取费表'!ai"&amp;$G$1)</f>
        <v>12</v>
      </c>
    </row>
    <row r="9" spans="1:37" ht="18" customHeight="1">
      <c r="A9" s="296"/>
      <c r="B9" s="3410"/>
      <c r="C9" s="298"/>
      <c r="D9" s="299"/>
      <c r="E9" s="294" t="s">
        <v>699</v>
      </c>
      <c r="F9" s="304">
        <f ca="1">INDIRECT("'数据-取费表'!w"&amp;$G$1)</f>
        <v>0.1</v>
      </c>
      <c r="G9" s="1292"/>
      <c r="H9" s="296"/>
      <c r="I9" s="3410"/>
      <c r="J9" s="298"/>
      <c r="K9" s="299"/>
      <c r="L9" s="305" t="s">
        <v>699</v>
      </c>
      <c r="M9" s="306">
        <f ca="1">INDIRECT("'数据-取费表'!ab"&amp;$G$1)</f>
        <v>0</v>
      </c>
    </row>
    <row r="10" spans="1:37" ht="18" customHeight="1">
      <c r="A10" s="1006" t="s">
        <v>402</v>
      </c>
      <c r="B10" s="1274" t="s">
        <v>700</v>
      </c>
      <c r="C10" s="308">
        <f ca="1">ROUND(IF(F10="押一",C6/12*F11,IF(F10="押二",C6/12*2*F11,IF(F10="押三",C6/12*3*F11,C11*F11))),0)</f>
        <v>43</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291036</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233205</v>
      </c>
      <c r="D14" s="1257" t="s">
        <v>708</v>
      </c>
      <c r="E14" s="1255"/>
      <c r="F14" s="311"/>
      <c r="G14" s="1292"/>
      <c r="H14" s="928" t="s">
        <v>398</v>
      </c>
      <c r="I14" s="294" t="s">
        <v>709</v>
      </c>
      <c r="J14" s="21">
        <f ca="1">C29</f>
        <v>342395</v>
      </c>
      <c r="K14" s="12"/>
      <c r="L14" s="759"/>
      <c r="M14" s="760"/>
    </row>
    <row r="15" spans="1:37" s="1304" customFormat="1" ht="18" customHeight="1" thickBot="1">
      <c r="A15" s="928" t="s">
        <v>399</v>
      </c>
      <c r="B15" s="294" t="s">
        <v>710</v>
      </c>
      <c r="C15" s="21">
        <f ca="1">ROUND(C14*F15,0)</f>
        <v>11660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3424</v>
      </c>
      <c r="K16" s="1024" t="s">
        <v>715</v>
      </c>
      <c r="L16" s="1025"/>
      <c r="M16" s="1009"/>
    </row>
    <row r="17" spans="1:37" s="1304" customFormat="1" ht="18" customHeight="1">
      <c r="A17" s="928" t="s">
        <v>681</v>
      </c>
      <c r="B17" s="294" t="s">
        <v>716</v>
      </c>
      <c r="C17" s="21">
        <f ca="1">ROUND(F17*(F43+INDIRECT("'数据-取费表'!S"&amp;$G$1)),0)</f>
        <v>13326</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4664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262855</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5257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3424</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8044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-3424</v>
      </c>
      <c r="K25" s="1032" t="s">
        <v>753</v>
      </c>
      <c r="L25" s="1033"/>
      <c r="M25" s="1034"/>
    </row>
    <row r="26" spans="1:37" ht="18" customHeight="1">
      <c r="A26" s="928" t="s">
        <v>397</v>
      </c>
      <c r="B26" s="294" t="s">
        <v>754</v>
      </c>
      <c r="C26" s="21">
        <f ca="1">ROUND((C19+C20)*F26,0)</f>
        <v>40217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342395</v>
      </c>
      <c r="D29" s="1029"/>
      <c r="E29" s="1027"/>
      <c r="F29" s="1030"/>
      <c r="G29" s="1303"/>
      <c r="H29" s="325" t="s">
        <v>396</v>
      </c>
      <c r="I29" s="326" t="s">
        <v>768</v>
      </c>
      <c r="J29" s="327">
        <f ca="1">ROUND(J26/(1+F40)^F41,0)</f>
        <v>0</v>
      </c>
      <c r="K29" s="328" t="s">
        <v>769</v>
      </c>
      <c r="L29" s="329"/>
      <c r="M29" s="330">
        <f ca="1">INDIRECT("'数据-取费表'!k"&amp;$G$1)</f>
        <v>66.63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9821</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5760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1810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3950</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3424</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291</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346</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24782</v>
      </c>
      <c r="D39" s="1032" t="s">
        <v>773</v>
      </c>
      <c r="E39" s="1033"/>
      <c r="F39" s="1034"/>
      <c r="G39" s="1292"/>
      <c r="H39" s="2471"/>
      <c r="I39" s="1305"/>
      <c r="J39" s="1306"/>
      <c r="K39" s="2469"/>
      <c r="L39" s="2471"/>
      <c r="M39" s="2471"/>
    </row>
    <row r="40" spans="1:18" ht="18" customHeight="1">
      <c r="A40" s="291" t="s">
        <v>395</v>
      </c>
      <c r="B40" s="292" t="s">
        <v>774</v>
      </c>
      <c r="C40" s="293">
        <f ca="1">ROUND(C39*(1-((1+F42)/(1+F40))^F41)/(F40-F42),0)</f>
        <v>459515</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35.020000000000003</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6897</v>
      </c>
      <c r="D43" s="328" t="s">
        <v>777</v>
      </c>
      <c r="E43" s="329" t="s">
        <v>778</v>
      </c>
      <c r="F43" s="330">
        <f ca="1">INDIRECT("'数据-取费表'!k"&amp;$G$1)</f>
        <v>66.63</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-51.670200000000001</v>
      </c>
      <c r="D45" s="3128" t="s">
        <v>3352</v>
      </c>
      <c r="E45" s="1307"/>
      <c r="F45" s="1307"/>
      <c r="O45" s="1310" t="s">
        <v>808</v>
      </c>
      <c r="P45" s="1366"/>
      <c r="Q45" s="1366"/>
      <c r="R45" s="1366"/>
    </row>
    <row r="46" spans="1:18" s="1292" customFormat="1" ht="13.8" thickBot="1">
      <c r="A46" s="1311" t="s">
        <v>809</v>
      </c>
      <c r="C46" s="1312">
        <f ca="1">ROUND(C45,0)</f>
        <v>-52</v>
      </c>
      <c r="D46" s="1313" t="str">
        <f>C2</f>
        <v>万元</v>
      </c>
      <c r="I46" s="1314" t="s">
        <v>810</v>
      </c>
      <c r="J46" s="1315"/>
      <c r="K46" s="1316"/>
      <c r="L46" s="1317">
        <f ca="1">IF(M47="住宅",0,IF(L48&gt;J51,L60,J60))</f>
        <v>10881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3427</v>
      </c>
      <c r="K47" s="1323" t="s">
        <v>816</v>
      </c>
      <c r="L47" s="1324">
        <f ca="1">INDIRECT("'数据-取费表'!d"&amp;$G$1)</f>
        <v>50</v>
      </c>
      <c r="M47" s="1288" t="str">
        <f>IF(ISNUMBER(FIND("住宅",C1)),"住宅","非住宅")</f>
        <v>非住宅</v>
      </c>
      <c r="O47" s="1325" t="s">
        <v>403</v>
      </c>
      <c r="P47" s="1326" t="s">
        <v>817</v>
      </c>
      <c r="Q47" s="1327">
        <f ca="1">C40+J29</f>
        <v>459515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3434</v>
      </c>
      <c r="K48" s="1330" t="s">
        <v>820</v>
      </c>
      <c r="L48" s="1331">
        <f ca="1">INDIRECT("'数据-取费表'!f"&amp;$G$1)</f>
        <v>35.020000000000003</v>
      </c>
      <c r="O48" s="1325" t="s">
        <v>404</v>
      </c>
      <c r="P48" s="1326" t="s">
        <v>821</v>
      </c>
      <c r="Q48" s="1327">
        <f ca="1">J60</f>
        <v>10881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2016</v>
      </c>
      <c r="K49" s="1330" t="s">
        <v>824</v>
      </c>
      <c r="L49" s="1333"/>
      <c r="O49" s="1334" t="s">
        <v>405</v>
      </c>
      <c r="P49" s="1326" t="s">
        <v>825</v>
      </c>
      <c r="Q49" s="1327">
        <f ca="1">C29</f>
        <v>342395</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51</v>
      </c>
      <c r="K51" s="1339" t="s">
        <v>830</v>
      </c>
      <c r="L51" s="1340">
        <f ca="1">ROUND(-PV(INDIRECT("'数据-取费表'!h"&amp;$G$1),J51,(C39-C13*C76),0),0)</f>
        <v>80865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35.020000000000003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35.020000000000003</v>
      </c>
      <c r="K53" s="3406" t="s">
        <v>837</v>
      </c>
      <c r="L53" s="3407"/>
      <c r="O53" s="1325" t="s">
        <v>409</v>
      </c>
      <c r="P53" s="1326" t="s">
        <v>838</v>
      </c>
      <c r="Q53" s="1327">
        <f ca="1">Q47+Q48</f>
        <v>470396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0.26600000000000001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291036</v>
      </c>
      <c r="D56" s="1352"/>
      <c r="E56" s="1353"/>
      <c r="F56" s="1345"/>
      <c r="I56" s="1354" t="s">
        <v>842</v>
      </c>
      <c r="J56" s="1355" t="s">
        <v>3417</v>
      </c>
      <c r="K56" s="1328" t="s">
        <v>843</v>
      </c>
      <c r="L56" s="1331" t="str">
        <f ca="1">IF(L48&lt;J51,"——",L48-J51)</f>
        <v>——</v>
      </c>
      <c r="O56" s="1325" t="s">
        <v>403</v>
      </c>
      <c r="P56" s="1326" t="s">
        <v>817</v>
      </c>
      <c r="Q56" s="1327">
        <f ca="1">C40+J29</f>
        <v>459515</v>
      </c>
      <c r="R56" s="1327" t="s">
        <v>818</v>
      </c>
    </row>
    <row r="57" spans="1:18" s="1292" customFormat="1" ht="24.6" thickBot="1">
      <c r="A57" s="1356"/>
      <c r="B57" s="896" t="s">
        <v>767</v>
      </c>
      <c r="C57" s="230">
        <f ca="1">C29</f>
        <v>342395</v>
      </c>
      <c r="D57" s="1357"/>
      <c r="E57" s="1358"/>
      <c r="F57" s="1359"/>
      <c r="I57" s="1360" t="s">
        <v>844</v>
      </c>
      <c r="J57" s="1361">
        <f ca="1">IF(OR(M47="住宅",J51&lt;L48,J56="是"),"——",J51-L48)</f>
        <v>15.979999999999997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3715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136958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10881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459515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3424</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291</v>
      </c>
      <c r="D65" s="910" t="s">
        <v>743</v>
      </c>
      <c r="E65" s="896" t="s">
        <v>744</v>
      </c>
      <c r="F65" s="321">
        <f t="shared" ca="1" si="0"/>
        <v>1E-3</v>
      </c>
      <c r="I65" s="1367" t="s">
        <v>867</v>
      </c>
      <c r="J65" s="610">
        <v>40</v>
      </c>
      <c r="K65" s="610">
        <v>30</v>
      </c>
      <c r="L65" s="610">
        <v>50</v>
      </c>
      <c r="M65" s="1369">
        <v>0.02</v>
      </c>
      <c r="O65" s="1325" t="s">
        <v>403</v>
      </c>
      <c r="P65" s="1326" t="s">
        <v>868</v>
      </c>
      <c r="Q65" s="1327">
        <f ca="1">C40+J29</f>
        <v>459515</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-3715</v>
      </c>
      <c r="D67" s="909" t="s">
        <v>753</v>
      </c>
      <c r="E67" s="914"/>
      <c r="F67" s="915"/>
      <c r="O67" s="1334" t="s">
        <v>405</v>
      </c>
      <c r="P67" s="1326" t="s">
        <v>850</v>
      </c>
      <c r="Q67" s="1370">
        <f ca="1">L51</f>
        <v>80865</v>
      </c>
      <c r="R67" s="1327" t="s">
        <v>870</v>
      </c>
    </row>
    <row r="68" spans="1:18" s="1292" customFormat="1" ht="16.2" thickBot="1">
      <c r="A68" s="893" t="s">
        <v>395</v>
      </c>
      <c r="B68" s="894" t="s">
        <v>774</v>
      </c>
      <c r="C68" s="293">
        <f ca="1">ROUND(C67*(1-((1+F70)/(1+F68))^F69)/(F68-F70),0)</f>
        <v>-57187</v>
      </c>
      <c r="D68" s="911" t="s">
        <v>758</v>
      </c>
      <c r="E68" s="896" t="s">
        <v>759</v>
      </c>
      <c r="F68" s="304">
        <f ca="1">F40</f>
        <v>5.5E-2</v>
      </c>
      <c r="O68" s="1334" t="s">
        <v>406</v>
      </c>
      <c r="P68" s="1371" t="s">
        <v>871</v>
      </c>
      <c r="Q68" s="1327">
        <f ca="1">ROUND(Q69-Q70*Q71,0)</f>
        <v>4409</v>
      </c>
      <c r="R68" s="1327" t="s">
        <v>414</v>
      </c>
    </row>
    <row r="69" spans="1:18" s="1292" customFormat="1" ht="13.8" thickBot="1">
      <c r="A69" s="897"/>
      <c r="B69" s="898"/>
      <c r="C69" s="298"/>
      <c r="D69" s="916" t="s">
        <v>762</v>
      </c>
      <c r="E69" s="896" t="s">
        <v>763</v>
      </c>
      <c r="F69" s="324">
        <f ca="1">F41</f>
        <v>35.020000000000003</v>
      </c>
      <c r="O69" s="1334" t="s">
        <v>411</v>
      </c>
      <c r="P69" s="1371" t="s">
        <v>872</v>
      </c>
      <c r="Q69" s="1327">
        <f ca="1">C39</f>
        <v>24782</v>
      </c>
      <c r="R69" s="1327" t="s">
        <v>818</v>
      </c>
    </row>
    <row r="70" spans="1:18" s="1292" customFormat="1" ht="13.8" thickBot="1">
      <c r="A70" s="900"/>
      <c r="B70" s="901"/>
      <c r="C70" s="302"/>
      <c r="D70" s="912"/>
      <c r="E70" s="896" t="s">
        <v>766</v>
      </c>
      <c r="F70" s="991"/>
      <c r="O70" s="1334" t="s">
        <v>412</v>
      </c>
      <c r="P70" s="1371" t="s">
        <v>873</v>
      </c>
      <c r="Q70" s="1327">
        <f ca="1">C13</f>
        <v>291036</v>
      </c>
      <c r="R70" s="1327" t="s">
        <v>818</v>
      </c>
    </row>
    <row r="71" spans="1:18" s="1292" customFormat="1" ht="13.8" thickBot="1">
      <c r="A71" s="917" t="s">
        <v>396</v>
      </c>
      <c r="B71" s="918" t="s">
        <v>776</v>
      </c>
      <c r="C71" s="327">
        <f ca="1">ROUND(C68/F71,0)</f>
        <v>-858</v>
      </c>
      <c r="D71" s="919" t="s">
        <v>777</v>
      </c>
      <c r="E71" s="920" t="s">
        <v>778</v>
      </c>
      <c r="F71" s="330">
        <f ca="1">F43</f>
        <v>66.63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20373</v>
      </c>
      <c r="D75" s="1292"/>
      <c r="E75" s="1292"/>
      <c r="F75" s="1292"/>
      <c r="K75" s="1309"/>
      <c r="L75" s="1292"/>
      <c r="O75" s="1325" t="s">
        <v>409</v>
      </c>
      <c r="P75" s="1326" t="s">
        <v>838</v>
      </c>
      <c r="Q75" s="1327">
        <f ca="1">Q65+Q66</f>
        <v>459515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0.17800000000000005</v>
      </c>
    </row>
    <row r="80" spans="1:18">
      <c r="B80" s="331" t="s">
        <v>800</v>
      </c>
      <c r="C80" s="266">
        <f ca="1">ROUND(C75/C39,3)</f>
        <v>0.82199999999999995</v>
      </c>
    </row>
    <row r="81" spans="2:3">
      <c r="B81" s="262" t="s">
        <v>801</v>
      </c>
      <c r="C81" s="230"/>
    </row>
    <row r="82" spans="2:3">
      <c r="B82" s="265" t="s">
        <v>802</v>
      </c>
      <c r="C82" s="267">
        <f ca="1">1-C83</f>
        <v>0.36699999999999999</v>
      </c>
    </row>
    <row r="83" spans="2:3">
      <c r="B83" s="265" t="s">
        <v>803</v>
      </c>
      <c r="C83" s="266">
        <f ca="1">ROUND(C13/C40,3)</f>
        <v>0.63300000000000001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3358</v>
      </c>
      <c r="E2" s="3137"/>
      <c r="F2" s="2595"/>
      <c r="G2" s="2596"/>
      <c r="H2" s="2597"/>
      <c r="I2" s="2598"/>
      <c r="J2" s="3417" t="s">
        <v>2317</v>
      </c>
      <c r="K2" s="3418"/>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19" t="s">
        <v>2327</v>
      </c>
      <c r="K3" s="3420"/>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19" t="s">
        <v>2329</v>
      </c>
      <c r="K4" s="3420"/>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25" t="s">
        <v>2333</v>
      </c>
      <c r="B6" s="3426"/>
      <c r="C6" s="3427"/>
      <c r="D6" s="2619"/>
      <c r="E6" s="2620"/>
      <c r="F6" s="2621"/>
      <c r="G6" s="2622"/>
      <c r="H6" s="2597"/>
      <c r="I6" s="2598"/>
      <c r="J6" s="3411">
        <v>1</v>
      </c>
      <c r="K6" s="3412"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11"/>
      <c r="K7" s="3413"/>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28" t="s">
        <v>2347</v>
      </c>
      <c r="C8" s="3429"/>
      <c r="D8" s="2638" t="s">
        <v>2348</v>
      </c>
      <c r="E8" s="2639" t="s">
        <v>2349</v>
      </c>
      <c r="F8" s="2640" t="s">
        <v>2350</v>
      </c>
      <c r="G8" s="2641"/>
      <c r="H8" s="2597"/>
      <c r="I8" s="2598"/>
      <c r="J8" s="3411"/>
      <c r="K8" s="3413"/>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28" t="s">
        <v>2353</v>
      </c>
      <c r="C9" s="3429"/>
      <c r="D9" s="2638">
        <f>ROUND(D6*E9,0)</f>
        <v>0</v>
      </c>
      <c r="E9" s="2642"/>
      <c r="F9" s="2643" t="s">
        <v>2354</v>
      </c>
      <c r="G9" s="2622"/>
      <c r="H9" s="2597"/>
      <c r="I9" s="2598"/>
      <c r="J9" s="3411"/>
      <c r="K9" s="3413"/>
      <c r="L9" s="2632" t="s">
        <v>2355</v>
      </c>
      <c r="M9" s="2633"/>
      <c r="N9" s="2609"/>
      <c r="O9" s="2634"/>
      <c r="P9" s="2634"/>
      <c r="Q9" s="2635">
        <v>365</v>
      </c>
      <c r="R9" s="2636">
        <f t="shared" si="0"/>
        <v>0</v>
      </c>
      <c r="S9" s="2590"/>
      <c r="T9" s="2590"/>
      <c r="U9" s="2590"/>
      <c r="V9" s="2598"/>
    </row>
    <row r="10" spans="1:22" s="2602" customFormat="1" ht="13.2" customHeight="1">
      <c r="A10" s="2637">
        <v>2</v>
      </c>
      <c r="B10" s="3428" t="s">
        <v>2356</v>
      </c>
      <c r="C10" s="3429"/>
      <c r="D10" s="2638">
        <f>ROUND(D6*E10,0)</f>
        <v>0</v>
      </c>
      <c r="E10" s="2642"/>
      <c r="F10" s="2643" t="s">
        <v>2357</v>
      </c>
      <c r="G10" s="2622"/>
      <c r="H10" s="2597"/>
      <c r="I10" s="2598"/>
      <c r="J10" s="3411"/>
      <c r="K10" s="3413"/>
      <c r="L10" s="2632" t="s">
        <v>2358</v>
      </c>
      <c r="M10" s="2633"/>
      <c r="N10" s="2609"/>
      <c r="O10" s="2634"/>
      <c r="P10" s="2634"/>
      <c r="Q10" s="2635">
        <v>365</v>
      </c>
      <c r="R10" s="2636">
        <f t="shared" si="0"/>
        <v>0</v>
      </c>
      <c r="S10" s="2590"/>
      <c r="T10" s="2590"/>
      <c r="U10" s="2590"/>
      <c r="V10" s="2598"/>
    </row>
    <row r="11" spans="1:22" s="2602" customFormat="1" ht="13.2" customHeight="1">
      <c r="A11" s="2637">
        <v>3</v>
      </c>
      <c r="B11" s="3428" t="s">
        <v>2359</v>
      </c>
      <c r="C11" s="3429"/>
      <c r="D11" s="2638">
        <f>D12+D14+D15+D16</f>
        <v>0</v>
      </c>
      <c r="E11" s="2644" t="e">
        <f>D11/D6</f>
        <v>#DIV/0!</v>
      </c>
      <c r="F11" s="2640"/>
      <c r="G11" s="2641"/>
      <c r="H11" s="2597"/>
      <c r="I11" s="2598"/>
      <c r="J11" s="3411"/>
      <c r="K11" s="3413"/>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21" t="s">
        <v>2362</v>
      </c>
      <c r="C12" s="3422"/>
      <c r="D12" s="2646">
        <f>ROUND(D13*1.2%*(1-30%),0)</f>
        <v>0</v>
      </c>
      <c r="E12" s="2647">
        <v>1.2E-2</v>
      </c>
      <c r="F12" s="2640" t="s">
        <v>2363</v>
      </c>
      <c r="G12" s="2641"/>
      <c r="H12" s="2597"/>
      <c r="I12" s="2598"/>
      <c r="J12" s="3411"/>
      <c r="K12" s="3413"/>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11"/>
      <c r="K13" s="3413"/>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21" t="s">
        <v>2368</v>
      </c>
      <c r="C14" s="3422"/>
      <c r="D14" s="2646">
        <f>ROUND(E14*B5/10000,0)</f>
        <v>0</v>
      </c>
      <c r="E14" s="2635"/>
      <c r="F14" s="2640" t="s">
        <v>2369</v>
      </c>
      <c r="G14" s="2641"/>
      <c r="H14" s="2597"/>
      <c r="I14" s="2598"/>
      <c r="J14" s="3411"/>
      <c r="K14" s="3414"/>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21" t="s">
        <v>2372</v>
      </c>
      <c r="C15" s="3422"/>
      <c r="D15" s="2646">
        <f>ROUND(D6*E15,0)</f>
        <v>0</v>
      </c>
      <c r="E15" s="2647">
        <v>5.5E-2</v>
      </c>
      <c r="F15" s="2640" t="s">
        <v>2373</v>
      </c>
      <c r="G15" s="2622"/>
      <c r="H15" s="2597"/>
      <c r="I15" s="2598"/>
      <c r="J15" s="3411">
        <v>2</v>
      </c>
      <c r="K15" s="3412"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21" t="s">
        <v>2381</v>
      </c>
      <c r="C16" s="3422"/>
      <c r="D16" s="2657">
        <f>D6*E16</f>
        <v>0</v>
      </c>
      <c r="E16" s="2658"/>
      <c r="F16" s="2643" t="s">
        <v>2382</v>
      </c>
      <c r="G16" s="2622"/>
      <c r="H16" s="2597"/>
      <c r="I16" s="2598"/>
      <c r="J16" s="3411"/>
      <c r="K16" s="3413"/>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23" t="s">
        <v>2384</v>
      </c>
      <c r="C17" s="3424"/>
      <c r="D17" s="2660">
        <f>ROUND(D6*E17,0)</f>
        <v>0</v>
      </c>
      <c r="E17" s="2661"/>
      <c r="F17" s="2662" t="s">
        <v>2385</v>
      </c>
      <c r="G17" s="2622"/>
      <c r="H17" s="2597"/>
      <c r="I17" s="2598"/>
      <c r="J17" s="3411"/>
      <c r="K17" s="3413"/>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11"/>
      <c r="K18" s="3413"/>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11"/>
      <c r="K19" s="3414"/>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1">
        <v>3</v>
      </c>
      <c r="K20" s="3412"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11"/>
      <c r="K21" s="3413"/>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11"/>
      <c r="K22" s="3413"/>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11"/>
      <c r="K23" s="3413"/>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11"/>
      <c r="K24" s="3414"/>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15">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16"/>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17" t="s">
        <v>2317</v>
      </c>
      <c r="K32" s="3418"/>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19" t="s">
        <v>2327</v>
      </c>
      <c r="K33" s="3420"/>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19" t="s">
        <v>2329</v>
      </c>
      <c r="K34" s="3420"/>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11">
        <v>1</v>
      </c>
      <c r="K36" s="3412"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11"/>
      <c r="K37" s="3413"/>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1"/>
      <c r="K38" s="3413"/>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11"/>
      <c r="K39" s="3413"/>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11"/>
      <c r="K40" s="3414"/>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15">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16"/>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47.0396</v>
      </c>
      <c r="C2" s="1729" t="s">
        <v>1651</v>
      </c>
      <c r="D2" s="1730" t="s">
        <v>1652</v>
      </c>
      <c r="E2" s="2391">
        <f>SUM(E6:E13)</f>
        <v>66.63</v>
      </c>
      <c r="F2" s="2477"/>
      <c r="G2" s="459"/>
      <c r="H2" s="459"/>
      <c r="I2" s="459"/>
      <c r="J2" s="459"/>
      <c r="K2" s="459"/>
      <c r="L2" s="459"/>
      <c r="M2" s="459"/>
      <c r="N2" s="459"/>
      <c r="O2" s="459"/>
      <c r="P2" s="459"/>
      <c r="Q2" s="459"/>
      <c r="R2" s="459"/>
      <c r="S2" s="459"/>
    </row>
    <row r="3" spans="1:22" ht="15.6">
      <c r="A3" s="1728" t="s">
        <v>686</v>
      </c>
      <c r="B3" s="2385">
        <f ca="1">ROUND(B2*10000/E2,0)</f>
        <v>7060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0" t="s">
        <v>1654</v>
      </c>
      <c r="C5" s="3431"/>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47.0396</v>
      </c>
      <c r="C6" s="1729" t="s">
        <v>1651</v>
      </c>
      <c r="D6" s="2477"/>
      <c r="E6" s="2390">
        <f>IF(OR(A6=0,F6="否"),0,'数据-取费表'!K6+'数据-取费表'!S6)</f>
        <v>66.63</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66.63</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76" t="s">
        <v>1667</v>
      </c>
      <c r="D4" s="3377"/>
      <c r="E4" s="3378" t="s">
        <v>1668</v>
      </c>
      <c r="F4" s="3379"/>
      <c r="G4" s="3376" t="s">
        <v>1669</v>
      </c>
      <c r="H4" s="3377"/>
      <c r="I4" s="3376" t="s">
        <v>1670</v>
      </c>
      <c r="J4" s="3377"/>
      <c r="K4" s="1744" t="s">
        <v>1671</v>
      </c>
      <c r="L4" s="2484"/>
      <c r="M4" s="2485"/>
      <c r="N4" s="2485"/>
      <c r="O4" s="2485"/>
      <c r="P4" s="3436" t="s">
        <v>1672</v>
      </c>
      <c r="Q4" s="3437"/>
      <c r="R4" s="3440" t="s">
        <v>1668</v>
      </c>
      <c r="S4" s="3441"/>
      <c r="T4" s="3440" t="s">
        <v>1669</v>
      </c>
      <c r="U4" s="3441"/>
      <c r="V4" s="3360" t="s">
        <v>1670</v>
      </c>
      <c r="W4" s="3360"/>
      <c r="X4" s="1265"/>
      <c r="Y4" s="3440" t="s">
        <v>1672</v>
      </c>
      <c r="Z4" s="3441"/>
      <c r="AA4" s="3435" t="s">
        <v>1668</v>
      </c>
      <c r="AB4" s="3435" t="s">
        <v>1669</v>
      </c>
      <c r="AC4" s="3435" t="s">
        <v>1670</v>
      </c>
    </row>
    <row r="5" spans="1:29">
      <c r="A5" s="348"/>
      <c r="B5" s="349"/>
      <c r="C5" s="3442" t="s">
        <v>1673</v>
      </c>
      <c r="D5" s="3396"/>
      <c r="E5" s="3443" t="s">
        <v>1674</v>
      </c>
      <c r="F5" s="3444"/>
      <c r="G5" s="3442" t="s">
        <v>1675</v>
      </c>
      <c r="H5" s="3396"/>
      <c r="I5" s="3442" t="s">
        <v>1676</v>
      </c>
      <c r="J5" s="3396"/>
      <c r="K5" s="1745"/>
      <c r="L5" s="2484"/>
      <c r="M5" s="2485"/>
      <c r="N5" s="2485"/>
      <c r="O5" s="2485"/>
      <c r="P5" s="3438"/>
      <c r="Q5" s="3383"/>
      <c r="R5" s="3388"/>
      <c r="S5" s="3389"/>
      <c r="T5" s="3388"/>
      <c r="U5" s="3389"/>
      <c r="V5" s="3360"/>
      <c r="W5" s="3360"/>
      <c r="X5" s="1265"/>
      <c r="Y5" s="3388"/>
      <c r="Z5" s="3389"/>
      <c r="AA5" s="3404"/>
      <c r="AB5" s="3404"/>
      <c r="AC5" s="3404"/>
    </row>
    <row r="6" spans="1:29" ht="15" thickBot="1">
      <c r="A6" s="350"/>
      <c r="B6" s="351"/>
      <c r="C6" s="3393" t="s">
        <v>1677</v>
      </c>
      <c r="D6" s="3394"/>
      <c r="E6" s="3401" t="s">
        <v>1677</v>
      </c>
      <c r="F6" s="3402"/>
      <c r="G6" s="3393" t="s">
        <v>1677</v>
      </c>
      <c r="H6" s="3394"/>
      <c r="I6" s="3393" t="s">
        <v>1677</v>
      </c>
      <c r="J6" s="3394"/>
      <c r="K6" s="1745" t="s">
        <v>1678</v>
      </c>
      <c r="L6" s="2484"/>
      <c r="M6" s="2485"/>
      <c r="N6" s="2485"/>
      <c r="O6" s="2485"/>
      <c r="P6" s="3439"/>
      <c r="Q6" s="3385"/>
      <c r="R6" s="3388"/>
      <c r="S6" s="3389"/>
      <c r="T6" s="3390"/>
      <c r="U6" s="3391"/>
      <c r="V6" s="3360"/>
      <c r="W6" s="3360"/>
      <c r="X6" s="1265"/>
      <c r="Y6" s="3390"/>
      <c r="Z6" s="3391"/>
      <c r="AA6" s="3405"/>
      <c r="AB6" s="3405"/>
      <c r="AC6" s="3405"/>
    </row>
    <row r="7" spans="1:29" s="102" customFormat="1" ht="15" thickBot="1">
      <c r="A7" s="352" t="s">
        <v>1679</v>
      </c>
      <c r="B7" s="353"/>
      <c r="C7" s="354">
        <f>'数据-取费表'!B2</f>
        <v>45814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99" t="s">
        <v>1680</v>
      </c>
      <c r="Q7" s="3400"/>
      <c r="R7" s="664" t="s">
        <v>20</v>
      </c>
      <c r="S7" s="665">
        <f t="shared" ref="S7:S15" si="0">F7</f>
        <v>0</v>
      </c>
      <c r="T7" s="664" t="s">
        <v>20</v>
      </c>
      <c r="U7" s="665">
        <f t="shared" ref="U7:U15" si="1">H7</f>
        <v>0</v>
      </c>
      <c r="V7" s="664" t="s">
        <v>20</v>
      </c>
      <c r="W7" s="665">
        <f t="shared" ref="W7:W15" si="2">J7</f>
        <v>0</v>
      </c>
      <c r="X7" s="666"/>
      <c r="Y7" s="3399" t="s">
        <v>1680</v>
      </c>
      <c r="Z7" s="339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99" t="s">
        <v>1683</v>
      </c>
      <c r="Q8" s="3398"/>
      <c r="R8" s="664" t="s">
        <v>20</v>
      </c>
      <c r="S8" s="665">
        <f t="shared" si="0"/>
        <v>100</v>
      </c>
      <c r="T8" s="664" t="s">
        <v>20</v>
      </c>
      <c r="U8" s="665">
        <f t="shared" si="1"/>
        <v>100</v>
      </c>
      <c r="V8" s="664" t="s">
        <v>20</v>
      </c>
      <c r="W8" s="665">
        <f t="shared" si="2"/>
        <v>100</v>
      </c>
      <c r="X8" s="666"/>
      <c r="Y8" s="3399" t="s">
        <v>1683</v>
      </c>
      <c r="Z8" s="339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5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5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58"/>
      <c r="Q11" s="530" t="str">
        <f t="shared" si="6"/>
        <v>容积率</v>
      </c>
      <c r="R11" s="664" t="s">
        <v>18</v>
      </c>
      <c r="S11" s="665" t="e">
        <f t="shared" si="0"/>
        <v>#N/A</v>
      </c>
      <c r="T11" s="664" t="s">
        <v>18</v>
      </c>
      <c r="U11" s="665" t="e">
        <f t="shared" si="1"/>
        <v>#N/A</v>
      </c>
      <c r="V11" s="664" t="s">
        <v>18</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58"/>
      <c r="Q12" s="530">
        <f t="shared" si="6"/>
        <v>111</v>
      </c>
      <c r="R12" s="664" t="s">
        <v>18</v>
      </c>
      <c r="S12" s="665">
        <f t="shared" si="0"/>
        <v>100</v>
      </c>
      <c r="T12" s="664" t="s">
        <v>18</v>
      </c>
      <c r="U12" s="665">
        <f t="shared" si="1"/>
        <v>100</v>
      </c>
      <c r="V12" s="664" t="s">
        <v>18</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58"/>
      <c r="Q13" s="530">
        <f t="shared" si="6"/>
        <v>111</v>
      </c>
      <c r="R13" s="664" t="s">
        <v>18</v>
      </c>
      <c r="S13" s="665">
        <f t="shared" si="0"/>
        <v>100</v>
      </c>
      <c r="T13" s="664" t="s">
        <v>18</v>
      </c>
      <c r="U13" s="665">
        <f t="shared" si="1"/>
        <v>100</v>
      </c>
      <c r="V13" s="664" t="s">
        <v>18</v>
      </c>
      <c r="W13" s="665">
        <f t="shared" si="2"/>
        <v>100</v>
      </c>
      <c r="X13" s="666"/>
      <c r="Y13" s="326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58"/>
      <c r="Q14" s="530">
        <f t="shared" si="6"/>
        <v>111</v>
      </c>
      <c r="R14" s="664" t="s">
        <v>18</v>
      </c>
      <c r="S14" s="665">
        <f t="shared" si="0"/>
        <v>100</v>
      </c>
      <c r="T14" s="664" t="s">
        <v>18</v>
      </c>
      <c r="U14" s="665">
        <f t="shared" si="1"/>
        <v>100</v>
      </c>
      <c r="V14" s="664" t="s">
        <v>18</v>
      </c>
      <c r="W14" s="665">
        <f t="shared" si="2"/>
        <v>100</v>
      </c>
      <c r="X14" s="666"/>
      <c r="Y14" s="326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64" t="s">
        <v>1691</v>
      </c>
      <c r="Q15" s="1263" t="str">
        <f t="shared" si="6"/>
        <v>居住社区成熟度</v>
      </c>
      <c r="R15" s="667" t="s">
        <v>18</v>
      </c>
      <c r="S15" s="668">
        <f t="shared" si="0"/>
        <v>100</v>
      </c>
      <c r="T15" s="667" t="s">
        <v>18</v>
      </c>
      <c r="U15" s="668">
        <f t="shared" si="1"/>
        <v>100</v>
      </c>
      <c r="V15" s="667" t="s">
        <v>18</v>
      </c>
      <c r="W15" s="668">
        <f t="shared" si="2"/>
        <v>100</v>
      </c>
      <c r="X15" s="1265"/>
      <c r="Y15" s="336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65"/>
      <c r="Q16" s="1263"/>
      <c r="R16" s="667"/>
      <c r="S16" s="668"/>
      <c r="T16" s="667"/>
      <c r="U16" s="668"/>
      <c r="V16" s="667"/>
      <c r="W16" s="668"/>
      <c r="X16" s="1265"/>
      <c r="Y16" s="336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65"/>
      <c r="Q17" s="1263" t="str">
        <f>B17</f>
        <v>交通便捷度</v>
      </c>
      <c r="R17" s="667" t="s">
        <v>18</v>
      </c>
      <c r="S17" s="668">
        <f>F17</f>
        <v>100</v>
      </c>
      <c r="T17" s="667" t="s">
        <v>18</v>
      </c>
      <c r="U17" s="668">
        <f>H17</f>
        <v>100</v>
      </c>
      <c r="V17" s="667" t="s">
        <v>18</v>
      </c>
      <c r="W17" s="668">
        <f>J17</f>
        <v>100</v>
      </c>
      <c r="X17" s="1265"/>
      <c r="Y17" s="336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65"/>
      <c r="Q18" s="1263"/>
      <c r="R18" s="667"/>
      <c r="S18" s="668"/>
      <c r="T18" s="667"/>
      <c r="U18" s="668"/>
      <c r="V18" s="667"/>
      <c r="W18" s="668"/>
      <c r="X18" s="1265"/>
      <c r="Y18" s="336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65"/>
      <c r="Q19" s="1263" t="str">
        <f>B19</f>
        <v>公共配套设施</v>
      </c>
      <c r="R19" s="667" t="s">
        <v>18</v>
      </c>
      <c r="S19" s="668">
        <f>F19</f>
        <v>100</v>
      </c>
      <c r="T19" s="667" t="s">
        <v>18</v>
      </c>
      <c r="U19" s="668">
        <f>H19</f>
        <v>100</v>
      </c>
      <c r="V19" s="667" t="s">
        <v>18</v>
      </c>
      <c r="W19" s="668">
        <f>J19</f>
        <v>100</v>
      </c>
      <c r="X19" s="1265"/>
      <c r="Y19" s="336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65"/>
      <c r="Q20" s="1263"/>
      <c r="R20" s="667"/>
      <c r="S20" s="668"/>
      <c r="T20" s="667"/>
      <c r="U20" s="668"/>
      <c r="V20" s="667"/>
      <c r="W20" s="668"/>
      <c r="X20" s="1265"/>
      <c r="Y20" s="336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65"/>
      <c r="Q21" s="1263" t="str">
        <f>B21</f>
        <v>基础设施水平</v>
      </c>
      <c r="R21" s="667" t="s">
        <v>14</v>
      </c>
      <c r="S21" s="668">
        <f>F21</f>
        <v>100</v>
      </c>
      <c r="T21" s="667" t="s">
        <v>14</v>
      </c>
      <c r="U21" s="668">
        <f>H21</f>
        <v>100</v>
      </c>
      <c r="V21" s="667" t="s">
        <v>14</v>
      </c>
      <c r="W21" s="668">
        <f>J21</f>
        <v>100</v>
      </c>
      <c r="X21" s="1265"/>
      <c r="Y21" s="33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65"/>
      <c r="Q22" s="1263"/>
      <c r="R22" s="667"/>
      <c r="S22" s="668"/>
      <c r="T22" s="667"/>
      <c r="U22" s="668"/>
      <c r="V22" s="667"/>
      <c r="W22" s="668"/>
      <c r="X22" s="1265"/>
      <c r="Y22" s="336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65"/>
      <c r="Q23" s="1263" t="str">
        <f>B23</f>
        <v>自然及人文环境</v>
      </c>
      <c r="R23" s="667" t="s">
        <v>18</v>
      </c>
      <c r="S23" s="668">
        <f>F23</f>
        <v>100</v>
      </c>
      <c r="T23" s="667" t="s">
        <v>18</v>
      </c>
      <c r="U23" s="668">
        <f>H23</f>
        <v>100</v>
      </c>
      <c r="V23" s="667" t="s">
        <v>18</v>
      </c>
      <c r="W23" s="668">
        <f>J23</f>
        <v>100</v>
      </c>
      <c r="X23" s="1265"/>
      <c r="Y23" s="336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65"/>
      <c r="Q24" s="1263"/>
      <c r="R24" s="667"/>
      <c r="S24" s="668"/>
      <c r="T24" s="667"/>
      <c r="U24" s="668"/>
      <c r="V24" s="667"/>
      <c r="W24" s="668"/>
      <c r="X24" s="1265"/>
      <c r="Y24" s="336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6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65"/>
      <c r="Q26" s="1263" t="str">
        <f t="shared" si="11"/>
        <v>朝向</v>
      </c>
      <c r="R26" s="667" t="s">
        <v>18</v>
      </c>
      <c r="S26" s="668">
        <f t="shared" si="12"/>
        <v>100</v>
      </c>
      <c r="T26" s="667" t="s">
        <v>18</v>
      </c>
      <c r="U26" s="668">
        <f t="shared" si="13"/>
        <v>100</v>
      </c>
      <c r="V26" s="667" t="s">
        <v>18</v>
      </c>
      <c r="W26" s="668">
        <f t="shared" si="14"/>
        <v>100</v>
      </c>
      <c r="X26" s="1265"/>
      <c r="Y26" s="336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65"/>
      <c r="Q27" s="530">
        <f t="shared" si="11"/>
        <v>111</v>
      </c>
      <c r="R27" s="664" t="s">
        <v>18</v>
      </c>
      <c r="S27" s="665">
        <f t="shared" si="12"/>
        <v>100</v>
      </c>
      <c r="T27" s="664" t="s">
        <v>18</v>
      </c>
      <c r="U27" s="665">
        <f t="shared" si="13"/>
        <v>100</v>
      </c>
      <c r="V27" s="664" t="s">
        <v>18</v>
      </c>
      <c r="W27" s="665">
        <f t="shared" si="14"/>
        <v>100</v>
      </c>
      <c r="X27" s="666"/>
      <c r="Y27" s="336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65"/>
      <c r="Q28" s="1263">
        <f t="shared" si="11"/>
        <v>111</v>
      </c>
      <c r="R28" s="667" t="s">
        <v>18</v>
      </c>
      <c r="S28" s="668">
        <f t="shared" si="12"/>
        <v>100</v>
      </c>
      <c r="T28" s="667" t="s">
        <v>18</v>
      </c>
      <c r="U28" s="668">
        <f t="shared" si="13"/>
        <v>100</v>
      </c>
      <c r="V28" s="667" t="s">
        <v>18</v>
      </c>
      <c r="W28" s="668">
        <f t="shared" si="14"/>
        <v>100</v>
      </c>
      <c r="X28" s="1265"/>
      <c r="Y28" s="336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65"/>
      <c r="Q29" s="1263">
        <f t="shared" si="11"/>
        <v>111</v>
      </c>
      <c r="R29" s="667" t="s">
        <v>18</v>
      </c>
      <c r="S29" s="668">
        <f t="shared" si="12"/>
        <v>100</v>
      </c>
      <c r="T29" s="667" t="s">
        <v>18</v>
      </c>
      <c r="U29" s="668">
        <f t="shared" si="13"/>
        <v>100</v>
      </c>
      <c r="V29" s="667" t="s">
        <v>18</v>
      </c>
      <c r="W29" s="668">
        <f t="shared" si="14"/>
        <v>100</v>
      </c>
      <c r="X29" s="1265"/>
      <c r="Y29" s="336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65"/>
      <c r="Q30" s="1263">
        <f t="shared" si="11"/>
        <v>111</v>
      </c>
      <c r="R30" s="667" t="s">
        <v>18</v>
      </c>
      <c r="S30" s="668">
        <f t="shared" si="12"/>
        <v>100</v>
      </c>
      <c r="T30" s="667" t="s">
        <v>18</v>
      </c>
      <c r="U30" s="668">
        <f t="shared" si="13"/>
        <v>100</v>
      </c>
      <c r="V30" s="667" t="s">
        <v>18</v>
      </c>
      <c r="W30" s="668">
        <f t="shared" si="14"/>
        <v>100</v>
      </c>
      <c r="X30" s="1265"/>
      <c r="Y30" s="336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65"/>
      <c r="Q31" s="1263">
        <f t="shared" si="11"/>
        <v>111</v>
      </c>
      <c r="R31" s="667" t="s">
        <v>18</v>
      </c>
      <c r="S31" s="668">
        <f t="shared" si="12"/>
        <v>100</v>
      </c>
      <c r="T31" s="667" t="s">
        <v>18</v>
      </c>
      <c r="U31" s="668">
        <f t="shared" si="13"/>
        <v>100</v>
      </c>
      <c r="V31" s="667" t="s">
        <v>18</v>
      </c>
      <c r="W31" s="668">
        <f t="shared" si="14"/>
        <v>100</v>
      </c>
      <c r="X31" s="1265"/>
      <c r="Y31" s="336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68" t="s">
        <v>1696</v>
      </c>
      <c r="Q32" s="1263" t="str">
        <f t="shared" si="11"/>
        <v>建筑类型</v>
      </c>
      <c r="R32" s="667" t="s">
        <v>18</v>
      </c>
      <c r="S32" s="668">
        <f t="shared" si="12"/>
        <v>100</v>
      </c>
      <c r="T32" s="667" t="s">
        <v>18</v>
      </c>
      <c r="U32" s="668">
        <f t="shared" si="13"/>
        <v>100</v>
      </c>
      <c r="V32" s="667" t="s">
        <v>18</v>
      </c>
      <c r="W32" s="668">
        <f t="shared" si="14"/>
        <v>100</v>
      </c>
      <c r="X32" s="1265"/>
      <c r="Y32" s="337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69"/>
      <c r="Q33" s="531" t="str">
        <f t="shared" si="11"/>
        <v>项目建筑规模</v>
      </c>
      <c r="R33" s="669" t="s">
        <v>18</v>
      </c>
      <c r="S33" s="670" t="e">
        <f t="shared" si="12"/>
        <v>#N/A</v>
      </c>
      <c r="T33" s="669" t="s">
        <v>18</v>
      </c>
      <c r="U33" s="670" t="e">
        <f t="shared" si="13"/>
        <v>#N/A</v>
      </c>
      <c r="V33" s="669" t="s">
        <v>18</v>
      </c>
      <c r="W33" s="670" t="e">
        <f t="shared" si="14"/>
        <v>#N/A</v>
      </c>
      <c r="X33" s="671"/>
      <c r="Y33" s="337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69"/>
      <c r="Q34" s="1263" t="str">
        <f t="shared" si="11"/>
        <v>建筑结构</v>
      </c>
      <c r="R34" s="667" t="s">
        <v>18</v>
      </c>
      <c r="S34" s="668">
        <f t="shared" si="12"/>
        <v>100</v>
      </c>
      <c r="T34" s="667" t="s">
        <v>18</v>
      </c>
      <c r="U34" s="668">
        <f t="shared" si="13"/>
        <v>100</v>
      </c>
      <c r="V34" s="667" t="s">
        <v>18</v>
      </c>
      <c r="W34" s="668">
        <f t="shared" si="14"/>
        <v>100</v>
      </c>
      <c r="X34" s="1265"/>
      <c r="Y34" s="337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69"/>
      <c r="Q35" s="1263" t="str">
        <f t="shared" si="11"/>
        <v>建筑品质</v>
      </c>
      <c r="R35" s="667" t="s">
        <v>18</v>
      </c>
      <c r="S35" s="668">
        <f t="shared" si="12"/>
        <v>100</v>
      </c>
      <c r="T35" s="667" t="s">
        <v>18</v>
      </c>
      <c r="U35" s="668">
        <f t="shared" si="13"/>
        <v>100</v>
      </c>
      <c r="V35" s="667" t="s">
        <v>18</v>
      </c>
      <c r="W35" s="668">
        <f t="shared" si="14"/>
        <v>100</v>
      </c>
      <c r="X35" s="1265"/>
      <c r="Y35" s="337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69"/>
      <c r="Q36" s="1263" t="str">
        <f t="shared" si="11"/>
        <v>公共部分装修</v>
      </c>
      <c r="R36" s="667" t="s">
        <v>18</v>
      </c>
      <c r="S36" s="668">
        <f t="shared" si="12"/>
        <v>100</v>
      </c>
      <c r="T36" s="667" t="s">
        <v>18</v>
      </c>
      <c r="U36" s="668">
        <f t="shared" si="13"/>
        <v>100</v>
      </c>
      <c r="V36" s="667" t="s">
        <v>18</v>
      </c>
      <c r="W36" s="668">
        <f t="shared" si="14"/>
        <v>100</v>
      </c>
      <c r="X36" s="1265"/>
      <c r="Y36" s="337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69"/>
      <c r="Q37" s="530" t="str">
        <f t="shared" si="11"/>
        <v>成新度</v>
      </c>
      <c r="R37" s="664" t="s">
        <v>18</v>
      </c>
      <c r="S37" s="665" t="e">
        <f t="shared" si="12"/>
        <v>#N/A</v>
      </c>
      <c r="T37" s="664" t="s">
        <v>18</v>
      </c>
      <c r="U37" s="665" t="e">
        <f t="shared" si="13"/>
        <v>#N/A</v>
      </c>
      <c r="V37" s="664" t="s">
        <v>18</v>
      </c>
      <c r="W37" s="665" t="e">
        <f t="shared" si="14"/>
        <v>#N/A</v>
      </c>
      <c r="X37" s="666"/>
      <c r="Y37" s="337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69" t="s">
        <v>1696</v>
      </c>
      <c r="Q38" s="1263" t="str">
        <f t="shared" si="11"/>
        <v>物业管理</v>
      </c>
      <c r="R38" s="667" t="s">
        <v>18</v>
      </c>
      <c r="S38" s="668">
        <f t="shared" si="12"/>
        <v>100</v>
      </c>
      <c r="T38" s="667" t="s">
        <v>18</v>
      </c>
      <c r="U38" s="668">
        <f t="shared" si="13"/>
        <v>100</v>
      </c>
      <c r="V38" s="667" t="s">
        <v>18</v>
      </c>
      <c r="W38" s="668">
        <f t="shared" si="14"/>
        <v>100</v>
      </c>
      <c r="X38" s="1265"/>
      <c r="Y38" s="337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69"/>
      <c r="Q39" s="1263" t="str">
        <f t="shared" si="11"/>
        <v>市政基础设施</v>
      </c>
      <c r="R39" s="667" t="s">
        <v>18</v>
      </c>
      <c r="S39" s="668">
        <f t="shared" si="12"/>
        <v>100</v>
      </c>
      <c r="T39" s="667" t="s">
        <v>18</v>
      </c>
      <c r="U39" s="668">
        <f t="shared" si="13"/>
        <v>100</v>
      </c>
      <c r="V39" s="667" t="s">
        <v>18</v>
      </c>
      <c r="W39" s="668">
        <f t="shared" si="14"/>
        <v>100</v>
      </c>
      <c r="X39" s="1265"/>
      <c r="Y39" s="337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69"/>
      <c r="Q40" s="1263" t="str">
        <f t="shared" si="11"/>
        <v>房型</v>
      </c>
      <c r="R40" s="667" t="s">
        <v>18</v>
      </c>
      <c r="S40" s="668">
        <f t="shared" si="12"/>
        <v>100</v>
      </c>
      <c r="T40" s="667" t="s">
        <v>18</v>
      </c>
      <c r="U40" s="668">
        <f t="shared" si="13"/>
        <v>100</v>
      </c>
      <c r="V40" s="667" t="s">
        <v>18</v>
      </c>
      <c r="W40" s="668">
        <f t="shared" si="14"/>
        <v>100</v>
      </c>
      <c r="X40" s="1265"/>
      <c r="Y40" s="337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69"/>
      <c r="Q41" s="531" t="str">
        <f t="shared" si="11"/>
        <v>单套/主力户型建筑面积</v>
      </c>
      <c r="R41" s="669" t="s">
        <v>18</v>
      </c>
      <c r="S41" s="670">
        <f t="shared" si="12"/>
        <v>100</v>
      </c>
      <c r="T41" s="669" t="s">
        <v>18</v>
      </c>
      <c r="U41" s="670">
        <f t="shared" si="13"/>
        <v>100</v>
      </c>
      <c r="V41" s="669" t="s">
        <v>18</v>
      </c>
      <c r="W41" s="670">
        <f t="shared" si="14"/>
        <v>100</v>
      </c>
      <c r="X41" s="671"/>
      <c r="Y41" s="337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69"/>
      <c r="Q42" s="1263" t="str">
        <f t="shared" si="11"/>
        <v>内部装修</v>
      </c>
      <c r="R42" s="667" t="s">
        <v>18</v>
      </c>
      <c r="S42" s="668">
        <f t="shared" si="12"/>
        <v>100</v>
      </c>
      <c r="T42" s="667" t="s">
        <v>18</v>
      </c>
      <c r="U42" s="668">
        <f t="shared" si="13"/>
        <v>100</v>
      </c>
      <c r="V42" s="667" t="s">
        <v>18</v>
      </c>
      <c r="W42" s="668">
        <f t="shared" si="14"/>
        <v>100</v>
      </c>
      <c r="X42" s="1265"/>
      <c r="Y42" s="337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69"/>
      <c r="Q43" s="1263" t="str">
        <f t="shared" si="11"/>
        <v>内部装修维护情况</v>
      </c>
      <c r="R43" s="667" t="s">
        <v>18</v>
      </c>
      <c r="S43" s="668">
        <f t="shared" si="12"/>
        <v>100</v>
      </c>
      <c r="T43" s="667" t="s">
        <v>18</v>
      </c>
      <c r="U43" s="668">
        <f t="shared" si="13"/>
        <v>100</v>
      </c>
      <c r="V43" s="667" t="s">
        <v>18</v>
      </c>
      <c r="W43" s="668">
        <f t="shared" si="14"/>
        <v>100</v>
      </c>
      <c r="X43" s="1265"/>
      <c r="Y43" s="337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69"/>
      <c r="Q44" s="530">
        <f t="shared" si="11"/>
        <v>111</v>
      </c>
      <c r="R44" s="664" t="s">
        <v>18</v>
      </c>
      <c r="S44" s="665">
        <f t="shared" si="12"/>
        <v>100</v>
      </c>
      <c r="T44" s="664" t="s">
        <v>18</v>
      </c>
      <c r="U44" s="665">
        <f t="shared" si="13"/>
        <v>100</v>
      </c>
      <c r="V44" s="664" t="s">
        <v>18</v>
      </c>
      <c r="W44" s="665">
        <f t="shared" si="14"/>
        <v>100</v>
      </c>
      <c r="X44" s="666"/>
      <c r="Y44" s="337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69"/>
      <c r="Q45" s="1263">
        <f t="shared" si="11"/>
        <v>111</v>
      </c>
      <c r="R45" s="667" t="s">
        <v>18</v>
      </c>
      <c r="S45" s="668">
        <f t="shared" si="12"/>
        <v>100</v>
      </c>
      <c r="T45" s="667" t="s">
        <v>18</v>
      </c>
      <c r="U45" s="668">
        <f t="shared" si="13"/>
        <v>100</v>
      </c>
      <c r="V45" s="667" t="s">
        <v>18</v>
      </c>
      <c r="W45" s="668">
        <f t="shared" si="14"/>
        <v>100</v>
      </c>
      <c r="X45" s="1265"/>
      <c r="Y45" s="337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70"/>
      <c r="Q46" s="1263">
        <f t="shared" si="11"/>
        <v>111</v>
      </c>
      <c r="R46" s="667" t="s">
        <v>17</v>
      </c>
      <c r="S46" s="668">
        <f t="shared" si="12"/>
        <v>100</v>
      </c>
      <c r="T46" s="667" t="s">
        <v>17</v>
      </c>
      <c r="U46" s="668">
        <f t="shared" si="13"/>
        <v>100</v>
      </c>
      <c r="V46" s="667" t="s">
        <v>17</v>
      </c>
      <c r="W46" s="668">
        <f t="shared" si="14"/>
        <v>100</v>
      </c>
      <c r="X46" s="1265"/>
      <c r="Y46" s="337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59" t="str">
        <f>A47</f>
        <v>成交单价（元/平方米）</v>
      </c>
      <c r="Q47" s="3359"/>
      <c r="R47" s="3360">
        <f>E47</f>
        <v>0</v>
      </c>
      <c r="S47" s="3360"/>
      <c r="T47" s="3360">
        <f>G47</f>
        <v>0</v>
      </c>
      <c r="U47" s="3360"/>
      <c r="V47" s="3360">
        <f>I47</f>
        <v>0</v>
      </c>
      <c r="W47" s="3360"/>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66.63</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436" t="s">
        <v>1775</v>
      </c>
      <c r="Q4" s="3437"/>
      <c r="R4" s="3440" t="s">
        <v>1771</v>
      </c>
      <c r="S4" s="3441"/>
      <c r="T4" s="3440" t="s">
        <v>1772</v>
      </c>
      <c r="U4" s="3441"/>
      <c r="V4" s="3360" t="s">
        <v>1773</v>
      </c>
      <c r="W4" s="3360"/>
      <c r="X4" s="1265"/>
      <c r="Y4" s="3440" t="s">
        <v>1775</v>
      </c>
      <c r="Z4" s="3441"/>
      <c r="AA4" s="3435" t="s">
        <v>1771</v>
      </c>
      <c r="AB4" s="3360" t="s">
        <v>1772</v>
      </c>
      <c r="AC4" s="3435" t="s">
        <v>1773</v>
      </c>
    </row>
    <row r="5" spans="1:29">
      <c r="A5" s="348"/>
      <c r="B5" s="349"/>
      <c r="C5" s="3442" t="s">
        <v>1673</v>
      </c>
      <c r="D5" s="3396"/>
      <c r="E5" s="3443" t="s">
        <v>1674</v>
      </c>
      <c r="F5" s="3444"/>
      <c r="G5" s="3442" t="s">
        <v>1675</v>
      </c>
      <c r="H5" s="3396"/>
      <c r="I5" s="3442" t="s">
        <v>1676</v>
      </c>
      <c r="J5" s="3396"/>
      <c r="K5" s="537"/>
      <c r="L5" s="2484"/>
      <c r="M5" s="2485"/>
      <c r="N5" s="2485"/>
      <c r="O5" s="2485"/>
      <c r="P5" s="3438"/>
      <c r="Q5" s="3383"/>
      <c r="R5" s="3388"/>
      <c r="S5" s="3389"/>
      <c r="T5" s="3388"/>
      <c r="U5" s="3389"/>
      <c r="V5" s="3360"/>
      <c r="W5" s="3360"/>
      <c r="X5" s="1265"/>
      <c r="Y5" s="3388"/>
      <c r="Z5" s="3389"/>
      <c r="AA5" s="3404"/>
      <c r="AB5" s="3360"/>
      <c r="AC5" s="3404"/>
    </row>
    <row r="6" spans="1:29" ht="15" thickBot="1">
      <c r="A6" s="350"/>
      <c r="B6" s="351"/>
      <c r="C6" s="3393" t="s">
        <v>1677</v>
      </c>
      <c r="D6" s="3394"/>
      <c r="E6" s="3401" t="s">
        <v>1677</v>
      </c>
      <c r="F6" s="3402"/>
      <c r="G6" s="3393" t="s">
        <v>1677</v>
      </c>
      <c r="H6" s="3394"/>
      <c r="I6" s="3393" t="s">
        <v>1677</v>
      </c>
      <c r="J6" s="3394"/>
      <c r="K6" s="537" t="s">
        <v>1678</v>
      </c>
      <c r="L6" s="2484"/>
      <c r="M6" s="2485"/>
      <c r="N6" s="2485"/>
      <c r="O6" s="2485"/>
      <c r="P6" s="3439"/>
      <c r="Q6" s="3385"/>
      <c r="R6" s="3388"/>
      <c r="S6" s="3389"/>
      <c r="T6" s="3390"/>
      <c r="U6" s="3391"/>
      <c r="V6" s="3360"/>
      <c r="W6" s="3360"/>
      <c r="X6" s="1265"/>
      <c r="Y6" s="3390"/>
      <c r="Z6" s="3391"/>
      <c r="AA6" s="3405"/>
      <c r="AB6" s="3360"/>
      <c r="AC6" s="3405"/>
    </row>
    <row r="7" spans="1:29" s="102" customFormat="1" ht="15" thickBot="1">
      <c r="A7" s="352" t="s">
        <v>1679</v>
      </c>
      <c r="B7" s="353"/>
      <c r="C7" s="354">
        <f>'数据-取费表'!B2</f>
        <v>45814</v>
      </c>
      <c r="D7" s="355">
        <v>100</v>
      </c>
      <c r="E7" s="356"/>
      <c r="F7" s="357">
        <f>SUMIF(58:58,YEAR(E7)&amp;"-"&amp;MONTH(E7),59:59)</f>
        <v>0</v>
      </c>
      <c r="G7" s="356"/>
      <c r="H7" s="355">
        <f>SUMIF(58:58,YEAR(G7)&amp;"-"&amp;MONTH(G7),59:59)</f>
        <v>0</v>
      </c>
      <c r="I7" s="356"/>
      <c r="J7" s="355">
        <f>SUMIF(58:58,YEAR(I7)&amp;"-"&amp;MONTH(I7),59:59)</f>
        <v>0</v>
      </c>
      <c r="K7" s="38"/>
      <c r="L7" s="2486"/>
      <c r="M7" s="2438"/>
      <c r="N7" s="2438"/>
      <c r="O7" s="2438"/>
      <c r="P7" s="3399" t="s">
        <v>1680</v>
      </c>
      <c r="Q7" s="3400"/>
      <c r="R7" s="664" t="s">
        <v>14</v>
      </c>
      <c r="S7" s="665">
        <f t="shared" ref="S7:S15" si="0">F7</f>
        <v>0</v>
      </c>
      <c r="T7" s="664" t="s">
        <v>14</v>
      </c>
      <c r="U7" s="665">
        <f t="shared" ref="U7:U15" si="1">H7</f>
        <v>0</v>
      </c>
      <c r="V7" s="664" t="s">
        <v>14</v>
      </c>
      <c r="W7" s="665">
        <f t="shared" ref="W7:W15" si="2">J7</f>
        <v>0</v>
      </c>
      <c r="X7" s="666"/>
      <c r="Y7" s="3399" t="s">
        <v>1680</v>
      </c>
      <c r="Z7" s="339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99" t="s">
        <v>1683</v>
      </c>
      <c r="Q8" s="3398"/>
      <c r="R8" s="664" t="s">
        <v>14</v>
      </c>
      <c r="S8" s="665">
        <f t="shared" si="0"/>
        <v>100</v>
      </c>
      <c r="T8" s="664" t="s">
        <v>14</v>
      </c>
      <c r="U8" s="665">
        <f t="shared" si="1"/>
        <v>100</v>
      </c>
      <c r="V8" s="664" t="s">
        <v>14</v>
      </c>
      <c r="W8" s="665">
        <f t="shared" si="2"/>
        <v>100</v>
      </c>
      <c r="X8" s="666"/>
      <c r="Y8" s="3399" t="s">
        <v>1683</v>
      </c>
      <c r="Z8" s="339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5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5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58"/>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58"/>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58"/>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58"/>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64" t="s">
        <v>1691</v>
      </c>
      <c r="Q15" s="1263" t="str">
        <f t="shared" si="6"/>
        <v>商业繁华度</v>
      </c>
      <c r="R15" s="667" t="s">
        <v>14</v>
      </c>
      <c r="S15" s="668">
        <f t="shared" si="0"/>
        <v>100</v>
      </c>
      <c r="T15" s="667" t="s">
        <v>14</v>
      </c>
      <c r="U15" s="668">
        <f t="shared" si="1"/>
        <v>100</v>
      </c>
      <c r="V15" s="667" t="s">
        <v>14</v>
      </c>
      <c r="W15" s="668">
        <f t="shared" si="2"/>
        <v>100</v>
      </c>
      <c r="X15" s="1265"/>
      <c r="Y15" s="336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65"/>
      <c r="Q16" s="1263"/>
      <c r="R16" s="667"/>
      <c r="S16" s="668"/>
      <c r="T16" s="667"/>
      <c r="U16" s="668"/>
      <c r="V16" s="667"/>
      <c r="W16" s="668"/>
      <c r="X16" s="1265"/>
      <c r="Y16" s="336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65"/>
      <c r="Q17" s="1263" t="str">
        <f>B17</f>
        <v>交通便捷度</v>
      </c>
      <c r="R17" s="667" t="s">
        <v>14</v>
      </c>
      <c r="S17" s="668">
        <f>F17</f>
        <v>100</v>
      </c>
      <c r="T17" s="667" t="s">
        <v>14</v>
      </c>
      <c r="U17" s="668">
        <f>H17</f>
        <v>100</v>
      </c>
      <c r="V17" s="667" t="s">
        <v>14</v>
      </c>
      <c r="W17" s="668">
        <f>J17</f>
        <v>100</v>
      </c>
      <c r="X17" s="1265"/>
      <c r="Y17" s="336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65"/>
      <c r="Q18" s="1263"/>
      <c r="R18" s="667"/>
      <c r="S18" s="668"/>
      <c r="T18" s="667"/>
      <c r="U18" s="668"/>
      <c r="V18" s="667"/>
      <c r="W18" s="668"/>
      <c r="X18" s="1265"/>
      <c r="Y18" s="336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65"/>
      <c r="Q19" s="1263" t="str">
        <f>B19</f>
        <v>公共配套设施</v>
      </c>
      <c r="R19" s="667" t="s">
        <v>14</v>
      </c>
      <c r="S19" s="668">
        <f>F19</f>
        <v>100</v>
      </c>
      <c r="T19" s="667" t="s">
        <v>14</v>
      </c>
      <c r="U19" s="668">
        <f>H19</f>
        <v>100</v>
      </c>
      <c r="V19" s="667" t="s">
        <v>14</v>
      </c>
      <c r="W19" s="668">
        <f>J19</f>
        <v>100</v>
      </c>
      <c r="X19" s="1265"/>
      <c r="Y19" s="336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65"/>
      <c r="Q20" s="1263"/>
      <c r="R20" s="667"/>
      <c r="S20" s="668"/>
      <c r="T20" s="667"/>
      <c r="U20" s="668"/>
      <c r="V20" s="667"/>
      <c r="W20" s="668"/>
      <c r="X20" s="1265"/>
      <c r="Y20" s="336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65"/>
      <c r="Q21" s="1263" t="str">
        <f>B21</f>
        <v>基础设施水平</v>
      </c>
      <c r="R21" s="667" t="s">
        <v>14</v>
      </c>
      <c r="S21" s="668">
        <f>F21</f>
        <v>100</v>
      </c>
      <c r="T21" s="667" t="s">
        <v>14</v>
      </c>
      <c r="U21" s="668">
        <f>H21</f>
        <v>100</v>
      </c>
      <c r="V21" s="667" t="s">
        <v>14</v>
      </c>
      <c r="W21" s="668">
        <f>J21</f>
        <v>100</v>
      </c>
      <c r="X21" s="1265"/>
      <c r="Y21" s="33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65"/>
      <c r="Q22" s="1263"/>
      <c r="R22" s="667"/>
      <c r="S22" s="668"/>
      <c r="T22" s="667"/>
      <c r="U22" s="668"/>
      <c r="V22" s="667"/>
      <c r="W22" s="668"/>
      <c r="X22" s="1265"/>
      <c r="Y22" s="3367"/>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65"/>
      <c r="Q23" s="1263" t="str">
        <f>B23</f>
        <v>自然及人文环境</v>
      </c>
      <c r="R23" s="667" t="s">
        <v>14</v>
      </c>
      <c r="S23" s="668">
        <f>F23</f>
        <v>100</v>
      </c>
      <c r="T23" s="667" t="s">
        <v>14</v>
      </c>
      <c r="U23" s="668">
        <f>H23</f>
        <v>100</v>
      </c>
      <c r="V23" s="667" t="s">
        <v>14</v>
      </c>
      <c r="W23" s="668">
        <f>J23</f>
        <v>100</v>
      </c>
      <c r="X23" s="1265"/>
      <c r="Y23" s="336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65"/>
      <c r="Q24" s="1263"/>
      <c r="R24" s="667"/>
      <c r="S24" s="668"/>
      <c r="T24" s="667"/>
      <c r="U24" s="668"/>
      <c r="V24" s="667"/>
      <c r="W24" s="668"/>
      <c r="X24" s="1265"/>
      <c r="Y24" s="336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65"/>
      <c r="Q25" s="1263" t="str">
        <f t="shared" ref="Q25:Q46" si="11">B25</f>
        <v>临街状况</v>
      </c>
      <c r="R25" s="667" t="s">
        <v>14</v>
      </c>
      <c r="S25" s="668">
        <f>F25</f>
        <v>100</v>
      </c>
      <c r="T25" s="667" t="s">
        <v>14</v>
      </c>
      <c r="U25" s="668">
        <f>H25</f>
        <v>100</v>
      </c>
      <c r="V25" s="667" t="s">
        <v>14</v>
      </c>
      <c r="W25" s="668">
        <f>J25</f>
        <v>100</v>
      </c>
      <c r="X25" s="1265"/>
      <c r="Y25" s="336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65"/>
      <c r="Q26" s="1263" t="str">
        <f t="shared" si="11"/>
        <v>平面位置/可视性</v>
      </c>
      <c r="R26" s="667" t="s">
        <v>14</v>
      </c>
      <c r="S26" s="668">
        <f>F26</f>
        <v>100</v>
      </c>
      <c r="T26" s="667" t="s">
        <v>14</v>
      </c>
      <c r="U26" s="668">
        <f>H26</f>
        <v>100</v>
      </c>
      <c r="V26" s="667" t="s">
        <v>14</v>
      </c>
      <c r="W26" s="668">
        <f>J26</f>
        <v>100</v>
      </c>
      <c r="X26" s="1265"/>
      <c r="Y26" s="336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65"/>
      <c r="Q27" s="530" t="str">
        <f t="shared" si="11"/>
        <v>人流量</v>
      </c>
      <c r="R27" s="664" t="s">
        <v>14</v>
      </c>
      <c r="S27" s="665">
        <f>F27</f>
        <v>100</v>
      </c>
      <c r="T27" s="664" t="s">
        <v>14</v>
      </c>
      <c r="U27" s="665">
        <f>H27</f>
        <v>100</v>
      </c>
      <c r="V27" s="664" t="s">
        <v>14</v>
      </c>
      <c r="W27" s="665">
        <f>J27</f>
        <v>100</v>
      </c>
      <c r="X27" s="666"/>
      <c r="Y27" s="336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6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65"/>
      <c r="Q29" s="1263">
        <f t="shared" si="11"/>
        <v>111</v>
      </c>
      <c r="R29" s="667" t="s">
        <v>14</v>
      </c>
      <c r="S29" s="668">
        <f t="shared" si="12"/>
        <v>100</v>
      </c>
      <c r="T29" s="667" t="s">
        <v>14</v>
      </c>
      <c r="U29" s="668">
        <f t="shared" si="13"/>
        <v>100</v>
      </c>
      <c r="V29" s="667" t="s">
        <v>14</v>
      </c>
      <c r="W29" s="668">
        <f t="shared" si="14"/>
        <v>100</v>
      </c>
      <c r="X29" s="1265"/>
      <c r="Y29" s="336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65"/>
      <c r="Q30" s="1263">
        <f t="shared" si="11"/>
        <v>111</v>
      </c>
      <c r="R30" s="667" t="s">
        <v>14</v>
      </c>
      <c r="S30" s="668">
        <f t="shared" si="12"/>
        <v>100</v>
      </c>
      <c r="T30" s="667" t="s">
        <v>14</v>
      </c>
      <c r="U30" s="668">
        <f t="shared" si="13"/>
        <v>100</v>
      </c>
      <c r="V30" s="667" t="s">
        <v>14</v>
      </c>
      <c r="W30" s="668">
        <f t="shared" si="14"/>
        <v>100</v>
      </c>
      <c r="X30" s="1265"/>
      <c r="Y30" s="336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65"/>
      <c r="Q31" s="1263">
        <f t="shared" si="11"/>
        <v>111</v>
      </c>
      <c r="R31" s="667" t="s">
        <v>14</v>
      </c>
      <c r="S31" s="668">
        <f t="shared" si="12"/>
        <v>100</v>
      </c>
      <c r="T31" s="667" t="s">
        <v>14</v>
      </c>
      <c r="U31" s="668">
        <f t="shared" si="13"/>
        <v>100</v>
      </c>
      <c r="V31" s="667" t="s">
        <v>14</v>
      </c>
      <c r="W31" s="668">
        <f t="shared" si="14"/>
        <v>100</v>
      </c>
      <c r="X31" s="1265"/>
      <c r="Y31" s="336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68" t="s">
        <v>1696</v>
      </c>
      <c r="Q32" s="1263" t="str">
        <f t="shared" si="11"/>
        <v>商业类型</v>
      </c>
      <c r="R32" s="667" t="s">
        <v>14</v>
      </c>
      <c r="S32" s="668">
        <f t="shared" si="12"/>
        <v>100</v>
      </c>
      <c r="T32" s="667" t="s">
        <v>14</v>
      </c>
      <c r="U32" s="668">
        <f t="shared" si="13"/>
        <v>100</v>
      </c>
      <c r="V32" s="667" t="s">
        <v>14</v>
      </c>
      <c r="W32" s="668">
        <f t="shared" si="14"/>
        <v>100</v>
      </c>
      <c r="X32" s="1265"/>
      <c r="Y32" s="337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69"/>
      <c r="Q33" s="531" t="str">
        <f t="shared" si="11"/>
        <v>项目建筑规模</v>
      </c>
      <c r="R33" s="669" t="s">
        <v>14</v>
      </c>
      <c r="S33" s="670" t="e">
        <f t="shared" si="12"/>
        <v>#N/A</v>
      </c>
      <c r="T33" s="669" t="s">
        <v>14</v>
      </c>
      <c r="U33" s="670" t="e">
        <f t="shared" si="13"/>
        <v>#N/A</v>
      </c>
      <c r="V33" s="669" t="s">
        <v>14</v>
      </c>
      <c r="W33" s="670" t="e">
        <f t="shared" si="14"/>
        <v>#N/A</v>
      </c>
      <c r="X33" s="671"/>
      <c r="Y33" s="337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69"/>
      <c r="Q34" s="1263" t="str">
        <f t="shared" si="11"/>
        <v>建筑结构</v>
      </c>
      <c r="R34" s="667" t="s">
        <v>14</v>
      </c>
      <c r="S34" s="668">
        <f t="shared" si="12"/>
        <v>100</v>
      </c>
      <c r="T34" s="667" t="s">
        <v>14</v>
      </c>
      <c r="U34" s="668">
        <f t="shared" si="13"/>
        <v>100</v>
      </c>
      <c r="V34" s="667" t="s">
        <v>14</v>
      </c>
      <c r="W34" s="668">
        <f t="shared" si="14"/>
        <v>100</v>
      </c>
      <c r="X34" s="1265"/>
      <c r="Y34" s="337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69"/>
      <c r="Q35" s="1263" t="str">
        <f t="shared" si="11"/>
        <v>公共部分装修</v>
      </c>
      <c r="R35" s="667" t="s">
        <v>14</v>
      </c>
      <c r="S35" s="668">
        <f t="shared" si="12"/>
        <v>100</v>
      </c>
      <c r="T35" s="667" t="s">
        <v>14</v>
      </c>
      <c r="U35" s="668">
        <f t="shared" si="13"/>
        <v>100</v>
      </c>
      <c r="V35" s="667" t="s">
        <v>14</v>
      </c>
      <c r="W35" s="668">
        <f t="shared" si="14"/>
        <v>100</v>
      </c>
      <c r="X35" s="1265"/>
      <c r="Y35" s="337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69"/>
      <c r="Q36" s="1263" t="str">
        <f t="shared" si="11"/>
        <v>成新度</v>
      </c>
      <c r="R36" s="667" t="s">
        <v>14</v>
      </c>
      <c r="S36" s="668" t="e">
        <f t="shared" si="12"/>
        <v>#N/A</v>
      </c>
      <c r="T36" s="667" t="s">
        <v>14</v>
      </c>
      <c r="U36" s="668" t="e">
        <f t="shared" si="13"/>
        <v>#N/A</v>
      </c>
      <c r="V36" s="667" t="s">
        <v>14</v>
      </c>
      <c r="W36" s="668" t="e">
        <f t="shared" si="14"/>
        <v>#N/A</v>
      </c>
      <c r="X36" s="1265"/>
      <c r="Y36" s="337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69"/>
      <c r="Q37" s="530" t="str">
        <f t="shared" si="11"/>
        <v>市政基础设施</v>
      </c>
      <c r="R37" s="664" t="s">
        <v>14</v>
      </c>
      <c r="S37" s="665">
        <f t="shared" si="12"/>
        <v>100</v>
      </c>
      <c r="T37" s="664" t="s">
        <v>14</v>
      </c>
      <c r="U37" s="665">
        <f t="shared" si="13"/>
        <v>100</v>
      </c>
      <c r="V37" s="664" t="s">
        <v>14</v>
      </c>
      <c r="W37" s="665">
        <f t="shared" si="14"/>
        <v>100</v>
      </c>
      <c r="X37" s="666"/>
      <c r="Y37" s="337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69" t="s">
        <v>1696</v>
      </c>
      <c r="Q38" s="1263" t="str">
        <f t="shared" si="11"/>
        <v>业态</v>
      </c>
      <c r="R38" s="667" t="s">
        <v>14</v>
      </c>
      <c r="S38" s="668">
        <f t="shared" si="12"/>
        <v>100</v>
      </c>
      <c r="T38" s="667" t="s">
        <v>14</v>
      </c>
      <c r="U38" s="668">
        <f t="shared" si="13"/>
        <v>100</v>
      </c>
      <c r="V38" s="667" t="s">
        <v>14</v>
      </c>
      <c r="W38" s="668">
        <f t="shared" si="14"/>
        <v>100</v>
      </c>
      <c r="X38" s="1265"/>
      <c r="Y38" s="337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69"/>
      <c r="Q39" s="1263" t="str">
        <f t="shared" si="11"/>
        <v>层高</v>
      </c>
      <c r="R39" s="667" t="s">
        <v>14</v>
      </c>
      <c r="S39" s="668">
        <f t="shared" si="12"/>
        <v>100</v>
      </c>
      <c r="T39" s="667" t="s">
        <v>14</v>
      </c>
      <c r="U39" s="668">
        <f t="shared" si="13"/>
        <v>100</v>
      </c>
      <c r="V39" s="667" t="s">
        <v>14</v>
      </c>
      <c r="W39" s="668">
        <f t="shared" si="14"/>
        <v>100</v>
      </c>
      <c r="X39" s="1265"/>
      <c r="Y39" s="337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69"/>
      <c r="Q40" s="1263" t="str">
        <f t="shared" si="11"/>
        <v>单套建筑面积</v>
      </c>
      <c r="R40" s="667" t="s">
        <v>14</v>
      </c>
      <c r="S40" s="668">
        <f t="shared" si="12"/>
        <v>100</v>
      </c>
      <c r="T40" s="667" t="s">
        <v>14</v>
      </c>
      <c r="U40" s="668">
        <f t="shared" si="13"/>
        <v>100</v>
      </c>
      <c r="V40" s="667" t="s">
        <v>14</v>
      </c>
      <c r="W40" s="668">
        <f t="shared" si="14"/>
        <v>100</v>
      </c>
      <c r="X40" s="1265"/>
      <c r="Y40" s="337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69"/>
      <c r="Q41" s="531" t="str">
        <f t="shared" si="11"/>
        <v>进深比</v>
      </c>
      <c r="R41" s="669" t="s">
        <v>14</v>
      </c>
      <c r="S41" s="670">
        <f t="shared" si="12"/>
        <v>100</v>
      </c>
      <c r="T41" s="669" t="s">
        <v>14</v>
      </c>
      <c r="U41" s="670">
        <f t="shared" si="13"/>
        <v>100</v>
      </c>
      <c r="V41" s="669" t="s">
        <v>14</v>
      </c>
      <c r="W41" s="670">
        <f t="shared" si="14"/>
        <v>100</v>
      </c>
      <c r="X41" s="671"/>
      <c r="Y41" s="337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69"/>
      <c r="Q42" s="1263" t="str">
        <f t="shared" si="11"/>
        <v>内部装修</v>
      </c>
      <c r="R42" s="667" t="s">
        <v>14</v>
      </c>
      <c r="S42" s="668">
        <f t="shared" si="12"/>
        <v>100</v>
      </c>
      <c r="T42" s="667" t="s">
        <v>14</v>
      </c>
      <c r="U42" s="668">
        <f t="shared" si="13"/>
        <v>100</v>
      </c>
      <c r="V42" s="667" t="s">
        <v>14</v>
      </c>
      <c r="W42" s="668">
        <f t="shared" si="14"/>
        <v>100</v>
      </c>
      <c r="X42" s="1265"/>
      <c r="Y42" s="337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69"/>
      <c r="Q43" s="1263" t="str">
        <f t="shared" si="11"/>
        <v>内部装修维护情况</v>
      </c>
      <c r="R43" s="667" t="s">
        <v>14</v>
      </c>
      <c r="S43" s="668">
        <f t="shared" si="12"/>
        <v>100</v>
      </c>
      <c r="T43" s="667" t="s">
        <v>14</v>
      </c>
      <c r="U43" s="668">
        <f t="shared" si="13"/>
        <v>100</v>
      </c>
      <c r="V43" s="667" t="s">
        <v>14</v>
      </c>
      <c r="W43" s="668">
        <f t="shared" si="14"/>
        <v>100</v>
      </c>
      <c r="X43" s="1265"/>
      <c r="Y43" s="337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69"/>
      <c r="Q44" s="530">
        <f t="shared" si="11"/>
        <v>111</v>
      </c>
      <c r="R44" s="664" t="s">
        <v>14</v>
      </c>
      <c r="S44" s="665">
        <f t="shared" si="12"/>
        <v>100</v>
      </c>
      <c r="T44" s="664" t="s">
        <v>14</v>
      </c>
      <c r="U44" s="665">
        <f t="shared" si="13"/>
        <v>100</v>
      </c>
      <c r="V44" s="664" t="s">
        <v>14</v>
      </c>
      <c r="W44" s="665">
        <f t="shared" si="14"/>
        <v>100</v>
      </c>
      <c r="X44" s="666"/>
      <c r="Y44" s="337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69"/>
      <c r="Q45" s="1263">
        <f t="shared" si="11"/>
        <v>111</v>
      </c>
      <c r="R45" s="667" t="s">
        <v>14</v>
      </c>
      <c r="S45" s="668">
        <f t="shared" si="12"/>
        <v>100</v>
      </c>
      <c r="T45" s="667" t="s">
        <v>14</v>
      </c>
      <c r="U45" s="668">
        <f t="shared" si="13"/>
        <v>100</v>
      </c>
      <c r="V45" s="667" t="s">
        <v>14</v>
      </c>
      <c r="W45" s="668">
        <f t="shared" si="14"/>
        <v>100</v>
      </c>
      <c r="X45" s="1265"/>
      <c r="Y45" s="337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0"/>
      <c r="Q46" s="1263">
        <f t="shared" si="11"/>
        <v>111</v>
      </c>
      <c r="R46" s="667" t="s">
        <v>14</v>
      </c>
      <c r="S46" s="668">
        <f t="shared" si="12"/>
        <v>100</v>
      </c>
      <c r="T46" s="667" t="s">
        <v>14</v>
      </c>
      <c r="U46" s="668">
        <f t="shared" si="13"/>
        <v>100</v>
      </c>
      <c r="V46" s="667" t="s">
        <v>14</v>
      </c>
      <c r="W46" s="668">
        <f t="shared" si="14"/>
        <v>100</v>
      </c>
      <c r="X46" s="1265"/>
      <c r="Y46" s="337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59" t="str">
        <f>A47</f>
        <v>成交单价（元/平方米）</v>
      </c>
      <c r="Q47" s="3359"/>
      <c r="R47" s="3360">
        <f>E47</f>
        <v>0</v>
      </c>
      <c r="S47" s="3360"/>
      <c r="T47" s="3360">
        <f>G47</f>
        <v>0</v>
      </c>
      <c r="U47" s="3360"/>
      <c r="V47" s="3360">
        <f>I47</f>
        <v>0</v>
      </c>
      <c r="W47" s="3360"/>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66.63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860"/>
      <c r="M4" s="861"/>
      <c r="N4" s="861"/>
      <c r="O4" s="861"/>
      <c r="P4" s="3436" t="s">
        <v>1775</v>
      </c>
      <c r="Q4" s="3437"/>
      <c r="R4" s="3440" t="s">
        <v>1771</v>
      </c>
      <c r="S4" s="3441"/>
      <c r="T4" s="3440" t="s">
        <v>1772</v>
      </c>
      <c r="U4" s="3441"/>
      <c r="V4" s="3360" t="s">
        <v>1773</v>
      </c>
      <c r="W4" s="3360"/>
      <c r="X4" s="1265"/>
      <c r="Y4" s="3440" t="s">
        <v>1775</v>
      </c>
      <c r="Z4" s="3441"/>
      <c r="AA4" s="3435" t="s">
        <v>1771</v>
      </c>
      <c r="AB4" s="3404" t="s">
        <v>1772</v>
      </c>
      <c r="AC4" s="3435" t="s">
        <v>1773</v>
      </c>
    </row>
    <row r="5" spans="1:29">
      <c r="A5" s="348"/>
      <c r="B5" s="349"/>
      <c r="C5" s="3442" t="s">
        <v>1673</v>
      </c>
      <c r="D5" s="3396"/>
      <c r="E5" s="3443" t="s">
        <v>1674</v>
      </c>
      <c r="F5" s="3444"/>
      <c r="G5" s="3442" t="s">
        <v>1675</v>
      </c>
      <c r="H5" s="3396"/>
      <c r="I5" s="3442" t="s">
        <v>1676</v>
      </c>
      <c r="J5" s="3396"/>
      <c r="K5" s="537"/>
      <c r="L5" s="860"/>
      <c r="M5" s="861"/>
      <c r="N5" s="861"/>
      <c r="O5" s="861"/>
      <c r="P5" s="3438"/>
      <c r="Q5" s="3383"/>
      <c r="R5" s="3388"/>
      <c r="S5" s="3389"/>
      <c r="T5" s="3388"/>
      <c r="U5" s="3389"/>
      <c r="V5" s="3360"/>
      <c r="W5" s="3360"/>
      <c r="X5" s="1265"/>
      <c r="Y5" s="3388"/>
      <c r="Z5" s="3389"/>
      <c r="AA5" s="3404"/>
      <c r="AB5" s="3404"/>
      <c r="AC5" s="3404"/>
    </row>
    <row r="6" spans="1:29" ht="15" thickBot="1">
      <c r="A6" s="350"/>
      <c r="B6" s="351"/>
      <c r="C6" s="3393" t="s">
        <v>1677</v>
      </c>
      <c r="D6" s="3394"/>
      <c r="E6" s="3401" t="s">
        <v>1677</v>
      </c>
      <c r="F6" s="3402"/>
      <c r="G6" s="3393" t="s">
        <v>1677</v>
      </c>
      <c r="H6" s="3394"/>
      <c r="I6" s="3393" t="s">
        <v>1677</v>
      </c>
      <c r="J6" s="3394"/>
      <c r="K6" s="537" t="s">
        <v>1678</v>
      </c>
      <c r="L6" s="860"/>
      <c r="M6" s="861"/>
      <c r="N6" s="861"/>
      <c r="O6" s="861"/>
      <c r="P6" s="3439"/>
      <c r="Q6" s="3385"/>
      <c r="R6" s="3388"/>
      <c r="S6" s="3389"/>
      <c r="T6" s="3390"/>
      <c r="U6" s="3391"/>
      <c r="V6" s="3360"/>
      <c r="W6" s="3360"/>
      <c r="X6" s="1265"/>
      <c r="Y6" s="3390"/>
      <c r="Z6" s="3391"/>
      <c r="AA6" s="3405"/>
      <c r="AB6" s="3405"/>
      <c r="AC6" s="3405"/>
    </row>
    <row r="7" spans="1:29" s="102" customFormat="1" ht="15" thickBot="1">
      <c r="A7" s="352" t="s">
        <v>1679</v>
      </c>
      <c r="B7" s="353"/>
      <c r="C7" s="354">
        <f>'数据-取费表'!B2</f>
        <v>45814</v>
      </c>
      <c r="D7" s="355">
        <v>100</v>
      </c>
      <c r="E7" s="356"/>
      <c r="F7" s="357">
        <f>SUMIF(52:52,YEAR(E7)&amp;"-"&amp;MONTH(E7),53:53)</f>
        <v>0</v>
      </c>
      <c r="G7" s="356"/>
      <c r="H7" s="355">
        <f>SUMIF(52:52,YEAR(G7)&amp;"-"&amp;MONTH(G7),53:53)</f>
        <v>0</v>
      </c>
      <c r="I7" s="356"/>
      <c r="J7" s="355">
        <f>SUMIF(52:52,YEAR(I7)&amp;"-"&amp;MONTH(I7),53:53)</f>
        <v>0</v>
      </c>
      <c r="K7" s="38"/>
      <c r="L7" s="862"/>
      <c r="M7" s="863"/>
      <c r="N7" s="863"/>
      <c r="O7" s="863"/>
      <c r="P7" s="3399" t="s">
        <v>1680</v>
      </c>
      <c r="Q7" s="3400"/>
      <c r="R7" s="664" t="s">
        <v>14</v>
      </c>
      <c r="S7" s="665">
        <f t="shared" ref="S7:S15" si="0">F7</f>
        <v>0</v>
      </c>
      <c r="T7" s="664" t="s">
        <v>14</v>
      </c>
      <c r="U7" s="665">
        <f t="shared" ref="U7:U15" si="1">H7</f>
        <v>0</v>
      </c>
      <c r="V7" s="664" t="s">
        <v>14</v>
      </c>
      <c r="W7" s="665">
        <f t="shared" ref="W7:W15" si="2">J7</f>
        <v>0</v>
      </c>
      <c r="X7" s="666"/>
      <c r="Y7" s="3399" t="s">
        <v>1680</v>
      </c>
      <c r="Z7" s="339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9" t="s">
        <v>1683</v>
      </c>
      <c r="Q8" s="3398"/>
      <c r="R8" s="664" t="s">
        <v>14</v>
      </c>
      <c r="S8" s="665">
        <f t="shared" si="0"/>
        <v>100</v>
      </c>
      <c r="T8" s="664" t="s">
        <v>14</v>
      </c>
      <c r="U8" s="665">
        <f t="shared" si="1"/>
        <v>100</v>
      </c>
      <c r="V8" s="664" t="s">
        <v>14</v>
      </c>
      <c r="W8" s="665">
        <f t="shared" si="2"/>
        <v>100</v>
      </c>
      <c r="X8" s="666"/>
      <c r="Y8" s="3399" t="s">
        <v>1683</v>
      </c>
      <c r="Z8" s="339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9"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59"/>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9"/>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9"/>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9"/>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9"/>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6" t="s">
        <v>1691</v>
      </c>
      <c r="Q15" s="1263" t="str">
        <f t="shared" si="6"/>
        <v>产业集聚程度</v>
      </c>
      <c r="R15" s="667" t="s">
        <v>14</v>
      </c>
      <c r="S15" s="668">
        <f t="shared" si="0"/>
        <v>100</v>
      </c>
      <c r="T15" s="667" t="s">
        <v>14</v>
      </c>
      <c r="U15" s="668">
        <f t="shared" si="1"/>
        <v>100</v>
      </c>
      <c r="V15" s="667" t="s">
        <v>14</v>
      </c>
      <c r="W15" s="668">
        <f t="shared" si="2"/>
        <v>100</v>
      </c>
      <c r="X15" s="1265"/>
      <c r="Y15" s="336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7"/>
      <c r="Q16" s="1263"/>
      <c r="R16" s="667"/>
      <c r="S16" s="668"/>
      <c r="T16" s="667"/>
      <c r="U16" s="668"/>
      <c r="V16" s="667"/>
      <c r="W16" s="668"/>
      <c r="X16" s="1265"/>
      <c r="Y16" s="336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7"/>
      <c r="Q17" s="1263" t="str">
        <f>B17</f>
        <v>交通便捷度</v>
      </c>
      <c r="R17" s="667" t="s">
        <v>14</v>
      </c>
      <c r="S17" s="668">
        <f>F17</f>
        <v>100</v>
      </c>
      <c r="T17" s="667" t="s">
        <v>14</v>
      </c>
      <c r="U17" s="668">
        <f>H17</f>
        <v>100</v>
      </c>
      <c r="V17" s="667" t="s">
        <v>14</v>
      </c>
      <c r="W17" s="668">
        <f>J17</f>
        <v>100</v>
      </c>
      <c r="X17" s="1265"/>
      <c r="Y17" s="336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7"/>
      <c r="Q18" s="1263"/>
      <c r="R18" s="667"/>
      <c r="S18" s="668"/>
      <c r="T18" s="667"/>
      <c r="U18" s="668"/>
      <c r="V18" s="667"/>
      <c r="W18" s="668"/>
      <c r="X18" s="1265"/>
      <c r="Y18" s="336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7"/>
      <c r="Q19" s="1263" t="str">
        <f>B19</f>
        <v>公共配套设施</v>
      </c>
      <c r="R19" s="667" t="s">
        <v>14</v>
      </c>
      <c r="S19" s="668">
        <f>F19</f>
        <v>100</v>
      </c>
      <c r="T19" s="667" t="s">
        <v>14</v>
      </c>
      <c r="U19" s="668">
        <f>H19</f>
        <v>100</v>
      </c>
      <c r="V19" s="667" t="s">
        <v>14</v>
      </c>
      <c r="W19" s="668">
        <f>J19</f>
        <v>100</v>
      </c>
      <c r="X19" s="1265"/>
      <c r="Y19" s="336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7"/>
      <c r="Q20" s="1263"/>
      <c r="R20" s="667"/>
      <c r="S20" s="668"/>
      <c r="T20" s="667"/>
      <c r="U20" s="668"/>
      <c r="V20" s="667"/>
      <c r="W20" s="668"/>
      <c r="X20" s="1265"/>
      <c r="Y20" s="336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7"/>
      <c r="Q21" s="1263" t="str">
        <f>B21</f>
        <v>基础设施水平</v>
      </c>
      <c r="R21" s="667" t="s">
        <v>14</v>
      </c>
      <c r="S21" s="668">
        <f>F21</f>
        <v>100</v>
      </c>
      <c r="T21" s="667" t="s">
        <v>14</v>
      </c>
      <c r="U21" s="668">
        <f>H21</f>
        <v>100</v>
      </c>
      <c r="V21" s="667" t="s">
        <v>14</v>
      </c>
      <c r="W21" s="668">
        <f>J21</f>
        <v>100</v>
      </c>
      <c r="X21" s="1265"/>
      <c r="Y21" s="33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7"/>
      <c r="Q22" s="1263"/>
      <c r="R22" s="667"/>
      <c r="S22" s="668"/>
      <c r="T22" s="667"/>
      <c r="U22" s="668"/>
      <c r="V22" s="667"/>
      <c r="W22" s="668"/>
      <c r="X22" s="1265"/>
      <c r="Y22" s="336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7"/>
      <c r="Q23" s="1263" t="str">
        <f>B23</f>
        <v>环境质量</v>
      </c>
      <c r="R23" s="667" t="s">
        <v>14</v>
      </c>
      <c r="S23" s="668">
        <f>F23</f>
        <v>100</v>
      </c>
      <c r="T23" s="667" t="s">
        <v>14</v>
      </c>
      <c r="U23" s="668">
        <f>H23</f>
        <v>100</v>
      </c>
      <c r="V23" s="667" t="s">
        <v>14</v>
      </c>
      <c r="W23" s="668">
        <f>J23</f>
        <v>100</v>
      </c>
      <c r="X23" s="1265"/>
      <c r="Y23" s="336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7"/>
      <c r="Q24" s="1263"/>
      <c r="R24" s="667"/>
      <c r="S24" s="668"/>
      <c r="T24" s="667"/>
      <c r="U24" s="668"/>
      <c r="V24" s="667"/>
      <c r="W24" s="668"/>
      <c r="X24" s="1265"/>
      <c r="Y24" s="336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7"/>
      <c r="Q25" s="1263">
        <f>B25</f>
        <v>111</v>
      </c>
      <c r="R25" s="667" t="s">
        <v>14</v>
      </c>
      <c r="S25" s="668">
        <f>F25</f>
        <v>100</v>
      </c>
      <c r="T25" s="667" t="s">
        <v>14</v>
      </c>
      <c r="U25" s="668">
        <f>H25</f>
        <v>100</v>
      </c>
      <c r="V25" s="667" t="s">
        <v>14</v>
      </c>
      <c r="W25" s="668">
        <f>J25</f>
        <v>100</v>
      </c>
      <c r="X25" s="1265"/>
      <c r="Y25" s="336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7"/>
      <c r="Q26" s="1263">
        <f t="shared" ref="Q26:Q40" si="11">B26</f>
        <v>111</v>
      </c>
      <c r="R26" s="667" t="s">
        <v>14</v>
      </c>
      <c r="S26" s="668">
        <f>F26</f>
        <v>100</v>
      </c>
      <c r="T26" s="667" t="s">
        <v>14</v>
      </c>
      <c r="U26" s="668">
        <f>H26</f>
        <v>100</v>
      </c>
      <c r="V26" s="667" t="s">
        <v>14</v>
      </c>
      <c r="W26" s="668">
        <f>J26</f>
        <v>100</v>
      </c>
      <c r="X26" s="1265"/>
      <c r="Y26" s="336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7"/>
      <c r="Q27" s="530">
        <f t="shared" si="11"/>
        <v>111</v>
      </c>
      <c r="R27" s="664" t="s">
        <v>14</v>
      </c>
      <c r="S27" s="665">
        <f>F27</f>
        <v>100</v>
      </c>
      <c r="T27" s="664" t="s">
        <v>14</v>
      </c>
      <c r="U27" s="665">
        <f>H27</f>
        <v>100</v>
      </c>
      <c r="V27" s="664" t="s">
        <v>14</v>
      </c>
      <c r="W27" s="665">
        <f>J27</f>
        <v>100</v>
      </c>
      <c r="X27" s="666"/>
      <c r="Y27" s="336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7"/>
      <c r="Q28" s="1263">
        <f t="shared" si="11"/>
        <v>111</v>
      </c>
      <c r="R28" s="667" t="s">
        <v>14</v>
      </c>
      <c r="S28" s="668">
        <f t="shared" ref="S28:S40" si="12">F28</f>
        <v>100</v>
      </c>
      <c r="T28" s="667" t="s">
        <v>14</v>
      </c>
      <c r="U28" s="668">
        <f t="shared" ref="U28:U40" si="13">H28</f>
        <v>100</v>
      </c>
      <c r="V28" s="667" t="s">
        <v>14</v>
      </c>
      <c r="W28" s="668">
        <f t="shared" ref="W28:W40" si="14">J28</f>
        <v>100</v>
      </c>
      <c r="X28" s="1265"/>
      <c r="Y28" s="336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5" t="s">
        <v>1696</v>
      </c>
      <c r="Q29" s="1263" t="str">
        <f t="shared" si="11"/>
        <v>建筑类型</v>
      </c>
      <c r="R29" s="667" t="s">
        <v>14</v>
      </c>
      <c r="S29" s="668">
        <f t="shared" si="12"/>
        <v>100</v>
      </c>
      <c r="T29" s="667" t="s">
        <v>14</v>
      </c>
      <c r="U29" s="668">
        <f t="shared" si="13"/>
        <v>100</v>
      </c>
      <c r="V29" s="667" t="s">
        <v>14</v>
      </c>
      <c r="W29" s="668">
        <f t="shared" si="14"/>
        <v>100</v>
      </c>
      <c r="X29" s="1265"/>
      <c r="Y29" s="337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1"/>
      <c r="Q30" s="531" t="str">
        <f t="shared" si="11"/>
        <v>项目建筑规模</v>
      </c>
      <c r="R30" s="669" t="s">
        <v>14</v>
      </c>
      <c r="S30" s="670" t="e">
        <f t="shared" si="12"/>
        <v>#N/A</v>
      </c>
      <c r="T30" s="669" t="s">
        <v>14</v>
      </c>
      <c r="U30" s="670" t="e">
        <f t="shared" si="13"/>
        <v>#N/A</v>
      </c>
      <c r="V30" s="669" t="s">
        <v>14</v>
      </c>
      <c r="W30" s="670" t="e">
        <f t="shared" si="14"/>
        <v>#N/A</v>
      </c>
      <c r="X30" s="671"/>
      <c r="Y30" s="337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1"/>
      <c r="Q31" s="1263" t="str">
        <f t="shared" si="11"/>
        <v>建筑结构</v>
      </c>
      <c r="R31" s="667" t="s">
        <v>14</v>
      </c>
      <c r="S31" s="668">
        <f t="shared" si="12"/>
        <v>100</v>
      </c>
      <c r="T31" s="667" t="s">
        <v>14</v>
      </c>
      <c r="U31" s="668">
        <f t="shared" si="13"/>
        <v>100</v>
      </c>
      <c r="V31" s="667" t="s">
        <v>14</v>
      </c>
      <c r="W31" s="668">
        <f t="shared" si="14"/>
        <v>100</v>
      </c>
      <c r="X31" s="1265"/>
      <c r="Y31" s="337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1"/>
      <c r="Q32" s="1263" t="str">
        <f t="shared" si="11"/>
        <v>公共部分装修</v>
      </c>
      <c r="R32" s="667" t="s">
        <v>14</v>
      </c>
      <c r="S32" s="668">
        <f t="shared" si="12"/>
        <v>100</v>
      </c>
      <c r="T32" s="667" t="s">
        <v>14</v>
      </c>
      <c r="U32" s="668">
        <f t="shared" si="13"/>
        <v>100</v>
      </c>
      <c r="V32" s="667" t="s">
        <v>14</v>
      </c>
      <c r="W32" s="668">
        <f t="shared" si="14"/>
        <v>100</v>
      </c>
      <c r="X32" s="1265"/>
      <c r="Y32" s="337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1"/>
      <c r="Q33" s="1263" t="str">
        <f t="shared" si="11"/>
        <v>成新度</v>
      </c>
      <c r="R33" s="667" t="s">
        <v>14</v>
      </c>
      <c r="S33" s="668" t="e">
        <f t="shared" si="12"/>
        <v>#N/A</v>
      </c>
      <c r="T33" s="667" t="s">
        <v>14</v>
      </c>
      <c r="U33" s="668" t="e">
        <f t="shared" si="13"/>
        <v>#N/A</v>
      </c>
      <c r="V33" s="667" t="s">
        <v>14</v>
      </c>
      <c r="W33" s="668" t="e">
        <f t="shared" si="14"/>
        <v>#N/A</v>
      </c>
      <c r="X33" s="1265"/>
      <c r="Y33" s="337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1"/>
      <c r="Q34" s="530" t="str">
        <f t="shared" si="11"/>
        <v>物业管理</v>
      </c>
      <c r="R34" s="664" t="s">
        <v>14</v>
      </c>
      <c r="S34" s="665">
        <f t="shared" si="12"/>
        <v>100</v>
      </c>
      <c r="T34" s="664" t="s">
        <v>14</v>
      </c>
      <c r="U34" s="665">
        <f t="shared" si="13"/>
        <v>100</v>
      </c>
      <c r="V34" s="664" t="s">
        <v>14</v>
      </c>
      <c r="W34" s="665">
        <f t="shared" si="14"/>
        <v>100</v>
      </c>
      <c r="X34" s="666"/>
      <c r="Y34" s="337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1" t="s">
        <v>1696</v>
      </c>
      <c r="Q35" s="1263" t="str">
        <f t="shared" si="11"/>
        <v>市政基础设施</v>
      </c>
      <c r="R35" s="667" t="s">
        <v>14</v>
      </c>
      <c r="S35" s="668">
        <f t="shared" si="12"/>
        <v>100</v>
      </c>
      <c r="T35" s="667" t="s">
        <v>14</v>
      </c>
      <c r="U35" s="668">
        <f t="shared" si="13"/>
        <v>100</v>
      </c>
      <c r="V35" s="667" t="s">
        <v>14</v>
      </c>
      <c r="W35" s="668">
        <f t="shared" si="14"/>
        <v>100</v>
      </c>
      <c r="X35" s="1265"/>
      <c r="Y35" s="337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1"/>
      <c r="Q36" s="1263" t="str">
        <f t="shared" si="11"/>
        <v>内部装修</v>
      </c>
      <c r="R36" s="667" t="s">
        <v>14</v>
      </c>
      <c r="S36" s="668">
        <f t="shared" si="12"/>
        <v>100</v>
      </c>
      <c r="T36" s="667" t="s">
        <v>14</v>
      </c>
      <c r="U36" s="668">
        <f t="shared" si="13"/>
        <v>100</v>
      </c>
      <c r="V36" s="667" t="s">
        <v>14</v>
      </c>
      <c r="W36" s="668">
        <f t="shared" si="14"/>
        <v>100</v>
      </c>
      <c r="X36" s="1265"/>
      <c r="Y36" s="337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1"/>
      <c r="Q37" s="1263" t="str">
        <f t="shared" si="11"/>
        <v>内部装修状况</v>
      </c>
      <c r="R37" s="667" t="s">
        <v>14</v>
      </c>
      <c r="S37" s="668">
        <f t="shared" si="12"/>
        <v>100</v>
      </c>
      <c r="T37" s="667" t="s">
        <v>14</v>
      </c>
      <c r="U37" s="668">
        <f t="shared" si="13"/>
        <v>100</v>
      </c>
      <c r="V37" s="667" t="s">
        <v>14</v>
      </c>
      <c r="W37" s="668">
        <f t="shared" si="14"/>
        <v>100</v>
      </c>
      <c r="X37" s="1265"/>
      <c r="Y37" s="337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1"/>
      <c r="Q38" s="531">
        <f t="shared" si="11"/>
        <v>111</v>
      </c>
      <c r="R38" s="669" t="s">
        <v>14</v>
      </c>
      <c r="S38" s="670">
        <f t="shared" si="12"/>
        <v>100</v>
      </c>
      <c r="T38" s="669" t="s">
        <v>14</v>
      </c>
      <c r="U38" s="670">
        <f t="shared" si="13"/>
        <v>100</v>
      </c>
      <c r="V38" s="669" t="s">
        <v>14</v>
      </c>
      <c r="W38" s="670">
        <f t="shared" si="14"/>
        <v>100</v>
      </c>
      <c r="X38" s="671"/>
      <c r="Y38" s="337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1"/>
      <c r="Q39" s="1263">
        <f t="shared" si="11"/>
        <v>111</v>
      </c>
      <c r="R39" s="667" t="s">
        <v>14</v>
      </c>
      <c r="S39" s="668">
        <f t="shared" si="12"/>
        <v>100</v>
      </c>
      <c r="T39" s="667" t="s">
        <v>14</v>
      </c>
      <c r="U39" s="668">
        <f t="shared" si="13"/>
        <v>100</v>
      </c>
      <c r="V39" s="667" t="s">
        <v>14</v>
      </c>
      <c r="W39" s="668">
        <f t="shared" si="14"/>
        <v>100</v>
      </c>
      <c r="X39" s="1265"/>
      <c r="Y39" s="337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2"/>
      <c r="Q40" s="1263">
        <f t="shared" si="11"/>
        <v>111</v>
      </c>
      <c r="R40" s="667" t="s">
        <v>14</v>
      </c>
      <c r="S40" s="668">
        <f t="shared" si="12"/>
        <v>100</v>
      </c>
      <c r="T40" s="667" t="s">
        <v>14</v>
      </c>
      <c r="U40" s="668">
        <f t="shared" si="13"/>
        <v>100</v>
      </c>
      <c r="V40" s="667" t="s">
        <v>14</v>
      </c>
      <c r="W40" s="668">
        <f t="shared" si="14"/>
        <v>100</v>
      </c>
      <c r="X40" s="1265"/>
      <c r="Y40" s="337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59" t="str">
        <f>A41</f>
        <v>成交单价（元/平方米）</v>
      </c>
      <c r="Q41" s="3359"/>
      <c r="R41" s="3360">
        <f>E41</f>
        <v>0</v>
      </c>
      <c r="S41" s="3360"/>
      <c r="T41" s="3360">
        <f>G41</f>
        <v>0</v>
      </c>
      <c r="U41" s="3360"/>
      <c r="V41" s="3360">
        <f>I41</f>
        <v>0</v>
      </c>
      <c r="W41" s="3360"/>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59" t="str">
        <f>A42</f>
        <v>比较价值（元/平方米）</v>
      </c>
      <c r="Q42" s="3359"/>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2" t="str">
        <f>A43</f>
        <v>估价对象XX用房的比较价值（楼面单价，元/平方米）</v>
      </c>
      <c r="Q43" s="3433"/>
      <c r="R43" s="3434" t="e">
        <f>IF(F1="售价",ROUND(IF(D42="简单平均",AVERAGE(R42:V42),R42*F42+T42*H42+V42*J42),0),ROUND(IF(D42="简单平均",AVERAGE(R42:V42),R42*F42+T42*H42+V42*J42),1))</f>
        <v>#DIV/0!</v>
      </c>
      <c r="S43" s="3434"/>
      <c r="T43" s="3434"/>
      <c r="U43" s="3434"/>
      <c r="V43" s="3434"/>
      <c r="W43" s="343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436" t="s">
        <v>1775</v>
      </c>
      <c r="Q4" s="3437"/>
      <c r="R4" s="3440" t="s">
        <v>1771</v>
      </c>
      <c r="S4" s="3441"/>
      <c r="T4" s="3440" t="s">
        <v>1772</v>
      </c>
      <c r="U4" s="3441"/>
      <c r="V4" s="3360" t="s">
        <v>1773</v>
      </c>
      <c r="W4" s="3360"/>
      <c r="X4" s="1265"/>
      <c r="Y4" s="3440" t="s">
        <v>1775</v>
      </c>
      <c r="Z4" s="3441"/>
      <c r="AA4" s="3435" t="s">
        <v>1771</v>
      </c>
      <c r="AB4" s="3404" t="s">
        <v>1772</v>
      </c>
      <c r="AC4" s="3435" t="s">
        <v>1773</v>
      </c>
    </row>
    <row r="5" spans="1:29">
      <c r="A5" s="348"/>
      <c r="B5" s="349"/>
      <c r="C5" s="3442" t="s">
        <v>1673</v>
      </c>
      <c r="D5" s="3396"/>
      <c r="E5" s="3443" t="s">
        <v>1674</v>
      </c>
      <c r="F5" s="3444"/>
      <c r="G5" s="3442" t="s">
        <v>1675</v>
      </c>
      <c r="H5" s="3396"/>
      <c r="I5" s="3442" t="s">
        <v>1676</v>
      </c>
      <c r="J5" s="3396"/>
      <c r="K5" s="537"/>
      <c r="L5" s="2484"/>
      <c r="M5" s="2485"/>
      <c r="N5" s="2485"/>
      <c r="O5" s="2485"/>
      <c r="P5" s="3438"/>
      <c r="Q5" s="3383"/>
      <c r="R5" s="3388"/>
      <c r="S5" s="3389"/>
      <c r="T5" s="3388"/>
      <c r="U5" s="3389"/>
      <c r="V5" s="3360"/>
      <c r="W5" s="3360"/>
      <c r="X5" s="1265"/>
      <c r="Y5" s="3388"/>
      <c r="Z5" s="3389"/>
      <c r="AA5" s="3404"/>
      <c r="AB5" s="3404"/>
      <c r="AC5" s="3404"/>
    </row>
    <row r="6" spans="1:29" ht="15" thickBot="1">
      <c r="A6" s="350"/>
      <c r="B6" s="351"/>
      <c r="C6" s="3393" t="s">
        <v>1677</v>
      </c>
      <c r="D6" s="3394"/>
      <c r="E6" s="3401" t="s">
        <v>1677</v>
      </c>
      <c r="F6" s="3402"/>
      <c r="G6" s="3393" t="s">
        <v>1677</v>
      </c>
      <c r="H6" s="3394"/>
      <c r="I6" s="3393" t="s">
        <v>1677</v>
      </c>
      <c r="J6" s="3394"/>
      <c r="K6" s="537" t="s">
        <v>1678</v>
      </c>
      <c r="L6" s="2484"/>
      <c r="M6" s="2485"/>
      <c r="N6" s="2485"/>
      <c r="O6" s="2485"/>
      <c r="P6" s="3439"/>
      <c r="Q6" s="3385"/>
      <c r="R6" s="3388"/>
      <c r="S6" s="3389"/>
      <c r="T6" s="3390"/>
      <c r="U6" s="3391"/>
      <c r="V6" s="3360"/>
      <c r="W6" s="3360"/>
      <c r="X6" s="1265"/>
      <c r="Y6" s="3390"/>
      <c r="Z6" s="3391"/>
      <c r="AA6" s="3405"/>
      <c r="AB6" s="3405"/>
      <c r="AC6" s="3405"/>
    </row>
    <row r="7" spans="1:29" s="102" customFormat="1" ht="15" thickBot="1">
      <c r="A7" s="352" t="s">
        <v>1679</v>
      </c>
      <c r="B7" s="353"/>
      <c r="C7" s="354">
        <f>'数据-取费表'!B2</f>
        <v>45814</v>
      </c>
      <c r="D7" s="355">
        <v>100</v>
      </c>
      <c r="E7" s="356"/>
      <c r="F7" s="357">
        <f>SUMIF(48:48,YEAR(E7)&amp;"-"&amp;MONTH(E7),49:49)</f>
        <v>0</v>
      </c>
      <c r="G7" s="356"/>
      <c r="H7" s="355">
        <f>SUMIF(48:48,YEAR(G7)&amp;"-"&amp;MONTH(G7),49:49)</f>
        <v>0</v>
      </c>
      <c r="I7" s="356"/>
      <c r="J7" s="355">
        <f>SUMIF(48:48,YEAR(I7)&amp;"-"&amp;MONTH(I7),49:49)</f>
        <v>0</v>
      </c>
      <c r="K7" s="38"/>
      <c r="L7" s="2486"/>
      <c r="M7" s="2438"/>
      <c r="N7" s="2438"/>
      <c r="O7" s="2438"/>
      <c r="P7" s="3399" t="s">
        <v>1680</v>
      </c>
      <c r="Q7" s="3400"/>
      <c r="R7" s="664" t="s">
        <v>14</v>
      </c>
      <c r="S7" s="665">
        <f t="shared" ref="S7:S14" si="0">F7</f>
        <v>0</v>
      </c>
      <c r="T7" s="664" t="s">
        <v>14</v>
      </c>
      <c r="U7" s="665">
        <f t="shared" ref="U7:U14" si="1">H7</f>
        <v>0</v>
      </c>
      <c r="V7" s="664" t="s">
        <v>14</v>
      </c>
      <c r="W7" s="665">
        <f t="shared" ref="W7:W14" si="2">J7</f>
        <v>0</v>
      </c>
      <c r="X7" s="666"/>
      <c r="Y7" s="3399" t="s">
        <v>1680</v>
      </c>
      <c r="Z7" s="339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99" t="s">
        <v>1683</v>
      </c>
      <c r="Q8" s="3398"/>
      <c r="R8" s="664" t="s">
        <v>14</v>
      </c>
      <c r="S8" s="665">
        <f t="shared" si="0"/>
        <v>100</v>
      </c>
      <c r="T8" s="664" t="s">
        <v>14</v>
      </c>
      <c r="U8" s="665">
        <f t="shared" si="1"/>
        <v>100</v>
      </c>
      <c r="V8" s="664" t="s">
        <v>14</v>
      </c>
      <c r="W8" s="665">
        <f t="shared" si="2"/>
        <v>100</v>
      </c>
      <c r="X8" s="666"/>
      <c r="Y8" s="3399" t="s">
        <v>1683</v>
      </c>
      <c r="Z8" s="339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59"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59"/>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59"/>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59"/>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59"/>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66" t="s">
        <v>1691</v>
      </c>
      <c r="Q14" s="1263" t="str">
        <f t="shared" si="6"/>
        <v>交通便捷度</v>
      </c>
      <c r="R14" s="667" t="s">
        <v>14</v>
      </c>
      <c r="S14" s="668">
        <f t="shared" si="0"/>
        <v>100</v>
      </c>
      <c r="T14" s="667" t="s">
        <v>14</v>
      </c>
      <c r="U14" s="668">
        <f t="shared" si="1"/>
        <v>100</v>
      </c>
      <c r="V14" s="667" t="s">
        <v>14</v>
      </c>
      <c r="W14" s="668">
        <f t="shared" si="2"/>
        <v>100</v>
      </c>
      <c r="X14" s="1265"/>
      <c r="Y14" s="336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67"/>
      <c r="Q15" s="1263"/>
      <c r="R15" s="667"/>
      <c r="S15" s="668"/>
      <c r="T15" s="667"/>
      <c r="U15" s="668"/>
      <c r="V15" s="667"/>
      <c r="W15" s="668"/>
      <c r="X15" s="1265"/>
      <c r="Y15" s="336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67"/>
      <c r="Q16" s="1263" t="str">
        <f>B16</f>
        <v>公共配套设施</v>
      </c>
      <c r="R16" s="667" t="s">
        <v>14</v>
      </c>
      <c r="S16" s="668">
        <f>F16</f>
        <v>100</v>
      </c>
      <c r="T16" s="667" t="s">
        <v>14</v>
      </c>
      <c r="U16" s="668">
        <f>H16</f>
        <v>100</v>
      </c>
      <c r="V16" s="667" t="s">
        <v>14</v>
      </c>
      <c r="W16" s="668">
        <f>J16</f>
        <v>100</v>
      </c>
      <c r="X16" s="1265"/>
      <c r="Y16" s="336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67"/>
      <c r="Q17" s="1263"/>
      <c r="R17" s="667"/>
      <c r="S17" s="668"/>
      <c r="T17" s="667"/>
      <c r="U17" s="668"/>
      <c r="V17" s="667"/>
      <c r="W17" s="668"/>
      <c r="X17" s="1265"/>
      <c r="Y17" s="336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67"/>
      <c r="Q18" s="1263" t="str">
        <f>B18</f>
        <v>基础设施水平</v>
      </c>
      <c r="R18" s="667" t="s">
        <v>14</v>
      </c>
      <c r="S18" s="668">
        <f>F18</f>
        <v>100</v>
      </c>
      <c r="T18" s="667" t="s">
        <v>14</v>
      </c>
      <c r="U18" s="668">
        <f>H18</f>
        <v>100</v>
      </c>
      <c r="V18" s="667" t="s">
        <v>14</v>
      </c>
      <c r="W18" s="668">
        <f>J18</f>
        <v>100</v>
      </c>
      <c r="X18" s="1265"/>
      <c r="Y18" s="336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67"/>
      <c r="Q19" s="1263"/>
      <c r="R19" s="667"/>
      <c r="S19" s="668"/>
      <c r="T19" s="667"/>
      <c r="U19" s="668"/>
      <c r="V19" s="667"/>
      <c r="W19" s="668"/>
      <c r="X19" s="1265"/>
      <c r="Y19" s="336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67"/>
      <c r="Q20" s="1263" t="str">
        <f>B20</f>
        <v>自然及人文环境</v>
      </c>
      <c r="R20" s="667" t="s">
        <v>14</v>
      </c>
      <c r="S20" s="668">
        <f>F20</f>
        <v>100</v>
      </c>
      <c r="T20" s="667" t="s">
        <v>14</v>
      </c>
      <c r="U20" s="668">
        <f>H20</f>
        <v>100</v>
      </c>
      <c r="V20" s="667" t="s">
        <v>14</v>
      </c>
      <c r="W20" s="668">
        <f>J20</f>
        <v>100</v>
      </c>
      <c r="X20" s="1265"/>
      <c r="Y20" s="336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67"/>
      <c r="Q21" s="1263"/>
      <c r="R21" s="667"/>
      <c r="S21" s="668"/>
      <c r="T21" s="667"/>
      <c r="U21" s="668"/>
      <c r="V21" s="667"/>
      <c r="W21" s="668"/>
      <c r="X21" s="1265"/>
      <c r="Y21" s="336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67"/>
      <c r="Q22" s="1263" t="str">
        <f>B22</f>
        <v>楼层</v>
      </c>
      <c r="R22" s="667" t="s">
        <v>14</v>
      </c>
      <c r="S22" s="668">
        <f>F22</f>
        <v>100</v>
      </c>
      <c r="T22" s="667" t="s">
        <v>14</v>
      </c>
      <c r="U22" s="668">
        <f>H22</f>
        <v>100</v>
      </c>
      <c r="V22" s="667" t="s">
        <v>14</v>
      </c>
      <c r="W22" s="668">
        <f>J22</f>
        <v>100</v>
      </c>
      <c r="X22" s="1265"/>
      <c r="Y22" s="336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67"/>
      <c r="Q23" s="1263">
        <f>B23</f>
        <v>111</v>
      </c>
      <c r="R23" s="667" t="s">
        <v>14</v>
      </c>
      <c r="S23" s="668">
        <f>F23</f>
        <v>100</v>
      </c>
      <c r="T23" s="667" t="s">
        <v>14</v>
      </c>
      <c r="U23" s="668">
        <f>H23</f>
        <v>100</v>
      </c>
      <c r="V23" s="667" t="s">
        <v>14</v>
      </c>
      <c r="W23" s="668">
        <f>J23</f>
        <v>100</v>
      </c>
      <c r="X23" s="1265"/>
      <c r="Y23" s="336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67"/>
      <c r="Q24" s="1263">
        <f t="shared" ref="Q24:Q36" si="11">B24</f>
        <v>111</v>
      </c>
      <c r="R24" s="667" t="s">
        <v>14</v>
      </c>
      <c r="S24" s="668">
        <f>F24</f>
        <v>100</v>
      </c>
      <c r="T24" s="667" t="s">
        <v>14</v>
      </c>
      <c r="U24" s="668">
        <f>H24</f>
        <v>100</v>
      </c>
      <c r="V24" s="667" t="s">
        <v>14</v>
      </c>
      <c r="W24" s="668">
        <f>J24</f>
        <v>100</v>
      </c>
      <c r="X24" s="1265"/>
      <c r="Y24" s="336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67"/>
      <c r="Q25" s="530">
        <f t="shared" si="11"/>
        <v>111</v>
      </c>
      <c r="R25" s="664" t="s">
        <v>14</v>
      </c>
      <c r="S25" s="665">
        <f>F25</f>
        <v>100</v>
      </c>
      <c r="T25" s="664" t="s">
        <v>14</v>
      </c>
      <c r="U25" s="665">
        <f>H25</f>
        <v>100</v>
      </c>
      <c r="V25" s="664" t="s">
        <v>14</v>
      </c>
      <c r="W25" s="665">
        <f>J25</f>
        <v>100</v>
      </c>
      <c r="X25" s="666"/>
      <c r="Y25" s="336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71"/>
      <c r="Q27" s="531" t="str">
        <f t="shared" si="11"/>
        <v>项目停车位配比</v>
      </c>
      <c r="R27" s="669" t="s">
        <v>14</v>
      </c>
      <c r="S27" s="670">
        <f t="shared" si="12"/>
        <v>100</v>
      </c>
      <c r="T27" s="669" t="s">
        <v>14</v>
      </c>
      <c r="U27" s="670">
        <f t="shared" si="13"/>
        <v>100</v>
      </c>
      <c r="V27" s="669" t="s">
        <v>14</v>
      </c>
      <c r="W27" s="670">
        <f t="shared" si="14"/>
        <v>100</v>
      </c>
      <c r="X27" s="671"/>
      <c r="Y27" s="337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71"/>
      <c r="Q28" s="1263" t="str">
        <f t="shared" si="11"/>
        <v>公共部分装修</v>
      </c>
      <c r="R28" s="667" t="s">
        <v>14</v>
      </c>
      <c r="S28" s="668">
        <f t="shared" si="12"/>
        <v>100</v>
      </c>
      <c r="T28" s="667" t="s">
        <v>14</v>
      </c>
      <c r="U28" s="668">
        <f t="shared" si="13"/>
        <v>100</v>
      </c>
      <c r="V28" s="667" t="s">
        <v>14</v>
      </c>
      <c r="W28" s="668">
        <f t="shared" si="14"/>
        <v>100</v>
      </c>
      <c r="X28" s="1265"/>
      <c r="Y28" s="337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71"/>
      <c r="Q29" s="1263" t="str">
        <f t="shared" si="11"/>
        <v>成新率</v>
      </c>
      <c r="R29" s="667" t="s">
        <v>14</v>
      </c>
      <c r="S29" s="668" t="e">
        <f t="shared" si="12"/>
        <v>#N/A</v>
      </c>
      <c r="T29" s="667" t="s">
        <v>14</v>
      </c>
      <c r="U29" s="668" t="e">
        <f t="shared" si="13"/>
        <v>#N/A</v>
      </c>
      <c r="V29" s="667" t="s">
        <v>14</v>
      </c>
      <c r="W29" s="668" t="e">
        <f t="shared" si="14"/>
        <v>#N/A</v>
      </c>
      <c r="X29" s="1265"/>
      <c r="Y29" s="337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71"/>
      <c r="Q30" s="1263" t="str">
        <f t="shared" si="11"/>
        <v>物业等级</v>
      </c>
      <c r="R30" s="667" t="s">
        <v>14</v>
      </c>
      <c r="S30" s="668">
        <f t="shared" si="12"/>
        <v>100</v>
      </c>
      <c r="T30" s="667" t="s">
        <v>14</v>
      </c>
      <c r="U30" s="668">
        <f t="shared" si="13"/>
        <v>100</v>
      </c>
      <c r="V30" s="667" t="s">
        <v>14</v>
      </c>
      <c r="W30" s="668">
        <f t="shared" si="14"/>
        <v>100</v>
      </c>
      <c r="X30" s="1265"/>
      <c r="Y30" s="337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71"/>
      <c r="Q31" s="530" t="str">
        <f t="shared" si="11"/>
        <v>停车位面积</v>
      </c>
      <c r="R31" s="664" t="s">
        <v>14</v>
      </c>
      <c r="S31" s="665" t="e">
        <f t="shared" si="12"/>
        <v>#N/A</v>
      </c>
      <c r="T31" s="664" t="s">
        <v>14</v>
      </c>
      <c r="U31" s="665" t="e">
        <f t="shared" si="13"/>
        <v>#N/A</v>
      </c>
      <c r="V31" s="664" t="s">
        <v>14</v>
      </c>
      <c r="W31" s="665" t="e">
        <f t="shared" si="14"/>
        <v>#N/A</v>
      </c>
      <c r="X31" s="666"/>
      <c r="Y31" s="337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71" t="s">
        <v>1696</v>
      </c>
      <c r="Q32" s="1263" t="str">
        <f t="shared" si="11"/>
        <v>车位类型</v>
      </c>
      <c r="R32" s="667" t="s">
        <v>14</v>
      </c>
      <c r="S32" s="668">
        <f t="shared" si="12"/>
        <v>100</v>
      </c>
      <c r="T32" s="667" t="s">
        <v>14</v>
      </c>
      <c r="U32" s="668">
        <f t="shared" si="13"/>
        <v>100</v>
      </c>
      <c r="V32" s="667" t="s">
        <v>14</v>
      </c>
      <c r="W32" s="668">
        <f t="shared" si="14"/>
        <v>100</v>
      </c>
      <c r="X32" s="1265"/>
      <c r="Y32" s="337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71"/>
      <c r="Q33" s="1263" t="str">
        <f t="shared" si="11"/>
        <v>是否直接入户</v>
      </c>
      <c r="R33" s="667" t="s">
        <v>14</v>
      </c>
      <c r="S33" s="668">
        <f t="shared" si="12"/>
        <v>100</v>
      </c>
      <c r="T33" s="667" t="s">
        <v>14</v>
      </c>
      <c r="U33" s="668">
        <f t="shared" si="13"/>
        <v>100</v>
      </c>
      <c r="V33" s="667" t="s">
        <v>14</v>
      </c>
      <c r="W33" s="668">
        <f t="shared" si="14"/>
        <v>100</v>
      </c>
      <c r="X33" s="1265"/>
      <c r="Y33" s="337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71"/>
      <c r="Q34" s="1263">
        <f t="shared" si="11"/>
        <v>111</v>
      </c>
      <c r="R34" s="667" t="s">
        <v>14</v>
      </c>
      <c r="S34" s="668">
        <f t="shared" si="12"/>
        <v>100</v>
      </c>
      <c r="T34" s="667" t="s">
        <v>14</v>
      </c>
      <c r="U34" s="668">
        <f t="shared" si="13"/>
        <v>100</v>
      </c>
      <c r="V34" s="667" t="s">
        <v>14</v>
      </c>
      <c r="W34" s="668">
        <f t="shared" si="14"/>
        <v>100</v>
      </c>
      <c r="X34" s="1265"/>
      <c r="Y34" s="337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71"/>
      <c r="Q35" s="531">
        <f t="shared" si="11"/>
        <v>111</v>
      </c>
      <c r="R35" s="669" t="s">
        <v>14</v>
      </c>
      <c r="S35" s="670">
        <f t="shared" si="12"/>
        <v>100</v>
      </c>
      <c r="T35" s="669" t="s">
        <v>14</v>
      </c>
      <c r="U35" s="670">
        <f t="shared" si="13"/>
        <v>100</v>
      </c>
      <c r="V35" s="669" t="s">
        <v>14</v>
      </c>
      <c r="W35" s="670">
        <f t="shared" si="14"/>
        <v>100</v>
      </c>
      <c r="X35" s="671"/>
      <c r="Y35" s="337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71"/>
      <c r="Q36" s="1263">
        <f t="shared" si="11"/>
        <v>111</v>
      </c>
      <c r="R36" s="667" t="s">
        <v>14</v>
      </c>
      <c r="S36" s="668">
        <f t="shared" si="12"/>
        <v>100</v>
      </c>
      <c r="T36" s="667" t="s">
        <v>14</v>
      </c>
      <c r="U36" s="668">
        <f t="shared" si="13"/>
        <v>100</v>
      </c>
      <c r="V36" s="667" t="s">
        <v>14</v>
      </c>
      <c r="W36" s="668">
        <f t="shared" si="14"/>
        <v>100</v>
      </c>
      <c r="X36" s="1265"/>
      <c r="Y36" s="3371"/>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2"/>
      <c r="M37" s="2485"/>
      <c r="N37" s="2485"/>
      <c r="O37" s="2485"/>
      <c r="P37" s="3359" t="str">
        <f>A37</f>
        <v>成交单价</v>
      </c>
      <c r="Q37" s="3359"/>
      <c r="R37" s="3360">
        <f>E37</f>
        <v>0</v>
      </c>
      <c r="S37" s="3360"/>
      <c r="T37" s="3360">
        <f>G37</f>
        <v>0</v>
      </c>
      <c r="U37" s="3360"/>
      <c r="V37" s="3360">
        <f>I37</f>
        <v>0</v>
      </c>
      <c r="W37" s="3360"/>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59" t="str">
        <f>A38</f>
        <v>比较价值（元/平方米）</v>
      </c>
      <c r="Q38" s="3359"/>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32" t="str">
        <f>A39</f>
        <v>估价对象XX用房的比较价值（楼面单价，元/平方米）</v>
      </c>
      <c r="Q39" s="3433"/>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受贵公司委托，我公司对北京市房山区怡和北路5号院14号楼2层201房地产抵押价值进行了预评估。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估价对象为北京市房山区怡和北路5号院14号楼2层201房地产，为北京出岫科技有限公司所有。根据《国有土地使用证》[]，估价对象（分摊）出让国有建设用地使用权面积为0平方米，建筑面积为66.63平方米。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怡和北路5号院14号楼2层201房地产,属北京出岫科技有限公司开发建设的办公项目，该项目尚在开发建设中。根据《国有土地使用证》[]，估价对象（分摊）出让国有建设用地使用权面积为0平方米，规划建筑面积为66.63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山区怡和北路5号院14号楼2层201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2025年6月6日（评估专业人员实地查勘之日）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6日，估价对象规划用途为商务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436" t="s">
        <v>1775</v>
      </c>
      <c r="Q4" s="3437"/>
      <c r="R4" s="3440" t="s">
        <v>1771</v>
      </c>
      <c r="S4" s="3441"/>
      <c r="T4" s="3440" t="s">
        <v>1772</v>
      </c>
      <c r="U4" s="3441"/>
      <c r="V4" s="3360" t="s">
        <v>1773</v>
      </c>
      <c r="W4" s="3360"/>
      <c r="X4" s="1265"/>
      <c r="Y4" s="3440" t="s">
        <v>1775</v>
      </c>
      <c r="Z4" s="3441"/>
      <c r="AA4" s="3435" t="s">
        <v>1771</v>
      </c>
      <c r="AB4" s="3404" t="s">
        <v>1772</v>
      </c>
      <c r="AC4" s="3435" t="s">
        <v>1773</v>
      </c>
    </row>
    <row r="5" spans="1:29">
      <c r="A5" s="348"/>
      <c r="B5" s="349"/>
      <c r="C5" s="3442" t="s">
        <v>1673</v>
      </c>
      <c r="D5" s="3396"/>
      <c r="E5" s="3443" t="s">
        <v>1674</v>
      </c>
      <c r="F5" s="3444"/>
      <c r="G5" s="3442" t="s">
        <v>1675</v>
      </c>
      <c r="H5" s="3396"/>
      <c r="I5" s="3442" t="s">
        <v>1676</v>
      </c>
      <c r="J5" s="3396"/>
      <c r="K5" s="537"/>
      <c r="L5" s="2484"/>
      <c r="M5" s="2485"/>
      <c r="N5" s="2485"/>
      <c r="O5" s="2485"/>
      <c r="P5" s="3438"/>
      <c r="Q5" s="3383"/>
      <c r="R5" s="3388"/>
      <c r="S5" s="3389"/>
      <c r="T5" s="3388"/>
      <c r="U5" s="3389"/>
      <c r="V5" s="3360"/>
      <c r="W5" s="3360"/>
      <c r="X5" s="1265"/>
      <c r="Y5" s="3388"/>
      <c r="Z5" s="3389"/>
      <c r="AA5" s="3404"/>
      <c r="AB5" s="3404"/>
      <c r="AC5" s="3404"/>
    </row>
    <row r="6" spans="1:29" ht="15" thickBot="1">
      <c r="A6" s="350"/>
      <c r="B6" s="351"/>
      <c r="C6" s="3393" t="s">
        <v>1677</v>
      </c>
      <c r="D6" s="3394"/>
      <c r="E6" s="3401" t="s">
        <v>1677</v>
      </c>
      <c r="F6" s="3402"/>
      <c r="G6" s="3393" t="s">
        <v>1677</v>
      </c>
      <c r="H6" s="3394"/>
      <c r="I6" s="3393" t="s">
        <v>1677</v>
      </c>
      <c r="J6" s="3394"/>
      <c r="K6" s="537" t="s">
        <v>1678</v>
      </c>
      <c r="L6" s="2484"/>
      <c r="M6" s="2485"/>
      <c r="N6" s="2485"/>
      <c r="O6" s="2485"/>
      <c r="P6" s="3439"/>
      <c r="Q6" s="3385"/>
      <c r="R6" s="3388"/>
      <c r="S6" s="3389"/>
      <c r="T6" s="3390"/>
      <c r="U6" s="3391"/>
      <c r="V6" s="3360"/>
      <c r="W6" s="3360"/>
      <c r="X6" s="1265"/>
      <c r="Y6" s="3390"/>
      <c r="Z6" s="3391"/>
      <c r="AA6" s="3405"/>
      <c r="AB6" s="3405"/>
      <c r="AC6" s="3405"/>
    </row>
    <row r="7" spans="1:29" s="102" customFormat="1" ht="15" thickBot="1">
      <c r="A7" s="352" t="s">
        <v>1679</v>
      </c>
      <c r="B7" s="353"/>
      <c r="C7" s="354">
        <f>'数据-取费表'!B2</f>
        <v>45814</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99" t="s">
        <v>1680</v>
      </c>
      <c r="Q7" s="3400"/>
      <c r="R7" s="664" t="s">
        <v>14</v>
      </c>
      <c r="S7" s="665">
        <f t="shared" ref="S7:S14" si="0">F7</f>
        <v>0</v>
      </c>
      <c r="T7" s="664" t="s">
        <v>14</v>
      </c>
      <c r="U7" s="665">
        <f t="shared" ref="U7:U14" si="1">H7</f>
        <v>0</v>
      </c>
      <c r="V7" s="664" t="s">
        <v>14</v>
      </c>
      <c r="W7" s="665">
        <f t="shared" ref="W7:W14" si="2">J7</f>
        <v>0</v>
      </c>
      <c r="X7" s="666"/>
      <c r="Y7" s="3399" t="s">
        <v>1680</v>
      </c>
      <c r="Z7" s="339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99" t="s">
        <v>1683</v>
      </c>
      <c r="Q8" s="3398"/>
      <c r="R8" s="664" t="s">
        <v>14</v>
      </c>
      <c r="S8" s="665">
        <f t="shared" si="0"/>
        <v>100</v>
      </c>
      <c r="T8" s="664" t="s">
        <v>14</v>
      </c>
      <c r="U8" s="665">
        <f t="shared" si="1"/>
        <v>100</v>
      </c>
      <c r="V8" s="664" t="s">
        <v>14</v>
      </c>
      <c r="W8" s="665">
        <f t="shared" si="2"/>
        <v>100</v>
      </c>
      <c r="X8" s="666"/>
      <c r="Y8" s="3399" t="s">
        <v>1683</v>
      </c>
      <c r="Z8" s="339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59"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59"/>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59"/>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59"/>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59"/>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66" t="s">
        <v>1691</v>
      </c>
      <c r="Q14" s="1263" t="str">
        <f t="shared" si="6"/>
        <v>交通便捷度</v>
      </c>
      <c r="R14" s="667" t="s">
        <v>14</v>
      </c>
      <c r="S14" s="668">
        <f t="shared" si="0"/>
        <v>100</v>
      </c>
      <c r="T14" s="667" t="s">
        <v>14</v>
      </c>
      <c r="U14" s="668">
        <f t="shared" si="1"/>
        <v>100</v>
      </c>
      <c r="V14" s="667" t="s">
        <v>14</v>
      </c>
      <c r="W14" s="668">
        <f t="shared" si="2"/>
        <v>100</v>
      </c>
      <c r="X14" s="1265"/>
      <c r="Y14" s="336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67"/>
      <c r="Q15" s="1263"/>
      <c r="R15" s="667"/>
      <c r="S15" s="668"/>
      <c r="T15" s="667"/>
      <c r="U15" s="668"/>
      <c r="V15" s="667"/>
      <c r="W15" s="668"/>
      <c r="X15" s="1265"/>
      <c r="Y15" s="336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67"/>
      <c r="Q16" s="1263" t="str">
        <f>B16</f>
        <v>公共配套设施</v>
      </c>
      <c r="R16" s="667" t="s">
        <v>14</v>
      </c>
      <c r="S16" s="668">
        <f>F16</f>
        <v>100</v>
      </c>
      <c r="T16" s="667" t="s">
        <v>14</v>
      </c>
      <c r="U16" s="668">
        <f>H16</f>
        <v>100</v>
      </c>
      <c r="V16" s="667" t="s">
        <v>14</v>
      </c>
      <c r="W16" s="668">
        <f>J16</f>
        <v>100</v>
      </c>
      <c r="X16" s="1265"/>
      <c r="Y16" s="336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67"/>
      <c r="Q17" s="1263"/>
      <c r="R17" s="667"/>
      <c r="S17" s="668"/>
      <c r="T17" s="667"/>
      <c r="U17" s="668"/>
      <c r="V17" s="667"/>
      <c r="W17" s="668"/>
      <c r="X17" s="1265"/>
      <c r="Y17" s="336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67"/>
      <c r="Q18" s="1263" t="str">
        <f>B18</f>
        <v>基础设施水平</v>
      </c>
      <c r="R18" s="667" t="s">
        <v>14</v>
      </c>
      <c r="S18" s="668">
        <f>F18</f>
        <v>100</v>
      </c>
      <c r="T18" s="667" t="s">
        <v>14</v>
      </c>
      <c r="U18" s="668">
        <f>H18</f>
        <v>100</v>
      </c>
      <c r="V18" s="667" t="s">
        <v>14</v>
      </c>
      <c r="W18" s="668">
        <f>J18</f>
        <v>100</v>
      </c>
      <c r="X18" s="1265"/>
      <c r="Y18" s="336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67"/>
      <c r="Q19" s="1263"/>
      <c r="R19" s="667"/>
      <c r="S19" s="668"/>
      <c r="T19" s="667"/>
      <c r="U19" s="668"/>
      <c r="V19" s="667"/>
      <c r="W19" s="668"/>
      <c r="X19" s="1265"/>
      <c r="Y19" s="336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67"/>
      <c r="Q20" s="1263" t="str">
        <f>B20</f>
        <v>自然及人文环境</v>
      </c>
      <c r="R20" s="667" t="s">
        <v>14</v>
      </c>
      <c r="S20" s="668">
        <f>F20</f>
        <v>100</v>
      </c>
      <c r="T20" s="667" t="s">
        <v>14</v>
      </c>
      <c r="U20" s="668">
        <f>H20</f>
        <v>100</v>
      </c>
      <c r="V20" s="667" t="s">
        <v>14</v>
      </c>
      <c r="W20" s="668">
        <f>J20</f>
        <v>100</v>
      </c>
      <c r="X20" s="1265"/>
      <c r="Y20" s="336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67"/>
      <c r="Q21" s="1263"/>
      <c r="R21" s="667"/>
      <c r="S21" s="668"/>
      <c r="T21" s="667"/>
      <c r="U21" s="668"/>
      <c r="V21" s="667"/>
      <c r="W21" s="668"/>
      <c r="X21" s="1265"/>
      <c r="Y21" s="336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67"/>
      <c r="Q22" s="1263" t="str">
        <f>B22</f>
        <v>楼层</v>
      </c>
      <c r="R22" s="667" t="s">
        <v>14</v>
      </c>
      <c r="S22" s="668">
        <f>F22</f>
        <v>100</v>
      </c>
      <c r="T22" s="667" t="s">
        <v>14</v>
      </c>
      <c r="U22" s="668">
        <f>H22</f>
        <v>100</v>
      </c>
      <c r="V22" s="667" t="s">
        <v>14</v>
      </c>
      <c r="W22" s="668">
        <f>J22</f>
        <v>100</v>
      </c>
      <c r="X22" s="1265"/>
      <c r="Y22" s="336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67"/>
      <c r="Q23" s="1263">
        <f>B23</f>
        <v>111</v>
      </c>
      <c r="R23" s="667" t="s">
        <v>14</v>
      </c>
      <c r="S23" s="668">
        <f>F23</f>
        <v>100</v>
      </c>
      <c r="T23" s="667" t="s">
        <v>14</v>
      </c>
      <c r="U23" s="668">
        <f>H23</f>
        <v>100</v>
      </c>
      <c r="V23" s="667" t="s">
        <v>14</v>
      </c>
      <c r="W23" s="668">
        <f>J23</f>
        <v>100</v>
      </c>
      <c r="X23" s="1265"/>
      <c r="Y23" s="336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67"/>
      <c r="Q24" s="1263">
        <f t="shared" ref="Q24:Q34" si="11">B24</f>
        <v>111</v>
      </c>
      <c r="R24" s="667" t="s">
        <v>14</v>
      </c>
      <c r="S24" s="668">
        <f>F24</f>
        <v>100</v>
      </c>
      <c r="T24" s="667" t="s">
        <v>14</v>
      </c>
      <c r="U24" s="668">
        <f>H24</f>
        <v>100</v>
      </c>
      <c r="V24" s="667" t="s">
        <v>14</v>
      </c>
      <c r="W24" s="668">
        <f>J24</f>
        <v>100</v>
      </c>
      <c r="X24" s="1265"/>
      <c r="Y24" s="336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67"/>
      <c r="Q25" s="530">
        <f t="shared" si="11"/>
        <v>111</v>
      </c>
      <c r="R25" s="664" t="s">
        <v>14</v>
      </c>
      <c r="S25" s="665">
        <f>F25</f>
        <v>100</v>
      </c>
      <c r="T25" s="664" t="s">
        <v>14</v>
      </c>
      <c r="U25" s="665">
        <f>H25</f>
        <v>100</v>
      </c>
      <c r="V25" s="664" t="s">
        <v>14</v>
      </c>
      <c r="W25" s="665">
        <f>J25</f>
        <v>100</v>
      </c>
      <c r="X25" s="666"/>
      <c r="Y25" s="336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71"/>
      <c r="Q27" s="531" t="str">
        <f t="shared" si="11"/>
        <v>成新率</v>
      </c>
      <c r="R27" s="669" t="s">
        <v>14</v>
      </c>
      <c r="S27" s="670" t="e">
        <f t="shared" si="12"/>
        <v>#N/A</v>
      </c>
      <c r="T27" s="669" t="s">
        <v>14</v>
      </c>
      <c r="U27" s="670" t="e">
        <f t="shared" si="13"/>
        <v>#N/A</v>
      </c>
      <c r="V27" s="669" t="s">
        <v>14</v>
      </c>
      <c r="W27" s="670" t="e">
        <f t="shared" si="14"/>
        <v>#N/A</v>
      </c>
      <c r="X27" s="671"/>
      <c r="Y27" s="337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71"/>
      <c r="Q28" s="1263" t="str">
        <f t="shared" si="11"/>
        <v>物业等级</v>
      </c>
      <c r="R28" s="667" t="s">
        <v>14</v>
      </c>
      <c r="S28" s="668">
        <f t="shared" si="12"/>
        <v>100</v>
      </c>
      <c r="T28" s="667" t="s">
        <v>14</v>
      </c>
      <c r="U28" s="668">
        <f t="shared" si="13"/>
        <v>100</v>
      </c>
      <c r="V28" s="667" t="s">
        <v>14</v>
      </c>
      <c r="W28" s="668">
        <f t="shared" si="14"/>
        <v>100</v>
      </c>
      <c r="X28" s="1265"/>
      <c r="Y28" s="337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71"/>
      <c r="Q29" s="1263" t="str">
        <f t="shared" si="11"/>
        <v>有无电梯</v>
      </c>
      <c r="R29" s="667" t="s">
        <v>14</v>
      </c>
      <c r="S29" s="668">
        <f t="shared" si="12"/>
        <v>100</v>
      </c>
      <c r="T29" s="667" t="s">
        <v>14</v>
      </c>
      <c r="U29" s="668">
        <f t="shared" si="13"/>
        <v>100</v>
      </c>
      <c r="V29" s="667" t="s">
        <v>14</v>
      </c>
      <c r="W29" s="668">
        <f t="shared" si="14"/>
        <v>100</v>
      </c>
      <c r="X29" s="1265"/>
      <c r="Y29" s="337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71"/>
      <c r="Q30" s="1263" t="str">
        <f t="shared" si="11"/>
        <v>建筑面积</v>
      </c>
      <c r="R30" s="667" t="s">
        <v>14</v>
      </c>
      <c r="S30" s="668" t="e">
        <f t="shared" si="12"/>
        <v>#N/A</v>
      </c>
      <c r="T30" s="667" t="s">
        <v>14</v>
      </c>
      <c r="U30" s="668" t="e">
        <f t="shared" si="13"/>
        <v>#N/A</v>
      </c>
      <c r="V30" s="667" t="s">
        <v>14</v>
      </c>
      <c r="W30" s="668" t="e">
        <f t="shared" si="14"/>
        <v>#N/A</v>
      </c>
      <c r="X30" s="1265"/>
      <c r="Y30" s="337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71"/>
      <c r="Q31" s="530" t="str">
        <f t="shared" si="11"/>
        <v>是否封闭</v>
      </c>
      <c r="R31" s="664" t="s">
        <v>14</v>
      </c>
      <c r="S31" s="665">
        <f t="shared" si="12"/>
        <v>100</v>
      </c>
      <c r="T31" s="664" t="s">
        <v>14</v>
      </c>
      <c r="U31" s="665">
        <f t="shared" si="13"/>
        <v>100</v>
      </c>
      <c r="V31" s="664" t="s">
        <v>14</v>
      </c>
      <c r="W31" s="665">
        <f t="shared" si="14"/>
        <v>100</v>
      </c>
      <c r="X31" s="666"/>
      <c r="Y31" s="337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71" t="s">
        <v>1696</v>
      </c>
      <c r="Q32" s="1263">
        <f t="shared" si="11"/>
        <v>111</v>
      </c>
      <c r="R32" s="667" t="s">
        <v>14</v>
      </c>
      <c r="S32" s="668">
        <f t="shared" si="12"/>
        <v>100</v>
      </c>
      <c r="T32" s="667" t="s">
        <v>14</v>
      </c>
      <c r="U32" s="668">
        <f t="shared" si="13"/>
        <v>100</v>
      </c>
      <c r="V32" s="667" t="s">
        <v>14</v>
      </c>
      <c r="W32" s="668">
        <f t="shared" si="14"/>
        <v>100</v>
      </c>
      <c r="X32" s="1265"/>
      <c r="Y32" s="337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71"/>
      <c r="Q33" s="1263">
        <f t="shared" si="11"/>
        <v>111</v>
      </c>
      <c r="R33" s="667" t="s">
        <v>14</v>
      </c>
      <c r="S33" s="668">
        <f t="shared" si="12"/>
        <v>100</v>
      </c>
      <c r="T33" s="667" t="s">
        <v>14</v>
      </c>
      <c r="U33" s="668">
        <f t="shared" si="13"/>
        <v>100</v>
      </c>
      <c r="V33" s="667" t="s">
        <v>14</v>
      </c>
      <c r="W33" s="668">
        <f t="shared" si="14"/>
        <v>100</v>
      </c>
      <c r="X33" s="1265"/>
      <c r="Y33" s="337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71"/>
      <c r="Q34" s="1263">
        <f t="shared" si="11"/>
        <v>111</v>
      </c>
      <c r="R34" s="667" t="s">
        <v>14</v>
      </c>
      <c r="S34" s="668">
        <f t="shared" si="12"/>
        <v>100</v>
      </c>
      <c r="T34" s="667" t="s">
        <v>14</v>
      </c>
      <c r="U34" s="668">
        <f t="shared" si="13"/>
        <v>100</v>
      </c>
      <c r="V34" s="667" t="s">
        <v>14</v>
      </c>
      <c r="W34" s="668">
        <f t="shared" si="14"/>
        <v>100</v>
      </c>
      <c r="X34" s="1265"/>
      <c r="Y34" s="337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59" t="str">
        <f>A35</f>
        <v>成交单价（元/平方米）</v>
      </c>
      <c r="Q35" s="3359"/>
      <c r="R35" s="3360">
        <f>E35</f>
        <v>0</v>
      </c>
      <c r="S35" s="3360"/>
      <c r="T35" s="3360">
        <f>G35</f>
        <v>0</v>
      </c>
      <c r="U35" s="3360"/>
      <c r="V35" s="3360">
        <f>I35</f>
        <v>0</v>
      </c>
      <c r="W35" s="3360"/>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59" t="str">
        <f>A36</f>
        <v>比较价值（元/平方米）</v>
      </c>
      <c r="Q36" s="3359"/>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32" t="str">
        <f>A37</f>
        <v>估价对象XX用房的比较价值（楼面单价，元/平方米）</v>
      </c>
      <c r="Q37" s="3433"/>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436" t="s">
        <v>1775</v>
      </c>
      <c r="Q4" s="3437"/>
      <c r="R4" s="3440" t="s">
        <v>1771</v>
      </c>
      <c r="S4" s="3441"/>
      <c r="T4" s="3440" t="s">
        <v>1772</v>
      </c>
      <c r="U4" s="3441"/>
      <c r="V4" s="3360" t="s">
        <v>1773</v>
      </c>
      <c r="W4" s="3360"/>
      <c r="X4" s="1265"/>
      <c r="Y4" s="3440" t="s">
        <v>1775</v>
      </c>
      <c r="Z4" s="3441"/>
      <c r="AA4" s="3435" t="s">
        <v>1771</v>
      </c>
      <c r="AB4" s="3404" t="s">
        <v>1772</v>
      </c>
      <c r="AC4" s="3435" t="s">
        <v>1773</v>
      </c>
    </row>
    <row r="5" spans="1:29">
      <c r="A5" s="348"/>
      <c r="B5" s="349"/>
      <c r="C5" s="3442" t="s">
        <v>1673</v>
      </c>
      <c r="D5" s="3396"/>
      <c r="E5" s="3443" t="s">
        <v>1674</v>
      </c>
      <c r="F5" s="3444"/>
      <c r="G5" s="3442" t="s">
        <v>1675</v>
      </c>
      <c r="H5" s="3396"/>
      <c r="I5" s="3442" t="s">
        <v>1676</v>
      </c>
      <c r="J5" s="3396"/>
      <c r="K5" s="537"/>
      <c r="L5" s="2484"/>
      <c r="M5" s="2485"/>
      <c r="N5" s="2485"/>
      <c r="O5" s="2485"/>
      <c r="P5" s="3438"/>
      <c r="Q5" s="3383"/>
      <c r="R5" s="3388"/>
      <c r="S5" s="3389"/>
      <c r="T5" s="3388"/>
      <c r="U5" s="3389"/>
      <c r="V5" s="3360"/>
      <c r="W5" s="3360"/>
      <c r="X5" s="1265"/>
      <c r="Y5" s="3388"/>
      <c r="Z5" s="3389"/>
      <c r="AA5" s="3404"/>
      <c r="AB5" s="3404"/>
      <c r="AC5" s="3404"/>
    </row>
    <row r="6" spans="1:29" ht="15" thickBot="1">
      <c r="A6" s="350"/>
      <c r="B6" s="351"/>
      <c r="C6" s="3393" t="s">
        <v>1677</v>
      </c>
      <c r="D6" s="3394"/>
      <c r="E6" s="3401" t="s">
        <v>1677</v>
      </c>
      <c r="F6" s="3402"/>
      <c r="G6" s="3393" t="s">
        <v>1677</v>
      </c>
      <c r="H6" s="3394"/>
      <c r="I6" s="3393" t="s">
        <v>1677</v>
      </c>
      <c r="J6" s="3394"/>
      <c r="K6" s="537" t="s">
        <v>1678</v>
      </c>
      <c r="L6" s="2484"/>
      <c r="M6" s="2485"/>
      <c r="N6" s="2485"/>
      <c r="O6" s="2485"/>
      <c r="P6" s="3439"/>
      <c r="Q6" s="3385"/>
      <c r="R6" s="3388"/>
      <c r="S6" s="3389"/>
      <c r="T6" s="3390"/>
      <c r="U6" s="3391"/>
      <c r="V6" s="3360"/>
      <c r="W6" s="3360"/>
      <c r="X6" s="1265"/>
      <c r="Y6" s="3390"/>
      <c r="Z6" s="3391"/>
      <c r="AA6" s="3405"/>
      <c r="AB6" s="3405"/>
      <c r="AC6" s="3405"/>
    </row>
    <row r="7" spans="1:29" s="102" customFormat="1" ht="15" thickBot="1">
      <c r="A7" s="352" t="s">
        <v>1679</v>
      </c>
      <c r="B7" s="353"/>
      <c r="C7" s="354">
        <f>'数据-取费表'!B2</f>
        <v>45814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99" t="s">
        <v>1680</v>
      </c>
      <c r="Q7" s="3400"/>
      <c r="R7" s="664" t="s">
        <v>14</v>
      </c>
      <c r="S7" s="665">
        <f t="shared" ref="S7:S15" si="0">F7</f>
        <v>0</v>
      </c>
      <c r="T7" s="664" t="s">
        <v>14</v>
      </c>
      <c r="U7" s="665">
        <f t="shared" ref="U7:U15" si="1">H7</f>
        <v>0</v>
      </c>
      <c r="V7" s="664" t="s">
        <v>14</v>
      </c>
      <c r="W7" s="665">
        <f t="shared" ref="W7:W15" si="2">J7</f>
        <v>0</v>
      </c>
      <c r="X7" s="666"/>
      <c r="Y7" s="3399" t="s">
        <v>1680</v>
      </c>
      <c r="Z7" s="339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99" t="s">
        <v>1683</v>
      </c>
      <c r="Q8" s="3398"/>
      <c r="R8" s="664" t="s">
        <v>14</v>
      </c>
      <c r="S8" s="665">
        <f t="shared" si="0"/>
        <v>0</v>
      </c>
      <c r="T8" s="664" t="s">
        <v>14</v>
      </c>
      <c r="U8" s="665">
        <f t="shared" si="1"/>
        <v>0</v>
      </c>
      <c r="V8" s="664" t="s">
        <v>14</v>
      </c>
      <c r="W8" s="665">
        <f t="shared" si="2"/>
        <v>0</v>
      </c>
      <c r="X8" s="666"/>
      <c r="Y8" s="3399" t="s">
        <v>1683</v>
      </c>
      <c r="Z8" s="339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59"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111</v>
      </c>
      <c r="G10" s="402"/>
      <c r="H10" s="119">
        <f>ROUND(100/'数据-取费表'!G16,0)</f>
        <v>111</v>
      </c>
      <c r="I10" s="402"/>
      <c r="J10" s="119">
        <f>ROUND(100/'数据-取费表'!G16,0)</f>
        <v>111</v>
      </c>
      <c r="K10" s="592"/>
      <c r="L10" s="2487"/>
      <c r="M10" s="2488"/>
      <c r="N10" s="2488"/>
      <c r="O10" s="2539"/>
      <c r="P10" s="3359"/>
      <c r="Q10" s="530" t="str">
        <f t="shared" si="6"/>
        <v>土地使用年限（年）</v>
      </c>
      <c r="R10" s="664" t="s">
        <v>14</v>
      </c>
      <c r="S10" s="665">
        <f t="shared" si="0"/>
        <v>111</v>
      </c>
      <c r="T10" s="664" t="s">
        <v>14</v>
      </c>
      <c r="U10" s="665">
        <f t="shared" si="1"/>
        <v>111</v>
      </c>
      <c r="V10" s="664" t="s">
        <v>14</v>
      </c>
      <c r="W10" s="665">
        <f t="shared" si="2"/>
        <v>111</v>
      </c>
      <c r="X10" s="666"/>
      <c r="Y10" s="3262"/>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59"/>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59"/>
      <c r="Q12" s="530" t="str">
        <f t="shared" si="6"/>
        <v>配建</v>
      </c>
      <c r="R12" s="664" t="s">
        <v>14</v>
      </c>
      <c r="S12" s="665">
        <f t="shared" si="0"/>
        <v>100</v>
      </c>
      <c r="T12" s="664" t="s">
        <v>14</v>
      </c>
      <c r="U12" s="665">
        <f t="shared" si="1"/>
        <v>100</v>
      </c>
      <c r="V12" s="664" t="s">
        <v>14</v>
      </c>
      <c r="W12" s="665">
        <f t="shared" si="2"/>
        <v>100</v>
      </c>
      <c r="X12" s="666"/>
      <c r="Y12" s="326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59"/>
      <c r="Q13" s="530">
        <f t="shared" si="6"/>
        <v>111</v>
      </c>
      <c r="R13" s="664" t="s">
        <v>14</v>
      </c>
      <c r="S13" s="665">
        <f t="shared" si="0"/>
        <v>100</v>
      </c>
      <c r="T13" s="664" t="s">
        <v>14</v>
      </c>
      <c r="U13" s="665">
        <f t="shared" si="1"/>
        <v>100</v>
      </c>
      <c r="V13" s="664" t="s">
        <v>14</v>
      </c>
      <c r="W13" s="665">
        <f t="shared" si="2"/>
        <v>100</v>
      </c>
      <c r="X13" s="666"/>
      <c r="Y13" s="326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59"/>
      <c r="Q14" s="530">
        <f t="shared" si="6"/>
        <v>111</v>
      </c>
      <c r="R14" s="664" t="s">
        <v>14</v>
      </c>
      <c r="S14" s="665">
        <f t="shared" si="0"/>
        <v>100</v>
      </c>
      <c r="T14" s="664" t="s">
        <v>14</v>
      </c>
      <c r="U14" s="665">
        <f t="shared" si="1"/>
        <v>100</v>
      </c>
      <c r="V14" s="664" t="s">
        <v>14</v>
      </c>
      <c r="W14" s="665">
        <f t="shared" si="2"/>
        <v>100</v>
      </c>
      <c r="X14" s="666"/>
      <c r="Y14" s="326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66" t="s">
        <v>1691</v>
      </c>
      <c r="Q15" s="1263" t="str">
        <f t="shared" si="6"/>
        <v>居住社区成熟度</v>
      </c>
      <c r="R15" s="667" t="s">
        <v>14</v>
      </c>
      <c r="S15" s="668">
        <f t="shared" si="0"/>
        <v>100</v>
      </c>
      <c r="T15" s="667" t="s">
        <v>14</v>
      </c>
      <c r="U15" s="668">
        <f t="shared" si="1"/>
        <v>100</v>
      </c>
      <c r="V15" s="667" t="s">
        <v>14</v>
      </c>
      <c r="W15" s="668">
        <f t="shared" si="2"/>
        <v>100</v>
      </c>
      <c r="X15" s="1265"/>
      <c r="Y15" s="336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67"/>
      <c r="Q16" s="1263"/>
      <c r="R16" s="667"/>
      <c r="S16" s="668"/>
      <c r="T16" s="667"/>
      <c r="U16" s="668"/>
      <c r="V16" s="667"/>
      <c r="W16" s="668"/>
      <c r="X16" s="1265"/>
      <c r="Y16" s="336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67"/>
      <c r="Q17" s="1263" t="str">
        <f>B17</f>
        <v>商业繁华度</v>
      </c>
      <c r="R17" s="667" t="s">
        <v>14</v>
      </c>
      <c r="S17" s="668">
        <f>F17</f>
        <v>100</v>
      </c>
      <c r="T17" s="667" t="s">
        <v>14</v>
      </c>
      <c r="U17" s="668">
        <f>H17</f>
        <v>100</v>
      </c>
      <c r="V17" s="667" t="s">
        <v>14</v>
      </c>
      <c r="W17" s="668">
        <f>J17</f>
        <v>100</v>
      </c>
      <c r="X17" s="1265"/>
      <c r="Y17" s="336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67"/>
      <c r="Q18" s="1263"/>
      <c r="R18" s="667"/>
      <c r="S18" s="668"/>
      <c r="T18" s="667"/>
      <c r="U18" s="668"/>
      <c r="V18" s="667"/>
      <c r="W18" s="668"/>
      <c r="X18" s="1265"/>
      <c r="Y18" s="336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67"/>
      <c r="Q19" s="1263" t="str">
        <f>B19</f>
        <v>办公集聚程度</v>
      </c>
      <c r="R19" s="667" t="s">
        <v>14</v>
      </c>
      <c r="S19" s="668">
        <f>F19</f>
        <v>100</v>
      </c>
      <c r="T19" s="667" t="s">
        <v>14</v>
      </c>
      <c r="U19" s="668">
        <f>H19</f>
        <v>100</v>
      </c>
      <c r="V19" s="667" t="s">
        <v>14</v>
      </c>
      <c r="W19" s="668">
        <f>J19</f>
        <v>100</v>
      </c>
      <c r="X19" s="1265"/>
      <c r="Y19" s="336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67"/>
      <c r="Q20" s="1263"/>
      <c r="R20" s="667"/>
      <c r="S20" s="668"/>
      <c r="T20" s="667"/>
      <c r="U20" s="668"/>
      <c r="V20" s="667"/>
      <c r="W20" s="668"/>
      <c r="X20" s="1265"/>
      <c r="Y20" s="336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67"/>
      <c r="Q21" s="1263" t="str">
        <f>B21</f>
        <v>交通便捷度</v>
      </c>
      <c r="R21" s="667" t="s">
        <v>14</v>
      </c>
      <c r="S21" s="668">
        <f>F21</f>
        <v>100</v>
      </c>
      <c r="T21" s="667" t="s">
        <v>14</v>
      </c>
      <c r="U21" s="668">
        <f>H21</f>
        <v>100</v>
      </c>
      <c r="V21" s="667" t="s">
        <v>14</v>
      </c>
      <c r="W21" s="668">
        <f>J21</f>
        <v>100</v>
      </c>
      <c r="X21" s="1265"/>
      <c r="Y21" s="336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67"/>
      <c r="Q22" s="1263"/>
      <c r="R22" s="667"/>
      <c r="S22" s="668"/>
      <c r="T22" s="667"/>
      <c r="U22" s="668"/>
      <c r="V22" s="667"/>
      <c r="W22" s="668"/>
      <c r="X22" s="1265"/>
      <c r="Y22" s="336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67"/>
      <c r="Q23" s="1263" t="str">
        <f t="shared" ref="Q23:Q37" si="8">B23</f>
        <v>区域土地利用方向</v>
      </c>
      <c r="R23" s="667" t="s">
        <v>14</v>
      </c>
      <c r="S23" s="668">
        <f>F23</f>
        <v>100</v>
      </c>
      <c r="T23" s="667" t="s">
        <v>14</v>
      </c>
      <c r="U23" s="668">
        <f>H23</f>
        <v>100</v>
      </c>
      <c r="V23" s="667" t="s">
        <v>14</v>
      </c>
      <c r="W23" s="668">
        <f>J23</f>
        <v>100</v>
      </c>
      <c r="X23" s="1265"/>
      <c r="Y23" s="336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67"/>
      <c r="Q24" s="1263"/>
      <c r="R24" s="667"/>
      <c r="S24" s="668"/>
      <c r="T24" s="667"/>
      <c r="U24" s="668"/>
      <c r="V24" s="667"/>
      <c r="W24" s="668"/>
      <c r="X24" s="1265"/>
      <c r="Y24" s="336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67"/>
      <c r="Q25" s="1263" t="str">
        <f t="shared" si="8"/>
        <v>自然及人文环境状况</v>
      </c>
      <c r="R25" s="667" t="s">
        <v>14</v>
      </c>
      <c r="S25" s="668">
        <f>F25</f>
        <v>100</v>
      </c>
      <c r="T25" s="667" t="s">
        <v>14</v>
      </c>
      <c r="U25" s="668">
        <f>H25</f>
        <v>100</v>
      </c>
      <c r="V25" s="667" t="s">
        <v>14</v>
      </c>
      <c r="W25" s="668">
        <f>J25</f>
        <v>100</v>
      </c>
      <c r="X25" s="1265"/>
      <c r="Y25" s="336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67"/>
      <c r="Q26" s="1263"/>
      <c r="R26" s="667"/>
      <c r="S26" s="668"/>
      <c r="T26" s="667"/>
      <c r="U26" s="668"/>
      <c r="V26" s="667"/>
      <c r="W26" s="668"/>
      <c r="X26" s="1265"/>
      <c r="Y26" s="336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67"/>
      <c r="Q27" s="530" t="str">
        <f t="shared" si="8"/>
        <v>公共配套设施</v>
      </c>
      <c r="R27" s="664" t="s">
        <v>14</v>
      </c>
      <c r="S27" s="665">
        <f>F27</f>
        <v>100</v>
      </c>
      <c r="T27" s="664" t="s">
        <v>14</v>
      </c>
      <c r="U27" s="665">
        <f>H27</f>
        <v>100</v>
      </c>
      <c r="V27" s="664" t="s">
        <v>14</v>
      </c>
      <c r="W27" s="665">
        <f>J27</f>
        <v>100</v>
      </c>
      <c r="X27" s="666"/>
      <c r="Y27" s="336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67"/>
      <c r="Q28" s="530"/>
      <c r="R28" s="664"/>
      <c r="S28" s="665"/>
      <c r="T28" s="664"/>
      <c r="U28" s="665"/>
      <c r="V28" s="664"/>
      <c r="W28" s="665"/>
      <c r="X28" s="666"/>
      <c r="Y28" s="336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67"/>
      <c r="Q29" s="530" t="str">
        <f t="shared" ref="Q29" si="9">B29</f>
        <v>基础设施水平</v>
      </c>
      <c r="R29" s="664" t="s">
        <v>14</v>
      </c>
      <c r="S29" s="665">
        <f>F29</f>
        <v>100</v>
      </c>
      <c r="T29" s="664" t="s">
        <v>14</v>
      </c>
      <c r="U29" s="665">
        <f>H29</f>
        <v>100</v>
      </c>
      <c r="V29" s="664" t="s">
        <v>14</v>
      </c>
      <c r="W29" s="665">
        <f>J29</f>
        <v>100</v>
      </c>
      <c r="X29" s="666"/>
      <c r="Y29" s="336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67"/>
      <c r="Q30" s="530"/>
      <c r="R30" s="664"/>
      <c r="S30" s="665"/>
      <c r="T30" s="664"/>
      <c r="U30" s="665"/>
      <c r="V30" s="664"/>
      <c r="W30" s="665"/>
      <c r="X30" s="666"/>
      <c r="Y30" s="336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6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67"/>
      <c r="Q32" s="1263" t="str">
        <f t="shared" si="8"/>
        <v>毗邻道路的类型与等级</v>
      </c>
      <c r="R32" s="667" t="s">
        <v>14</v>
      </c>
      <c r="S32" s="668">
        <f t="shared" si="10"/>
        <v>100</v>
      </c>
      <c r="T32" s="667" t="s">
        <v>14</v>
      </c>
      <c r="U32" s="668">
        <f t="shared" si="11"/>
        <v>100</v>
      </c>
      <c r="V32" s="667" t="s">
        <v>14</v>
      </c>
      <c r="W32" s="668">
        <f t="shared" si="12"/>
        <v>100</v>
      </c>
      <c r="X32" s="1265"/>
      <c r="Y32" s="336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67"/>
      <c r="Q33" s="1263"/>
      <c r="R33" s="667"/>
      <c r="S33" s="668"/>
      <c r="T33" s="667"/>
      <c r="U33" s="668"/>
      <c r="V33" s="667"/>
      <c r="W33" s="668"/>
      <c r="X33" s="1265"/>
      <c r="Y33" s="336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67"/>
      <c r="Q34" s="1263" t="str">
        <f t="shared" si="8"/>
        <v>土地级别</v>
      </c>
      <c r="R34" s="667" t="s">
        <v>14</v>
      </c>
      <c r="S34" s="668">
        <f t="shared" si="10"/>
        <v>100</v>
      </c>
      <c r="T34" s="667" t="s">
        <v>14</v>
      </c>
      <c r="U34" s="668">
        <f t="shared" si="11"/>
        <v>100</v>
      </c>
      <c r="V34" s="667" t="s">
        <v>14</v>
      </c>
      <c r="W34" s="668">
        <f t="shared" si="12"/>
        <v>100</v>
      </c>
      <c r="X34" s="1265"/>
      <c r="Y34" s="336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67"/>
      <c r="Q35" s="1263">
        <f t="shared" si="8"/>
        <v>111</v>
      </c>
      <c r="R35" s="667" t="s">
        <v>14</v>
      </c>
      <c r="S35" s="668">
        <f t="shared" si="10"/>
        <v>100</v>
      </c>
      <c r="T35" s="667" t="s">
        <v>14</v>
      </c>
      <c r="U35" s="668">
        <f t="shared" si="11"/>
        <v>100</v>
      </c>
      <c r="V35" s="667" t="s">
        <v>14</v>
      </c>
      <c r="W35" s="668">
        <f t="shared" si="12"/>
        <v>100</v>
      </c>
      <c r="X35" s="1265"/>
      <c r="Y35" s="336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5" t="s">
        <v>1696</v>
      </c>
      <c r="Q36" s="1263">
        <f t="shared" si="8"/>
        <v>111</v>
      </c>
      <c r="R36" s="667" t="s">
        <v>14</v>
      </c>
      <c r="S36" s="668">
        <f t="shared" si="10"/>
        <v>100</v>
      </c>
      <c r="T36" s="667" t="s">
        <v>14</v>
      </c>
      <c r="U36" s="668">
        <f t="shared" si="11"/>
        <v>100</v>
      </c>
      <c r="V36" s="667" t="s">
        <v>14</v>
      </c>
      <c r="W36" s="668">
        <f t="shared" si="12"/>
        <v>100</v>
      </c>
      <c r="X36" s="1265"/>
      <c r="Y36" s="337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71"/>
      <c r="Q37" s="1263">
        <f t="shared" si="8"/>
        <v>111</v>
      </c>
      <c r="R37" s="669" t="s">
        <v>14</v>
      </c>
      <c r="S37" s="670">
        <f t="shared" si="10"/>
        <v>100</v>
      </c>
      <c r="T37" s="669" t="s">
        <v>14</v>
      </c>
      <c r="U37" s="670">
        <f t="shared" si="11"/>
        <v>100</v>
      </c>
      <c r="V37" s="669" t="s">
        <v>14</v>
      </c>
      <c r="W37" s="670">
        <f t="shared" si="12"/>
        <v>100</v>
      </c>
      <c r="X37" s="671"/>
      <c r="Y37" s="337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71"/>
      <c r="Q38" s="1263" t="str">
        <f>B38</f>
        <v>宗地面积</v>
      </c>
      <c r="R38" s="667" t="s">
        <v>14</v>
      </c>
      <c r="S38" s="668" t="e">
        <f t="shared" si="10"/>
        <v>#N/A</v>
      </c>
      <c r="T38" s="667" t="s">
        <v>14</v>
      </c>
      <c r="U38" s="668" t="e">
        <f t="shared" si="11"/>
        <v>#N/A</v>
      </c>
      <c r="V38" s="667" t="s">
        <v>14</v>
      </c>
      <c r="W38" s="668" t="e">
        <f t="shared" si="12"/>
        <v>#N/A</v>
      </c>
      <c r="X38" s="1265"/>
      <c r="Y38" s="337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71"/>
      <c r="Q39" s="1263" t="str">
        <f t="shared" ref="Q39:Q45" si="14">B39</f>
        <v>宗地形状</v>
      </c>
      <c r="R39" s="667" t="s">
        <v>14</v>
      </c>
      <c r="S39" s="668">
        <f t="shared" si="10"/>
        <v>100</v>
      </c>
      <c r="T39" s="667" t="s">
        <v>14</v>
      </c>
      <c r="U39" s="668">
        <f t="shared" si="11"/>
        <v>100</v>
      </c>
      <c r="V39" s="667" t="s">
        <v>14</v>
      </c>
      <c r="W39" s="668">
        <f t="shared" si="12"/>
        <v>100</v>
      </c>
      <c r="X39" s="1265"/>
      <c r="Y39" s="337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71"/>
      <c r="Q40" s="1263" t="str">
        <f t="shared" si="14"/>
        <v>临街宽度及深度</v>
      </c>
      <c r="R40" s="667" t="s">
        <v>14</v>
      </c>
      <c r="S40" s="668">
        <f t="shared" si="10"/>
        <v>100</v>
      </c>
      <c r="T40" s="667" t="s">
        <v>14</v>
      </c>
      <c r="U40" s="668">
        <f t="shared" si="11"/>
        <v>100</v>
      </c>
      <c r="V40" s="667" t="s">
        <v>14</v>
      </c>
      <c r="W40" s="668">
        <f t="shared" si="12"/>
        <v>100</v>
      </c>
      <c r="X40" s="1265"/>
      <c r="Y40" s="337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71"/>
      <c r="Q41" s="1263" t="str">
        <f t="shared" si="14"/>
        <v>宗地开发程度</v>
      </c>
      <c r="R41" s="664" t="s">
        <v>14</v>
      </c>
      <c r="S41" s="665">
        <f t="shared" si="10"/>
        <v>100</v>
      </c>
      <c r="T41" s="664" t="s">
        <v>14</v>
      </c>
      <c r="U41" s="665">
        <f t="shared" si="11"/>
        <v>100</v>
      </c>
      <c r="V41" s="664" t="s">
        <v>14</v>
      </c>
      <c r="W41" s="665">
        <f t="shared" si="12"/>
        <v>100</v>
      </c>
      <c r="X41" s="666"/>
      <c r="Y41" s="337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71" t="s">
        <v>1696</v>
      </c>
      <c r="Q42" s="1263" t="str">
        <f t="shared" si="14"/>
        <v>工程地质条件</v>
      </c>
      <c r="R42" s="667" t="s">
        <v>14</v>
      </c>
      <c r="S42" s="668">
        <f t="shared" si="10"/>
        <v>100</v>
      </c>
      <c r="T42" s="667" t="s">
        <v>14</v>
      </c>
      <c r="U42" s="668">
        <f t="shared" si="11"/>
        <v>100</v>
      </c>
      <c r="V42" s="667" t="s">
        <v>14</v>
      </c>
      <c r="W42" s="668">
        <f t="shared" si="12"/>
        <v>100</v>
      </c>
      <c r="X42" s="1265"/>
      <c r="Y42" s="337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71"/>
      <c r="Q43" s="1263">
        <f t="shared" si="14"/>
        <v>111</v>
      </c>
      <c r="R43" s="667" t="s">
        <v>14</v>
      </c>
      <c r="S43" s="668">
        <f t="shared" si="10"/>
        <v>100</v>
      </c>
      <c r="T43" s="667" t="s">
        <v>14</v>
      </c>
      <c r="U43" s="668">
        <f t="shared" si="11"/>
        <v>100</v>
      </c>
      <c r="V43" s="667" t="s">
        <v>14</v>
      </c>
      <c r="W43" s="668">
        <f t="shared" si="12"/>
        <v>100</v>
      </c>
      <c r="X43" s="1265"/>
      <c r="Y43" s="337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71"/>
      <c r="Q44" s="1263">
        <f t="shared" si="14"/>
        <v>111</v>
      </c>
      <c r="R44" s="667" t="s">
        <v>14</v>
      </c>
      <c r="S44" s="668">
        <f t="shared" si="10"/>
        <v>100</v>
      </c>
      <c r="T44" s="667" t="s">
        <v>14</v>
      </c>
      <c r="U44" s="668">
        <f t="shared" si="11"/>
        <v>100</v>
      </c>
      <c r="V44" s="667" t="s">
        <v>14</v>
      </c>
      <c r="W44" s="668">
        <f t="shared" si="12"/>
        <v>100</v>
      </c>
      <c r="X44" s="1265"/>
      <c r="Y44" s="337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71"/>
      <c r="Q45" s="1263">
        <f t="shared" si="14"/>
        <v>111</v>
      </c>
      <c r="R45" s="669" t="s">
        <v>14</v>
      </c>
      <c r="S45" s="670">
        <f t="shared" si="10"/>
        <v>100</v>
      </c>
      <c r="T45" s="669" t="s">
        <v>14</v>
      </c>
      <c r="U45" s="670">
        <f t="shared" si="11"/>
        <v>100</v>
      </c>
      <c r="V45" s="669" t="s">
        <v>14</v>
      </c>
      <c r="W45" s="670">
        <f t="shared" si="12"/>
        <v>100</v>
      </c>
      <c r="X45" s="671"/>
      <c r="Y45" s="337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59" t="str">
        <f>A46</f>
        <v>成交单价</v>
      </c>
      <c r="Q46" s="3359"/>
      <c r="R46" s="3360">
        <f>E46</f>
        <v>0</v>
      </c>
      <c r="S46" s="3360"/>
      <c r="T46" s="3360">
        <f>G46</f>
        <v>0</v>
      </c>
      <c r="U46" s="3360"/>
      <c r="V46" s="3360">
        <f>I46</f>
        <v>0</v>
      </c>
      <c r="W46" s="3360"/>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59" t="str">
        <f>A47</f>
        <v>比较价值（元/平方米）</v>
      </c>
      <c r="Q47" s="3359"/>
      <c r="R47" s="3447" t="e">
        <f>ROUND(PRODUCT(R46,AA7:AA45),0)</f>
        <v>#DIV/0!</v>
      </c>
      <c r="S47" s="3447"/>
      <c r="T47" s="3447" t="e">
        <f>ROUND(PRODUCT(T46,AB7:AB45),0)</f>
        <v>#DIV/0!</v>
      </c>
      <c r="U47" s="3447"/>
      <c r="V47" s="3447" t="e">
        <f>ROUND(PRODUCT(V46,AC7:AC45),0)</f>
        <v>#DIV/0!</v>
      </c>
      <c r="W47" s="344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32" t="str">
        <f>A48</f>
        <v>估价对象XX用房的比较价值（楼面单价，元/平方米）</v>
      </c>
      <c r="Q48" s="3433"/>
      <c r="R48" s="3448" t="e">
        <f>ROUND(IF(D47="简单平均",AVERAGE(R47:W47),R47*F47+T47*H47+V47*J47),0)</f>
        <v>#DIV/0!</v>
      </c>
      <c r="S48" s="3448"/>
      <c r="T48" s="3448"/>
      <c r="U48" s="3448"/>
      <c r="V48" s="3448"/>
      <c r="W48" s="3448"/>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76" t="s">
        <v>1887</v>
      </c>
      <c r="H55" s="3449"/>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66.63</v>
      </c>
      <c r="F56" s="833" t="e">
        <f t="shared" ref="F56:F64" si="15">ROUND(B56*E56/10000,0)</f>
        <v>#DIV/0!</v>
      </c>
      <c r="G56" s="3358"/>
      <c r="H56" s="3359"/>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66.63</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6" t="s">
        <v>1770</v>
      </c>
      <c r="D4" s="3377"/>
      <c r="E4" s="3378" t="s">
        <v>1771</v>
      </c>
      <c r="F4" s="3379"/>
      <c r="G4" s="3376" t="s">
        <v>1772</v>
      </c>
      <c r="H4" s="3377"/>
      <c r="I4" s="3376" t="s">
        <v>1773</v>
      </c>
      <c r="J4" s="3377"/>
      <c r="K4" s="537" t="s">
        <v>1774</v>
      </c>
      <c r="L4" s="2484"/>
      <c r="M4" s="2485"/>
      <c r="N4" s="2485"/>
      <c r="O4" s="2485"/>
      <c r="P4" s="3436" t="s">
        <v>1775</v>
      </c>
      <c r="Q4" s="3437"/>
      <c r="R4" s="3440" t="s">
        <v>1771</v>
      </c>
      <c r="S4" s="3441"/>
      <c r="T4" s="3440" t="s">
        <v>1772</v>
      </c>
      <c r="U4" s="3441"/>
      <c r="V4" s="3360" t="s">
        <v>1773</v>
      </c>
      <c r="W4" s="3360"/>
      <c r="X4" s="1265"/>
      <c r="Y4" s="3440" t="s">
        <v>1775</v>
      </c>
      <c r="Z4" s="3441"/>
      <c r="AA4" s="3435" t="s">
        <v>1771</v>
      </c>
      <c r="AB4" s="3404" t="s">
        <v>1772</v>
      </c>
      <c r="AC4" s="3435" t="s">
        <v>1773</v>
      </c>
    </row>
    <row r="5" spans="1:29">
      <c r="A5" s="348"/>
      <c r="B5" s="349"/>
      <c r="C5" s="3442" t="s">
        <v>1673</v>
      </c>
      <c r="D5" s="3396"/>
      <c r="E5" s="3443" t="s">
        <v>1674</v>
      </c>
      <c r="F5" s="3444"/>
      <c r="G5" s="3442" t="s">
        <v>1675</v>
      </c>
      <c r="H5" s="3396"/>
      <c r="I5" s="3442" t="s">
        <v>1676</v>
      </c>
      <c r="J5" s="3396"/>
      <c r="K5" s="537"/>
      <c r="L5" s="2484"/>
      <c r="M5" s="2485"/>
      <c r="N5" s="2485"/>
      <c r="O5" s="2485"/>
      <c r="P5" s="3438"/>
      <c r="Q5" s="3383"/>
      <c r="R5" s="3388"/>
      <c r="S5" s="3389"/>
      <c r="T5" s="3388"/>
      <c r="U5" s="3389"/>
      <c r="V5" s="3360"/>
      <c r="W5" s="3360"/>
      <c r="X5" s="1265"/>
      <c r="Y5" s="3388"/>
      <c r="Z5" s="3389"/>
      <c r="AA5" s="3404"/>
      <c r="AB5" s="3404"/>
      <c r="AC5" s="3404"/>
    </row>
    <row r="6" spans="1:29" ht="15" thickBot="1">
      <c r="A6" s="350"/>
      <c r="B6" s="351"/>
      <c r="C6" s="3450" t="s">
        <v>1919</v>
      </c>
      <c r="D6" s="3451"/>
      <c r="E6" s="3452" t="s">
        <v>1919</v>
      </c>
      <c r="F6" s="3453"/>
      <c r="G6" s="3450" t="s">
        <v>1919</v>
      </c>
      <c r="H6" s="3451"/>
      <c r="I6" s="3450" t="s">
        <v>1919</v>
      </c>
      <c r="J6" s="3451"/>
      <c r="K6" s="537" t="s">
        <v>1678</v>
      </c>
      <c r="L6" s="2484"/>
      <c r="M6" s="2485"/>
      <c r="N6" s="2485"/>
      <c r="O6" s="2485"/>
      <c r="P6" s="3439"/>
      <c r="Q6" s="3385"/>
      <c r="R6" s="3388"/>
      <c r="S6" s="3389"/>
      <c r="T6" s="3390"/>
      <c r="U6" s="3391"/>
      <c r="V6" s="3360"/>
      <c r="W6" s="3360"/>
      <c r="X6" s="1265"/>
      <c r="Y6" s="3390"/>
      <c r="Z6" s="3391"/>
      <c r="AA6" s="3405"/>
      <c r="AB6" s="3405"/>
      <c r="AC6" s="3405"/>
    </row>
    <row r="7" spans="1:29" s="102" customFormat="1" ht="15" thickBot="1">
      <c r="A7" s="352" t="s">
        <v>1679</v>
      </c>
      <c r="B7" s="353"/>
      <c r="C7" s="354">
        <f>'数据-取费表'!B2</f>
        <v>45814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99" t="s">
        <v>1680</v>
      </c>
      <c r="Q7" s="3400"/>
      <c r="R7" s="664" t="s">
        <v>14</v>
      </c>
      <c r="S7" s="665">
        <f t="shared" ref="S7:S15" si="0">F7</f>
        <v>0</v>
      </c>
      <c r="T7" s="664" t="s">
        <v>14</v>
      </c>
      <c r="U7" s="665">
        <f t="shared" ref="U7:U15" si="1">H7</f>
        <v>0</v>
      </c>
      <c r="V7" s="664" t="s">
        <v>14</v>
      </c>
      <c r="W7" s="665">
        <f t="shared" ref="W7:W15" si="2">J7</f>
        <v>0</v>
      </c>
      <c r="X7" s="666"/>
      <c r="Y7" s="3399" t="s">
        <v>1680</v>
      </c>
      <c r="Z7" s="339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99" t="s">
        <v>1683</v>
      </c>
      <c r="Q8" s="3398"/>
      <c r="R8" s="664" t="s">
        <v>14</v>
      </c>
      <c r="S8" s="665">
        <f t="shared" si="0"/>
        <v>0</v>
      </c>
      <c r="T8" s="664" t="s">
        <v>14</v>
      </c>
      <c r="U8" s="665">
        <f t="shared" si="1"/>
        <v>0</v>
      </c>
      <c r="V8" s="664" t="s">
        <v>14</v>
      </c>
      <c r="W8" s="665">
        <f t="shared" si="2"/>
        <v>0</v>
      </c>
      <c r="X8" s="666"/>
      <c r="Y8" s="3399" t="s">
        <v>1683</v>
      </c>
      <c r="Z8" s="339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59"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111</v>
      </c>
      <c r="G10" s="371"/>
      <c r="H10" s="119">
        <f>ROUND(100/'数据-取费表'!G16,0)</f>
        <v>111</v>
      </c>
      <c r="I10" s="371"/>
      <c r="J10" s="119">
        <f>ROUND(100/'数据-取费表'!G16,0)</f>
        <v>111</v>
      </c>
      <c r="K10" s="592"/>
      <c r="L10" s="2487"/>
      <c r="M10" s="2488"/>
      <c r="N10" s="2488"/>
      <c r="O10" s="2539"/>
      <c r="P10" s="3359"/>
      <c r="Q10" s="530" t="str">
        <f t="shared" si="6"/>
        <v>土地使用年限（年）</v>
      </c>
      <c r="R10" s="664" t="s">
        <v>14</v>
      </c>
      <c r="S10" s="665">
        <f t="shared" si="0"/>
        <v>111</v>
      </c>
      <c r="T10" s="664" t="s">
        <v>14</v>
      </c>
      <c r="U10" s="665">
        <f t="shared" si="1"/>
        <v>111</v>
      </c>
      <c r="V10" s="664" t="s">
        <v>14</v>
      </c>
      <c r="W10" s="665">
        <f t="shared" si="2"/>
        <v>111</v>
      </c>
      <c r="X10" s="666"/>
      <c r="Y10" s="3262"/>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59"/>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59"/>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59"/>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59"/>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66" t="s">
        <v>1691</v>
      </c>
      <c r="Q15" s="1263" t="str">
        <f t="shared" si="6"/>
        <v>产业集聚程度</v>
      </c>
      <c r="R15" s="667" t="s">
        <v>14</v>
      </c>
      <c r="S15" s="668">
        <f t="shared" si="0"/>
        <v>100</v>
      </c>
      <c r="T15" s="667" t="s">
        <v>14</v>
      </c>
      <c r="U15" s="668">
        <f t="shared" si="1"/>
        <v>100</v>
      </c>
      <c r="V15" s="667" t="s">
        <v>14</v>
      </c>
      <c r="W15" s="668">
        <f t="shared" si="2"/>
        <v>100</v>
      </c>
      <c r="X15" s="1265"/>
      <c r="Y15" s="336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67"/>
      <c r="Q16" s="1263"/>
      <c r="R16" s="667"/>
      <c r="S16" s="668"/>
      <c r="T16" s="667"/>
      <c r="U16" s="668"/>
      <c r="V16" s="667"/>
      <c r="W16" s="668"/>
      <c r="X16" s="1265"/>
      <c r="Y16" s="336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67"/>
      <c r="Q17" s="1263" t="str">
        <f>B17</f>
        <v>交通便捷度</v>
      </c>
      <c r="R17" s="667" t="s">
        <v>14</v>
      </c>
      <c r="S17" s="668">
        <f>F17</f>
        <v>100</v>
      </c>
      <c r="T17" s="667" t="s">
        <v>14</v>
      </c>
      <c r="U17" s="668">
        <f>H17</f>
        <v>100</v>
      </c>
      <c r="V17" s="667" t="s">
        <v>14</v>
      </c>
      <c r="W17" s="668">
        <f>J17</f>
        <v>100</v>
      </c>
      <c r="X17" s="1265"/>
      <c r="Y17" s="336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67"/>
      <c r="Q18" s="1263"/>
      <c r="R18" s="667"/>
      <c r="S18" s="668"/>
      <c r="T18" s="667"/>
      <c r="U18" s="668"/>
      <c r="V18" s="667"/>
      <c r="W18" s="668"/>
      <c r="X18" s="1265"/>
      <c r="Y18" s="336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67"/>
      <c r="Q19" s="1263" t="str">
        <f t="shared" ref="Q19:Q33" si="8">B19</f>
        <v>区域土地利用方向</v>
      </c>
      <c r="R19" s="667" t="s">
        <v>14</v>
      </c>
      <c r="S19" s="668">
        <f>F19</f>
        <v>100</v>
      </c>
      <c r="T19" s="667" t="s">
        <v>14</v>
      </c>
      <c r="U19" s="668">
        <f>H19</f>
        <v>100</v>
      </c>
      <c r="V19" s="667" t="s">
        <v>14</v>
      </c>
      <c r="W19" s="668">
        <f>J19</f>
        <v>100</v>
      </c>
      <c r="X19" s="1265"/>
      <c r="Y19" s="336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67"/>
      <c r="Q20" s="1263"/>
      <c r="R20" s="667"/>
      <c r="S20" s="668"/>
      <c r="T20" s="667"/>
      <c r="U20" s="668"/>
      <c r="V20" s="667"/>
      <c r="W20" s="668"/>
      <c r="X20" s="1265"/>
      <c r="Y20" s="336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67"/>
      <c r="Q21" s="1263" t="str">
        <f t="shared" si="8"/>
        <v>环境状况</v>
      </c>
      <c r="R21" s="667" t="s">
        <v>14</v>
      </c>
      <c r="S21" s="668">
        <f>F21</f>
        <v>100</v>
      </c>
      <c r="T21" s="667" t="s">
        <v>14</v>
      </c>
      <c r="U21" s="668">
        <f>H21</f>
        <v>100</v>
      </c>
      <c r="V21" s="667" t="s">
        <v>14</v>
      </c>
      <c r="W21" s="668">
        <f>J21</f>
        <v>100</v>
      </c>
      <c r="X21" s="1265"/>
      <c r="Y21" s="336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67"/>
      <c r="Q22" s="1263"/>
      <c r="R22" s="667"/>
      <c r="S22" s="668"/>
      <c r="T22" s="667"/>
      <c r="U22" s="668"/>
      <c r="V22" s="667"/>
      <c r="W22" s="668"/>
      <c r="X22" s="1265"/>
      <c r="Y22" s="336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67"/>
      <c r="Q23" s="530" t="str">
        <f t="shared" si="8"/>
        <v>公共配套设施</v>
      </c>
      <c r="R23" s="664" t="s">
        <v>14</v>
      </c>
      <c r="S23" s="665">
        <f>F23</f>
        <v>100</v>
      </c>
      <c r="T23" s="664" t="s">
        <v>14</v>
      </c>
      <c r="U23" s="665">
        <f>H23</f>
        <v>100</v>
      </c>
      <c r="V23" s="664" t="s">
        <v>14</v>
      </c>
      <c r="W23" s="665">
        <f>J23</f>
        <v>100</v>
      </c>
      <c r="X23" s="666"/>
      <c r="Y23" s="336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67"/>
      <c r="Q24" s="530"/>
      <c r="R24" s="664"/>
      <c r="S24" s="665"/>
      <c r="T24" s="664"/>
      <c r="U24" s="665"/>
      <c r="V24" s="664"/>
      <c r="W24" s="665"/>
      <c r="X24" s="666"/>
      <c r="Y24" s="336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67"/>
      <c r="Q25" s="530" t="str">
        <f t="shared" ref="Q25" si="9">B25</f>
        <v>基础设施水平</v>
      </c>
      <c r="R25" s="664" t="s">
        <v>14</v>
      </c>
      <c r="S25" s="665">
        <f>F25</f>
        <v>100</v>
      </c>
      <c r="T25" s="664" t="s">
        <v>14</v>
      </c>
      <c r="U25" s="665">
        <f>H25</f>
        <v>100</v>
      </c>
      <c r="V25" s="664" t="s">
        <v>14</v>
      </c>
      <c r="W25" s="665">
        <f>J25</f>
        <v>100</v>
      </c>
      <c r="X25" s="666"/>
      <c r="Y25" s="336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67"/>
      <c r="Q26" s="530"/>
      <c r="R26" s="664"/>
      <c r="S26" s="665"/>
      <c r="T26" s="664"/>
      <c r="U26" s="665"/>
      <c r="V26" s="664"/>
      <c r="W26" s="665"/>
      <c r="X26" s="666"/>
      <c r="Y26" s="336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6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67"/>
      <c r="Q28" s="1263" t="str">
        <f t="shared" si="8"/>
        <v>毗邻道路的类型与等级</v>
      </c>
      <c r="R28" s="667" t="s">
        <v>14</v>
      </c>
      <c r="S28" s="668">
        <f t="shared" si="10"/>
        <v>100</v>
      </c>
      <c r="T28" s="667" t="s">
        <v>14</v>
      </c>
      <c r="U28" s="668">
        <f t="shared" si="11"/>
        <v>100</v>
      </c>
      <c r="V28" s="667" t="s">
        <v>14</v>
      </c>
      <c r="W28" s="668">
        <f t="shared" si="12"/>
        <v>100</v>
      </c>
      <c r="X28" s="1265"/>
      <c r="Y28" s="336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67"/>
      <c r="Q29" s="1263"/>
      <c r="R29" s="667"/>
      <c r="S29" s="668"/>
      <c r="T29" s="667"/>
      <c r="U29" s="668"/>
      <c r="V29" s="667"/>
      <c r="W29" s="668"/>
      <c r="X29" s="1265"/>
      <c r="Y29" s="336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67"/>
      <c r="Q30" s="1263" t="str">
        <f t="shared" si="8"/>
        <v>土地级别</v>
      </c>
      <c r="R30" s="667" t="s">
        <v>14</v>
      </c>
      <c r="S30" s="668">
        <f t="shared" si="10"/>
        <v>100</v>
      </c>
      <c r="T30" s="667" t="s">
        <v>14</v>
      </c>
      <c r="U30" s="668">
        <f t="shared" si="11"/>
        <v>100</v>
      </c>
      <c r="V30" s="667" t="s">
        <v>14</v>
      </c>
      <c r="W30" s="668">
        <f t="shared" si="12"/>
        <v>100</v>
      </c>
      <c r="X30" s="1265"/>
      <c r="Y30" s="336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67"/>
      <c r="Q31" s="1263">
        <f t="shared" si="8"/>
        <v>111</v>
      </c>
      <c r="R31" s="667" t="s">
        <v>14</v>
      </c>
      <c r="S31" s="668">
        <f t="shared" si="10"/>
        <v>100</v>
      </c>
      <c r="T31" s="667" t="s">
        <v>14</v>
      </c>
      <c r="U31" s="668">
        <f t="shared" si="11"/>
        <v>100</v>
      </c>
      <c r="V31" s="667" t="s">
        <v>14</v>
      </c>
      <c r="W31" s="668">
        <f t="shared" si="12"/>
        <v>100</v>
      </c>
      <c r="X31" s="1265"/>
      <c r="Y31" s="336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5" t="s">
        <v>1696</v>
      </c>
      <c r="Q32" s="1263">
        <f t="shared" si="8"/>
        <v>111</v>
      </c>
      <c r="R32" s="667" t="s">
        <v>14</v>
      </c>
      <c r="S32" s="668">
        <f t="shared" si="10"/>
        <v>100</v>
      </c>
      <c r="T32" s="667" t="s">
        <v>14</v>
      </c>
      <c r="U32" s="668">
        <f t="shared" si="11"/>
        <v>100</v>
      </c>
      <c r="V32" s="667" t="s">
        <v>14</v>
      </c>
      <c r="W32" s="668">
        <f t="shared" si="12"/>
        <v>100</v>
      </c>
      <c r="X32" s="1265"/>
      <c r="Y32" s="337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71"/>
      <c r="Q33" s="1263">
        <f t="shared" si="8"/>
        <v>111</v>
      </c>
      <c r="R33" s="669" t="s">
        <v>14</v>
      </c>
      <c r="S33" s="670">
        <f t="shared" si="10"/>
        <v>100</v>
      </c>
      <c r="T33" s="669" t="s">
        <v>14</v>
      </c>
      <c r="U33" s="670">
        <f t="shared" si="11"/>
        <v>100</v>
      </c>
      <c r="V33" s="669" t="s">
        <v>14</v>
      </c>
      <c r="W33" s="670">
        <f t="shared" si="12"/>
        <v>100</v>
      </c>
      <c r="X33" s="671"/>
      <c r="Y33" s="337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71"/>
      <c r="Q34" s="1263" t="str">
        <f>B34</f>
        <v>宗地面积</v>
      </c>
      <c r="R34" s="667" t="s">
        <v>14</v>
      </c>
      <c r="S34" s="668" t="e">
        <f t="shared" si="10"/>
        <v>#N/A</v>
      </c>
      <c r="T34" s="667" t="s">
        <v>14</v>
      </c>
      <c r="U34" s="668" t="e">
        <f t="shared" si="11"/>
        <v>#N/A</v>
      </c>
      <c r="V34" s="667" t="s">
        <v>14</v>
      </c>
      <c r="W34" s="668" t="e">
        <f t="shared" si="12"/>
        <v>#N/A</v>
      </c>
      <c r="X34" s="1265"/>
      <c r="Y34" s="337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71"/>
      <c r="Q35" s="1263" t="str">
        <f t="shared" ref="Q35:Q40" si="14">B35</f>
        <v>宗地形状</v>
      </c>
      <c r="R35" s="667" t="s">
        <v>14</v>
      </c>
      <c r="S35" s="668">
        <f t="shared" si="10"/>
        <v>100</v>
      </c>
      <c r="T35" s="667" t="s">
        <v>14</v>
      </c>
      <c r="U35" s="668">
        <f t="shared" si="11"/>
        <v>100</v>
      </c>
      <c r="V35" s="667" t="s">
        <v>14</v>
      </c>
      <c r="W35" s="668">
        <f t="shared" si="12"/>
        <v>100</v>
      </c>
      <c r="X35" s="1265"/>
      <c r="Y35" s="337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71"/>
      <c r="Q36" s="1263" t="str">
        <f t="shared" si="14"/>
        <v>宗地开发程度</v>
      </c>
      <c r="R36" s="664" t="s">
        <v>14</v>
      </c>
      <c r="S36" s="665">
        <f t="shared" si="10"/>
        <v>100</v>
      </c>
      <c r="T36" s="664" t="s">
        <v>14</v>
      </c>
      <c r="U36" s="665">
        <f t="shared" si="11"/>
        <v>100</v>
      </c>
      <c r="V36" s="664" t="s">
        <v>14</v>
      </c>
      <c r="W36" s="665">
        <f t="shared" si="12"/>
        <v>100</v>
      </c>
      <c r="X36" s="666"/>
      <c r="Y36" s="337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71" t="s">
        <v>1696</v>
      </c>
      <c r="Q37" s="1263" t="str">
        <f t="shared" si="14"/>
        <v>工程地质条件</v>
      </c>
      <c r="R37" s="667" t="s">
        <v>14</v>
      </c>
      <c r="S37" s="668">
        <f t="shared" si="10"/>
        <v>100</v>
      </c>
      <c r="T37" s="667" t="s">
        <v>14</v>
      </c>
      <c r="U37" s="668">
        <f t="shared" si="11"/>
        <v>100</v>
      </c>
      <c r="V37" s="667" t="s">
        <v>14</v>
      </c>
      <c r="W37" s="668">
        <f t="shared" si="12"/>
        <v>100</v>
      </c>
      <c r="X37" s="1265"/>
      <c r="Y37" s="337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71"/>
      <c r="Q38" s="1263">
        <f t="shared" si="14"/>
        <v>111</v>
      </c>
      <c r="R38" s="667" t="s">
        <v>14</v>
      </c>
      <c r="S38" s="668">
        <f t="shared" si="10"/>
        <v>100</v>
      </c>
      <c r="T38" s="667" t="s">
        <v>14</v>
      </c>
      <c r="U38" s="668">
        <f t="shared" si="11"/>
        <v>100</v>
      </c>
      <c r="V38" s="667" t="s">
        <v>14</v>
      </c>
      <c r="W38" s="668">
        <f t="shared" si="12"/>
        <v>100</v>
      </c>
      <c r="X38" s="1265"/>
      <c r="Y38" s="337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71"/>
      <c r="Q39" s="1263">
        <f t="shared" si="14"/>
        <v>111</v>
      </c>
      <c r="R39" s="667" t="s">
        <v>14</v>
      </c>
      <c r="S39" s="668">
        <f t="shared" si="10"/>
        <v>100</v>
      </c>
      <c r="T39" s="667" t="s">
        <v>14</v>
      </c>
      <c r="U39" s="668">
        <f t="shared" si="11"/>
        <v>100</v>
      </c>
      <c r="V39" s="667" t="s">
        <v>14</v>
      </c>
      <c r="W39" s="668">
        <f t="shared" si="12"/>
        <v>100</v>
      </c>
      <c r="X39" s="1265"/>
      <c r="Y39" s="337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71"/>
      <c r="Q40" s="1263">
        <f t="shared" si="14"/>
        <v>111</v>
      </c>
      <c r="R40" s="669" t="s">
        <v>14</v>
      </c>
      <c r="S40" s="670">
        <f t="shared" si="10"/>
        <v>100</v>
      </c>
      <c r="T40" s="669" t="s">
        <v>14</v>
      </c>
      <c r="U40" s="670">
        <f t="shared" si="11"/>
        <v>100</v>
      </c>
      <c r="V40" s="669" t="s">
        <v>14</v>
      </c>
      <c r="W40" s="670">
        <f t="shared" si="12"/>
        <v>100</v>
      </c>
      <c r="X40" s="671"/>
      <c r="Y40" s="337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59" t="str">
        <f>A41</f>
        <v>成交单价</v>
      </c>
      <c r="Q41" s="3359"/>
      <c r="R41" s="3360">
        <f>E41</f>
        <v>0</v>
      </c>
      <c r="S41" s="3360"/>
      <c r="T41" s="3360">
        <f>G41</f>
        <v>0</v>
      </c>
      <c r="U41" s="3360"/>
      <c r="V41" s="3360">
        <f>I41</f>
        <v>0</v>
      </c>
      <c r="W41" s="3360"/>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59" t="str">
        <f>A42</f>
        <v>比较价值（元/平方米）</v>
      </c>
      <c r="Q42" s="3359"/>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32" t="str">
        <f>A43</f>
        <v>估价对象XX用房的比较价值（楼面单价，元/平方米）</v>
      </c>
      <c r="Q43" s="3433"/>
      <c r="R43" s="3448" t="e">
        <f>ROUND(IF(D42="简单平均",AVERAGE(R42:W42),R42*F42+T42*H42+V42*J42),0)</f>
        <v>#DIV/0!</v>
      </c>
      <c r="S43" s="3448"/>
      <c r="T43" s="3448"/>
      <c r="U43" s="3448"/>
      <c r="V43" s="3448"/>
      <c r="W43" s="3448"/>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76" t="s">
        <v>1887</v>
      </c>
      <c r="H50" s="3449"/>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66.63</v>
      </c>
      <c r="F51" s="611" t="e">
        <f t="shared" ref="F51:F60" si="15">ROUND(B51*E51/10000,0)</f>
        <v>#DIV/0!</v>
      </c>
      <c r="G51" s="3358"/>
      <c r="H51" s="3359"/>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7" t="s">
        <v>2084</v>
      </c>
      <c r="D1" s="3458"/>
      <c r="E1" s="3458"/>
      <c r="F1" s="3458"/>
      <c r="G1" s="3458"/>
      <c r="H1" s="3458"/>
      <c r="I1" s="3458"/>
      <c r="J1" s="3458"/>
      <c r="K1" s="3458"/>
      <c r="L1" s="3458"/>
      <c r="M1" s="3458"/>
      <c r="N1" s="3458"/>
      <c r="O1" s="3458"/>
      <c r="P1" s="3458"/>
      <c r="Q1" s="3458"/>
      <c r="R1" s="3458"/>
      <c r="S1" s="345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4" t="s">
        <v>27</v>
      </c>
      <c r="D22" s="3455"/>
      <c r="E22" s="3455"/>
      <c r="F22" s="3455"/>
      <c r="G22" s="3455"/>
      <c r="H22" s="3455"/>
      <c r="I22" s="3455"/>
      <c r="J22" s="3455"/>
      <c r="K22" s="3455"/>
      <c r="L22" s="3455"/>
      <c r="M22" s="3455"/>
      <c r="N22" s="3455"/>
      <c r="O22" s="3455"/>
      <c r="P22" s="3455"/>
      <c r="Q22" s="345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56</v>
      </c>
      <c r="C2" s="1984" t="s">
        <v>2074</v>
      </c>
      <c r="D2" s="1984" t="s">
        <v>2075</v>
      </c>
      <c r="E2" s="2396">
        <f ca="1">SUMIF(E6:E13,"&lt;&gt;#ref!",E6:E13)</f>
        <v>66.63</v>
      </c>
      <c r="F2" s="2542"/>
      <c r="G2" s="2542"/>
      <c r="H2" s="2542"/>
      <c r="I2" s="2542"/>
      <c r="J2" s="2542"/>
      <c r="K2" s="2542"/>
      <c r="L2" s="2542"/>
      <c r="M2" s="2542"/>
      <c r="N2" s="2542"/>
      <c r="O2" s="2542"/>
      <c r="P2" s="2542"/>
    </row>
    <row r="3" spans="1:16" ht="15.6">
      <c r="A3" s="1984" t="s">
        <v>2076</v>
      </c>
      <c r="B3" s="2386">
        <f ca="1">ROUND(B2*10000/E2,0)</f>
        <v>8405</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56</v>
      </c>
      <c r="C6" s="1984" t="s">
        <v>2074</v>
      </c>
      <c r="D6" s="2542"/>
      <c r="E6" s="2396">
        <f ca="1">SUMIF(INDIRECT("'"&amp;A6&amp;"'"&amp;"!C:C"),"建筑面积",INDIRECT("'"&amp;A6&amp;"'"&amp;"!D:D"))</f>
        <v>66.63</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5579F-8E4A-45AF-A980-7BE0663A16B4}">
  <sheetPr>
    <tabColor rgb="FF7030A0"/>
  </sheetPr>
  <dimension ref="L1:T8"/>
  <sheetViews>
    <sheetView workbookViewId="0">
      <selection activeCell="S12" sqref="S12"/>
    </sheetView>
  </sheetViews>
  <sheetFormatPr defaultRowHeight="14.4"/>
  <sheetData>
    <row r="1" spans="12:20">
      <c r="R1" s="3171" t="s">
        <v>3495</v>
      </c>
      <c r="S1" s="3156"/>
    </row>
    <row r="2" spans="12:20">
      <c r="M2" s="1405" t="s">
        <v>3388</v>
      </c>
      <c r="N2" s="1405" t="s">
        <v>3389</v>
      </c>
      <c r="O2" s="1405" t="s">
        <v>3487</v>
      </c>
      <c r="P2" s="1405" t="s">
        <v>3395</v>
      </c>
      <c r="R2" s="3171" t="s">
        <v>3493</v>
      </c>
      <c r="S2" s="3156">
        <v>14500</v>
      </c>
      <c r="T2" s="1405" t="s">
        <v>3494</v>
      </c>
    </row>
    <row r="3" spans="12:20">
      <c r="L3" s="1405" t="s">
        <v>3484</v>
      </c>
      <c r="M3">
        <v>50.09</v>
      </c>
      <c r="N3">
        <v>17968</v>
      </c>
      <c r="O3" s="1405" t="s">
        <v>3488</v>
      </c>
      <c r="P3" s="1405"/>
      <c r="R3" s="3171" t="s">
        <v>3496</v>
      </c>
      <c r="S3" s="3156"/>
    </row>
    <row r="4" spans="12:20">
      <c r="L4" s="1405" t="s">
        <v>3485</v>
      </c>
      <c r="M4">
        <v>62.9</v>
      </c>
      <c r="N4">
        <v>17966</v>
      </c>
      <c r="O4" s="1405" t="s">
        <v>3489</v>
      </c>
      <c r="P4" s="1405"/>
      <c r="R4" s="3156">
        <f>750000/50</f>
        <v>15000</v>
      </c>
      <c r="S4" s="3156"/>
    </row>
    <row r="5" spans="12:20">
      <c r="L5" s="1405" t="s">
        <v>3486</v>
      </c>
      <c r="M5">
        <v>57.93</v>
      </c>
      <c r="N5">
        <v>16054</v>
      </c>
      <c r="O5" s="1405" t="s">
        <v>3489</v>
      </c>
      <c r="P5" s="1405"/>
      <c r="R5" s="3156">
        <f>70/50*10000</f>
        <v>14000</v>
      </c>
      <c r="S5" s="3156"/>
    </row>
    <row r="6" spans="12:20">
      <c r="R6" s="3156" t="s">
        <v>3498</v>
      </c>
    </row>
    <row r="7" spans="12:20">
      <c r="R7" s="1405" t="s">
        <v>654</v>
      </c>
      <c r="S7" s="1405" t="s">
        <v>3497</v>
      </c>
    </row>
    <row r="8" spans="12:20">
      <c r="R8" s="3171" t="s">
        <v>3508</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7F565-21D2-48B5-A7A5-18285AC54949}">
  <sheetPr>
    <tabColor rgb="FF7030A0"/>
  </sheetPr>
  <dimension ref="A1"/>
  <sheetViews>
    <sheetView workbookViewId="0">
      <selection activeCell="A47" sqref="A47"/>
    </sheetView>
  </sheetViews>
  <sheetFormatPr defaultRowHeight="14.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E302F-3AC1-40FC-8BAB-59DA258B9299}">
  <sheetPr>
    <tabColor rgb="FF7030A0"/>
  </sheetPr>
  <dimension ref="A1"/>
  <sheetViews>
    <sheetView topLeftCell="C1" workbookViewId="0"/>
  </sheetViews>
  <sheetFormatPr defaultRowHeight="14.4"/>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F8398-D564-4F9F-82D9-ACA1C805F4EF}">
  <sheetPr>
    <tabColor rgb="FF7030A0"/>
  </sheetPr>
  <dimension ref="A1"/>
  <sheetViews>
    <sheetView workbookViewId="0"/>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201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108.0637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16218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591001</v>
      </c>
      <c r="D5" s="203" t="s">
        <v>1469</v>
      </c>
      <c r="E5" s="204" t="s">
        <v>1470</v>
      </c>
      <c r="F5" s="204" t="s">
        <v>1471</v>
      </c>
      <c r="G5" s="205"/>
    </row>
    <row r="6" spans="1:8" s="206" customFormat="1" ht="13.5" customHeight="1">
      <c r="A6" s="732" t="s">
        <v>1472</v>
      </c>
      <c r="B6" s="207" t="s">
        <v>1473</v>
      </c>
      <c r="C6" s="208">
        <f>ROUND(基准地价修正!C33*基准地价修正!D33,0)</f>
        <v>561224</v>
      </c>
      <c r="D6" s="209"/>
      <c r="E6" s="210"/>
      <c r="F6" s="210"/>
      <c r="G6" s="211"/>
    </row>
    <row r="7" spans="1:8" s="206" customFormat="1" ht="13.5" customHeight="1">
      <c r="A7" s="732" t="s">
        <v>1474</v>
      </c>
      <c r="B7" s="207" t="s">
        <v>1475</v>
      </c>
      <c r="C7" s="212">
        <f>ROUND(C6*F7,0)</f>
        <v>17117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12660</v>
      </c>
      <c r="D8" s="214"/>
      <c r="E8" s="212"/>
      <c r="F8" s="213"/>
      <c r="G8" s="1714" t="s">
        <v>3431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12660</v>
      </c>
      <c r="D10" s="795">
        <f ca="1">IF(B1="",'数据-汇总表'!E6,IF(INDIRECT("'数据-取费表'!c"&amp;$G$1)="住宅",INDIRECT("'数据-取费表'!s"&amp;$G$1),INDIRECT("'数据-取费表'!k"&amp;$G$1)+INDIRECT("'数据-取费表'!s"&amp;$G$1)))</f>
        <v>66.63</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66.63</v>
      </c>
      <c r="E19" s="203">
        <f>'数据-取费表'!B31</f>
        <v>200</v>
      </c>
      <c r="F19" s="223"/>
      <c r="G19" s="1714" t="s">
        <v>3432</v>
      </c>
    </row>
    <row r="20" spans="1:7" s="206" customFormat="1" ht="13.5" customHeight="1">
      <c r="A20" s="247" t="s">
        <v>1574</v>
      </c>
      <c r="B20" s="202" t="s">
        <v>1575</v>
      </c>
      <c r="C20" s="224">
        <f ca="1">ROUND((C5+C19)*F20,0)</f>
        <v>11820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36347</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35992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355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90423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90423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789601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262855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233205</v>
      </c>
      <c r="D34" s="209"/>
      <c r="E34" s="212"/>
      <c r="F34" s="249"/>
      <c r="G34" s="211"/>
    </row>
    <row r="35" spans="1:7" ht="13.5" customHeight="1">
      <c r="A35" s="734" t="s">
        <v>351</v>
      </c>
      <c r="B35" s="207" t="s">
        <v>1527</v>
      </c>
      <c r="C35" s="212">
        <f ca="1">ROUND(C34*F35,0)</f>
        <v>11660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13326</v>
      </c>
      <c r="D37" s="209">
        <f ca="1">D19</f>
        <v>66.63</v>
      </c>
      <c r="E37" s="241">
        <f>'数据-取费表'!B35</f>
        <v>200</v>
      </c>
      <c r="F37" s="251"/>
      <c r="G37" s="253"/>
    </row>
    <row r="38" spans="1:7" ht="13.5" customHeight="1">
      <c r="A38" s="734" t="s">
        <v>354</v>
      </c>
      <c r="B38" s="207" t="s">
        <v>1533</v>
      </c>
      <c r="C38" s="212">
        <f ca="1">ROUND(C34*F38,0)</f>
        <v>4664</v>
      </c>
      <c r="D38" s="212"/>
      <c r="E38" s="212"/>
      <c r="F38" s="251">
        <f>'数据-取费表'!B36</f>
        <v>0.02</v>
      </c>
      <c r="G38" s="211" t="s">
        <v>1528</v>
      </c>
    </row>
    <row r="39" spans="1:7" s="206" customFormat="1" ht="13.5" customHeight="1">
      <c r="A39" s="247" t="s">
        <v>1534</v>
      </c>
      <c r="B39" s="202" t="s">
        <v>1535</v>
      </c>
      <c r="C39" s="224">
        <f ca="1">ROUND(C33*F20,0)</f>
        <v>5257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8044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7886</v>
      </c>
      <c r="D42" s="230"/>
      <c r="E42" s="230"/>
      <c r="F42" s="231"/>
      <c r="G42" s="3355" t="s">
        <v>1591</v>
      </c>
    </row>
    <row r="43" spans="1:7" ht="13.5" customHeight="1">
      <c r="A43" s="734" t="s">
        <v>347</v>
      </c>
      <c r="B43" s="207" t="s">
        <v>1545</v>
      </c>
      <c r="C43" s="230">
        <f ca="1">ROUND(IF('数据-取费表'!B22&lt;=1,C39*F22*'数据-取费表'!B20/2,C39*(POWER((1+F22),'数据-取费表'!B20/2)-1)),0)</f>
        <v>158</v>
      </c>
      <c r="D43" s="230"/>
      <c r="E43" s="230"/>
      <c r="F43" s="231"/>
      <c r="G43" s="3356"/>
    </row>
    <row r="44" spans="1:7" ht="13.5" customHeight="1">
      <c r="A44" s="734" t="s">
        <v>348</v>
      </c>
      <c r="B44" s="207" t="s">
        <v>1546</v>
      </c>
      <c r="C44" s="230">
        <f ca="1">ROUND(IF('数据-取费表'!B22&lt;=1,C40*F22*'数据-取费表'!B20/2,C40*(POWER((1+F22),'数据-取费表'!B20/2)-1)),4)</f>
        <v>5.9999999999999995E-4</v>
      </c>
      <c r="D44" s="230"/>
      <c r="E44" s="230"/>
      <c r="F44" s="231"/>
      <c r="G44" s="3357"/>
    </row>
    <row r="45" spans="1:7" s="206" customFormat="1" ht="13.5" customHeight="1">
      <c r="A45" s="247" t="s">
        <v>1547</v>
      </c>
      <c r="B45" s="236" t="s">
        <v>1513</v>
      </c>
      <c r="C45" s="237">
        <f ca="1">C46</f>
        <v>40217</v>
      </c>
      <c r="D45" s="227">
        <f ca="1">C47</f>
        <v>3.0000000000000001E-3</v>
      </c>
      <c r="E45" s="228" t="s">
        <v>1539</v>
      </c>
      <c r="F45" s="238">
        <f ca="1">F27</f>
        <v>0.15</v>
      </c>
      <c r="G45" s="239" t="s">
        <v>1548</v>
      </c>
    </row>
    <row r="46" spans="1:7" s="206" customFormat="1" ht="13.5" customHeight="1">
      <c r="A46" s="734" t="s">
        <v>346</v>
      </c>
      <c r="B46" s="240" t="s">
        <v>1549</v>
      </c>
      <c r="C46" s="241">
        <f ca="1">ROUND((C33+C39)*F27,0)</f>
        <v>40217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342395</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291036</v>
      </c>
      <c r="D51" s="224"/>
      <c r="E51" s="224"/>
      <c r="F51" s="256"/>
      <c r="G51" s="226" t="s">
        <v>1560</v>
      </c>
    </row>
    <row r="52" spans="1:7" s="200" customFormat="1" ht="16.8" thickBot="1">
      <c r="A52" s="257" t="s">
        <v>1561</v>
      </c>
      <c r="B52" s="258"/>
      <c r="C52" s="259">
        <f ca="1">C31+C51</f>
        <v>1080637</v>
      </c>
      <c r="D52" s="258"/>
      <c r="E52" s="258"/>
      <c r="F52" s="258"/>
      <c r="G52" s="260"/>
    </row>
    <row r="55" spans="1:7" ht="15">
      <c r="B55" s="262" t="s">
        <v>1562</v>
      </c>
      <c r="C55" s="263"/>
    </row>
    <row r="56" spans="1:7">
      <c r="B56" s="265" t="s">
        <v>802</v>
      </c>
      <c r="C56" s="267">
        <f ca="1">1-C57</f>
        <v>0.73099999999999998</v>
      </c>
    </row>
    <row r="57" spans="1:7">
      <c r="B57" s="265" t="s">
        <v>803</v>
      </c>
      <c r="C57" s="266">
        <f ca="1">ROUND(C51/C52,3)</f>
        <v>0.26900000000000002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7.399999999999999">
      <c r="A3" s="3179" t="str">
        <f>IF(项目基本情况!B9="房地产市场价值","估价结果一览表（市场价值不需“结果表-1”）","估价结果一览表")</f>
        <v>估价结果一览表</v>
      </c>
      <c r="B3" s="3179"/>
      <c r="C3" s="3179"/>
      <c r="D3" s="3179"/>
      <c r="E3" s="3179"/>
    </row>
    <row r="4" spans="1:5" ht="18" thickBot="1">
      <c r="A4" s="1391"/>
      <c r="B4" s="3177" t="s">
        <v>917</v>
      </c>
      <c r="C4" s="3177"/>
      <c r="D4" s="3177"/>
      <c r="E4" s="1391"/>
    </row>
    <row r="5" spans="1:5" ht="16.2" thickTop="1">
      <c r="B5" s="3175" t="s">
        <v>909</v>
      </c>
      <c r="C5" s="1392" t="s">
        <v>910</v>
      </c>
      <c r="D5" s="797">
        <f ca="1">结果表!H101</f>
        <v>83</v>
      </c>
    </row>
    <row r="6" spans="1:5" ht="15.6">
      <c r="B6" s="3175"/>
      <c r="C6" s="1392" t="s">
        <v>911</v>
      </c>
      <c r="D6" s="797" t="str">
        <f ca="1">NUMBERSTRING(INT(D5*10000),2)&amp;"元整"</f>
        <v>捌拾叁万元整</v>
      </c>
    </row>
    <row r="7" spans="1:5" ht="15.6">
      <c r="B7" s="3180"/>
      <c r="C7" s="1393" t="s">
        <v>912</v>
      </c>
      <c r="D7" s="798">
        <f ca="1">结果表!H102</f>
        <v>12446</v>
      </c>
    </row>
    <row r="8" spans="1:5" ht="15.6">
      <c r="B8" s="3181" t="str">
        <f>结果表!E103</f>
        <v>2.估价师知悉的法定优先受偿款</v>
      </c>
      <c r="C8" s="1394" t="s">
        <v>913</v>
      </c>
      <c r="D8" s="798">
        <f>结果表!H103</f>
        <v>0</v>
      </c>
    </row>
    <row r="9" spans="1:5" ht="15.6">
      <c r="B9" s="318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4" t="str">
        <f>结果表!E107</f>
        <v>3.房地产抵押价值</v>
      </c>
      <c r="C13" s="1397" t="s">
        <v>910</v>
      </c>
      <c r="D13" s="800">
        <f ca="1">结果表!H107</f>
        <v>83</v>
      </c>
    </row>
    <row r="14" spans="1:5" ht="15.6">
      <c r="B14" s="3175"/>
      <c r="C14" s="1392" t="s">
        <v>911</v>
      </c>
      <c r="D14" s="797" t="str">
        <f ca="1">NUMBERSTRING(INT(D13*10000),2)&amp;"元整"</f>
        <v>捌拾叁万元整</v>
      </c>
    </row>
    <row r="15" spans="1:5" ht="15.6">
      <c r="B15" s="3180"/>
      <c r="C15" s="1393" t="s">
        <v>921</v>
      </c>
      <c r="D15" s="806">
        <f ca="1">结果表!H108</f>
        <v>12446</v>
      </c>
    </row>
    <row r="16" spans="1:5" ht="15.6">
      <c r="B16" s="3181" t="str">
        <f>结果表!E109</f>
        <v>——</v>
      </c>
      <c r="C16" s="1397" t="s">
        <v>922</v>
      </c>
      <c r="D16" s="1398" t="str">
        <f>结果表!H109</f>
        <v>——</v>
      </c>
    </row>
    <row r="17" spans="1:5" ht="15.6">
      <c r="B17" s="3182"/>
      <c r="C17" s="1392" t="s">
        <v>923</v>
      </c>
      <c r="D17" s="797" t="e">
        <f>NUMBERSTRING(INT(D16*10000),2)&amp;"元整"</f>
        <v>#VALUE!</v>
      </c>
    </row>
    <row r="18" spans="1:5" ht="15.6">
      <c r="B18" s="3183"/>
      <c r="C18" s="1393" t="s">
        <v>912</v>
      </c>
      <c r="D18" s="806" t="str">
        <f>结果表!H110</f>
        <v>——</v>
      </c>
    </row>
    <row r="19" spans="1:5" ht="15.6">
      <c r="B19" s="3174" t="str">
        <f>结果表!E111</f>
        <v>——</v>
      </c>
      <c r="C19" s="1397" t="s">
        <v>910</v>
      </c>
      <c r="D19" s="798" t="str">
        <f>结果表!H111</f>
        <v>——</v>
      </c>
    </row>
    <row r="20" spans="1:5" ht="15.6">
      <c r="B20" s="3175"/>
      <c r="C20" s="1392" t="s">
        <v>923</v>
      </c>
      <c r="D20" s="797" t="e">
        <f>NUMBERSTRING(INT(D19*10000),2)&amp;"元整"</f>
        <v>#VALUE!</v>
      </c>
    </row>
    <row r="21" spans="1:5" ht="16.2" thickBot="1">
      <c r="B21" s="317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61" zoomScaleNormal="80" zoomScaleSheetLayoutView="100" workbookViewId="0">
      <selection activeCell="E66" sqref="E6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66.63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56</v>
      </c>
      <c r="C2" s="1846" t="s">
        <v>1935</v>
      </c>
      <c r="D2" s="162" t="s">
        <v>1936</v>
      </c>
      <c r="E2" s="3118"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Ⅶ-房2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12651</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8405</v>
      </c>
      <c r="C3" s="1846" t="s">
        <v>1941</v>
      </c>
      <c r="D3" s="162" t="s">
        <v>1942</v>
      </c>
      <c r="E3" s="3116" t="s">
        <v>3435</v>
      </c>
      <c r="F3" s="1848" t="s">
        <v>3437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9971</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67"/>
      <c r="B4" s="3468"/>
      <c r="C4" s="3468"/>
      <c r="D4" s="3469"/>
      <c r="E4" s="3469"/>
      <c r="F4" s="3469"/>
      <c r="G4" s="3469"/>
      <c r="H4" s="3469"/>
      <c r="I4" s="3469"/>
      <c r="J4" s="347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8427</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8644</v>
      </c>
      <c r="D5" s="1252">
        <f>ROUND(C6*C17+C20,0)</f>
        <v>8474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7433</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8490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7143</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8490</v>
      </c>
      <c r="N7" s="813">
        <f>SUMPRODUCT((因素修正幅度!B190:B233=I2)*(因素修正幅度!C3:G3=E2)*(因素修正幅度!C190:G233))</f>
        <v>0.13</v>
      </c>
      <c r="O7" s="1056"/>
      <c r="P7" s="1056"/>
      <c r="Q7" s="1056"/>
      <c r="R7" s="1129">
        <v>6</v>
      </c>
      <c r="S7" s="3115"/>
      <c r="T7" s="3061">
        <f t="shared" si="0"/>
        <v>0</v>
      </c>
      <c r="U7" s="1130"/>
      <c r="V7" s="3061">
        <f t="shared" si="1"/>
        <v>0</v>
      </c>
      <c r="W7" s="1267" t="s">
        <v>1955</v>
      </c>
      <c r="X7" s="1131" t="str">
        <f>G2</f>
        <v>七级</v>
      </c>
      <c r="Y7" s="1131" t="s">
        <v>1956</v>
      </c>
      <c r="Z7" s="1132">
        <f>G3</f>
        <v>2.5</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64" t="s">
        <v>1960</v>
      </c>
      <c r="X8" s="346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66"/>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6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1.02</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71" t="s">
        <v>3254</v>
      </c>
      <c r="B20" s="159" t="s">
        <v>1994</v>
      </c>
      <c r="C20" s="3029">
        <f>ROUND(IF(F21="与级别开发程度一致",0,(G21-E21)/C21),0)</f>
        <v>-16</v>
      </c>
      <c r="D20" s="3044" t="s">
        <v>1998</v>
      </c>
      <c r="E20" s="3045"/>
      <c r="F20" s="3477" t="s">
        <v>1995</v>
      </c>
      <c r="G20" s="3478"/>
      <c r="H20" s="3030" t="s">
        <v>3500</v>
      </c>
      <c r="I20" s="3030" t="s">
        <v>3501</v>
      </c>
      <c r="J20" s="3031" t="s">
        <v>3502</v>
      </c>
      <c r="K20" s="1889" t="s">
        <v>3503</v>
      </c>
      <c r="L20" s="1889" t="s">
        <v>3504</v>
      </c>
      <c r="M20" s="1889" t="s">
        <v>3505</v>
      </c>
      <c r="N20" s="1889" t="s">
        <v>3506</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72"/>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72" t="s">
        <v>3499</v>
      </c>
      <c r="G21" s="1994">
        <f>SUM(H21:O21)</f>
        <v>275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50</v>
      </c>
      <c r="N21" s="2002">
        <f>SUMPRODUCT((七通一平=N20)*(修正!B1:M1=G2)*(修正!B8:M16))</f>
        <v>15</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1896" t="s">
        <v>2002</v>
      </c>
      <c r="E23" s="717">
        <v>44197</v>
      </c>
      <c r="F23" s="1896" t="s">
        <v>2003</v>
      </c>
      <c r="G23" s="718">
        <f>'数据-取费表'!B2</f>
        <v>45814</v>
      </c>
      <c r="H23" s="3046" t="s">
        <v>3255</v>
      </c>
      <c r="I23" s="3047" t="str">
        <f>IF(H23="季度增幅（自定义）",SUMIF(N25:N28,E2,O25:O28),"")</f>
        <v/>
      </c>
      <c r="J23" s="3139" t="s">
        <v>3438</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0.90920000000000001</v>
      </c>
      <c r="D24" s="1902" t="s">
        <v>2007</v>
      </c>
      <c r="E24" s="1248">
        <f>存贷款利率!E28/100</f>
        <v>4.3499999999999997E-2</v>
      </c>
      <c r="F24" s="1902" t="s">
        <v>1999</v>
      </c>
      <c r="G24" s="724">
        <f>SUMIF(M30:Q30,E2,M33:Q33)</f>
        <v>5.5E-2</v>
      </c>
      <c r="H24" s="1902" t="s">
        <v>2008</v>
      </c>
      <c r="I24" s="725">
        <f>SUMIF('数据-取费表'!C6:C15,E2,'数据-取费表'!F6:F15)/COUNTIF('数据-取费表'!C6:C15,E2)</f>
        <v>35.020000000000003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3334</v>
      </c>
      <c r="C25" s="461">
        <f>IF(B25="容积率修正",IF(G3&lt;10,D26,J26),C27)</f>
        <v>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1.0641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56</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8423</v>
      </c>
      <c r="D33" s="1940">
        <f>'数据-汇总表'!E19</f>
        <v>66.63</v>
      </c>
      <c r="E33" s="727">
        <f>ROUND(C33*D33/10000,0)</f>
        <v>56</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2106</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5"/>
      <c r="B37" s="1955" t="s">
        <v>2036</v>
      </c>
      <c r="C37" s="167">
        <f>ROUND(D5*C22*C23*C24*C28*F37,0)</f>
        <v>4954</v>
      </c>
      <c r="D37" s="1940"/>
      <c r="E37" s="163">
        <f>ROUND(C37*D37/10000,0)</f>
        <v>0</v>
      </c>
      <c r="F37" s="163">
        <f>SUMIF(修正!A57:A68,G2,修正!B57:B68)</f>
        <v>0.6</v>
      </c>
      <c r="G37" s="163">
        <f>ROUND(IF(E2="工业",C37*$M$42,C37*$M$41),0)</f>
        <v>1239</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6"/>
      <c r="B38" s="1884" t="s">
        <v>2037</v>
      </c>
      <c r="C38" s="167">
        <f>ROUND(D5*C22*C23*C24*C28*F38,0)</f>
        <v>2477</v>
      </c>
      <c r="D38" s="1940"/>
      <c r="E38" s="163">
        <f t="shared" ref="E38:E42" si="4">ROUND(C38*D38/10000,0)</f>
        <v>0</v>
      </c>
      <c r="F38" s="163">
        <f>SUMIF(修正!A57:A68,G2,修正!C57:C68)</f>
        <v>0.3</v>
      </c>
      <c r="G38" s="163">
        <f>ROUND(IF(E2="工业",C38*$M$42,C38*$M$41),0)</f>
        <v>619</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6"/>
      <c r="B39" s="1884" t="s">
        <v>3258</v>
      </c>
      <c r="C39" s="167">
        <f>ROUND(D5*C22*C23*C24*C28*F39,0)</f>
        <v>2064</v>
      </c>
      <c r="D39" s="1940"/>
      <c r="E39" s="163">
        <f t="shared" si="4"/>
        <v>0</v>
      </c>
      <c r="F39" s="163">
        <f>SUMIF(修正!A57:A68,G2,修正!D57:D68)</f>
        <v>0.25</v>
      </c>
      <c r="G39" s="163">
        <f>ROUND(IF(E2="工业",C39*$M$42,C39*$M$41),0)</f>
        <v>516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2064</v>
      </c>
      <c r="D40" s="1940"/>
      <c r="E40" s="163">
        <f t="shared" si="4"/>
        <v>0</v>
      </c>
      <c r="F40" s="167">
        <f>SUMIF(修正!A57:A68,G2,修正!E57:E68)</f>
        <v>0.25</v>
      </c>
      <c r="G40" s="163">
        <f>ROUND(IF(E2="工业",C40*$M$42,C40*$M$41),0)</f>
        <v>516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1.0641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3439</v>
      </c>
      <c r="D61" s="1002">
        <f t="shared" ref="D61:D69" si="12">SUMIF($J$60:$N$60,C61,J61:N61)</f>
        <v>1.6199999999999999E-2</v>
      </c>
      <c r="E61" s="702">
        <f>ROUND(SUM(D61:D69),4)</f>
        <v>6.4100000000000004E-2</v>
      </c>
      <c r="F61" s="1675">
        <f>IF(E2="办公",SUMIF(L1:L12,G2,N1:N12),"——")</f>
        <v>0.13</v>
      </c>
      <c r="G61" s="1000">
        <v>1.6199999999999999E-2</v>
      </c>
      <c r="H61" s="1003">
        <f t="shared" ref="H61:H69" si="13">IFERROR(ROUNDDOWN($F$61*I61/2,4),"——")</f>
        <v>1.6199999999999999E-2</v>
      </c>
      <c r="I61" s="3066">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3439</v>
      </c>
      <c r="D62" s="1002">
        <f t="shared" si="12"/>
        <v>1.6899999999999998E-2</v>
      </c>
      <c r="E62" s="703"/>
      <c r="F62" s="1675"/>
      <c r="G62" s="1000">
        <v>1.6899999999999998E-2</v>
      </c>
      <c r="H62" s="1003">
        <f t="shared" si="13"/>
        <v>1.6899999999999998E-2</v>
      </c>
      <c r="I62" s="3066">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t="s">
        <v>3439</v>
      </c>
      <c r="D63" s="1002">
        <f t="shared" si="12"/>
        <v>7.1000000000000004E-3</v>
      </c>
      <c r="E63" s="703"/>
      <c r="F63" s="1675"/>
      <c r="G63" s="1000">
        <v>7.1000000000000004E-3</v>
      </c>
      <c r="H63" s="1003">
        <f t="shared" si="13"/>
        <v>7.1000000000000004E-3</v>
      </c>
      <c r="I63" s="3066">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3439</v>
      </c>
      <c r="D64" s="1002">
        <f t="shared" si="12"/>
        <v>3.2000000000000002E-3</v>
      </c>
      <c r="E64" s="703"/>
      <c r="F64" s="1675"/>
      <c r="G64" s="1000">
        <v>3.2000000000000002E-3</v>
      </c>
      <c r="H64" s="1003">
        <f t="shared" si="13"/>
        <v>3.2000000000000002E-3</v>
      </c>
      <c r="I64" s="3066">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3507</v>
      </c>
      <c r="D65" s="1002">
        <f t="shared" si="12"/>
        <v>-3.2000000000000002E-3</v>
      </c>
      <c r="E65" s="703"/>
      <c r="F65" s="1675"/>
      <c r="G65" s="1000">
        <v>3.2000000000000002E-3</v>
      </c>
      <c r="H65" s="1003">
        <f t="shared" si="13"/>
        <v>3.2000000000000002E-3</v>
      </c>
      <c r="I65" s="3066">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3439</v>
      </c>
      <c r="D66" s="1002">
        <f t="shared" si="12"/>
        <v>3.8999999999999998E-3</v>
      </c>
      <c r="E66" s="703"/>
      <c r="F66" s="1675"/>
      <c r="G66" s="1000">
        <v>3.8999999999999998E-3</v>
      </c>
      <c r="H66" s="1003">
        <f t="shared" si="13"/>
        <v>3.8999999999999998E-3</v>
      </c>
      <c r="I66" s="3066">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3439</v>
      </c>
      <c r="D67" s="1002">
        <f t="shared" si="12"/>
        <v>3.8999999999999998E-3</v>
      </c>
      <c r="E67" s="703"/>
      <c r="F67" s="1675"/>
      <c r="G67" s="1000">
        <v>3.8999999999999998E-3</v>
      </c>
      <c r="H67" s="1003">
        <f t="shared" si="13"/>
        <v>3.8999999999999998E-3</v>
      </c>
      <c r="I67" s="3066">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3440</v>
      </c>
      <c r="D68" s="1002">
        <f t="shared" si="12"/>
        <v>1.1599999999999999E-2</v>
      </c>
      <c r="E68" s="703"/>
      <c r="F68" s="1675"/>
      <c r="G68" s="1000">
        <v>5.7999999999999996E-3</v>
      </c>
      <c r="H68" s="1003">
        <f t="shared" si="13"/>
        <v>5.7999999999999996E-3</v>
      </c>
      <c r="I68" s="3066">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3439</v>
      </c>
      <c r="D69" s="1002">
        <f t="shared" si="12"/>
        <v>4.4999999999999997E-3</v>
      </c>
      <c r="E69" s="704"/>
      <c r="F69" s="1675"/>
      <c r="G69" s="1000">
        <v>4.4999999999999997E-3</v>
      </c>
      <c r="H69" s="1003">
        <f t="shared" si="13"/>
        <v>4.4999999999999997E-3</v>
      </c>
      <c r="I69" s="3067">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3" t="s">
        <v>3293</v>
      </c>
      <c r="B103" s="3473"/>
      <c r="C103" s="3473"/>
      <c r="D103" s="3473"/>
      <c r="E103" s="3473"/>
      <c r="F103" s="3473"/>
      <c r="G103" s="3473"/>
      <c r="H103" s="3473"/>
      <c r="I103" s="3473"/>
      <c r="J103" s="3473"/>
      <c r="K103" s="1667"/>
      <c r="L103" s="1667"/>
      <c r="M103" s="1667"/>
      <c r="N103" s="1667"/>
    </row>
    <row r="104" spans="1:14">
      <c r="A104" s="3474" t="s">
        <v>3294</v>
      </c>
      <c r="B104" s="3474" t="s">
        <v>3295</v>
      </c>
      <c r="C104" s="3088" t="s">
        <v>3296</v>
      </c>
      <c r="D104" s="3089"/>
      <c r="E104" s="3089"/>
      <c r="F104" s="3089"/>
      <c r="G104" s="3089"/>
      <c r="H104" s="3089"/>
      <c r="I104" s="3089"/>
      <c r="J104" s="3090"/>
      <c r="K104" s="3091"/>
      <c r="L104" s="3091"/>
      <c r="M104" s="3091"/>
      <c r="N104" s="3091"/>
    </row>
    <row r="105" spans="1:14">
      <c r="A105" s="3474"/>
      <c r="B105" s="3474"/>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60"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1"/>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2"/>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63" t="s">
        <v>3310</v>
      </c>
      <c r="B113" s="3463"/>
      <c r="C113" s="3463"/>
      <c r="D113" s="3463"/>
      <c r="E113" s="3463"/>
      <c r="F113" s="3463"/>
      <c r="G113" s="3463"/>
      <c r="H113" s="3463"/>
      <c r="I113" s="3463"/>
      <c r="J113" s="3463"/>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2.5</v>
      </c>
      <c r="C116" s="3097" t="s">
        <v>3312</v>
      </c>
      <c r="D116" s="3098">
        <f>SUMPRODUCT((A118:A122=F116)*(B117:M117=H116)*B118:M122)</f>
        <v>0.90600000000000003</v>
      </c>
      <c r="E116" s="162" t="s">
        <v>3313</v>
      </c>
      <c r="F116" s="3099" t="str">
        <f>E2</f>
        <v>办公</v>
      </c>
      <c r="G116" s="162" t="s">
        <v>3314</v>
      </c>
      <c r="H116" s="3099" t="str">
        <f>G2</f>
        <v>七级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3328</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3329</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8" thickBot="1">
      <c r="A121" s="3108" t="s">
        <v>3330</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2612</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8" t="s">
        <v>2607</v>
      </c>
      <c r="B20" s="3483" t="s">
        <v>2628</v>
      </c>
      <c r="C20" s="2840" t="s">
        <v>2439</v>
      </c>
      <c r="D20" s="2841"/>
      <c r="E20" s="2842">
        <v>1</v>
      </c>
      <c r="F20" s="2843" t="s">
        <v>2440</v>
      </c>
      <c r="G20" s="2843"/>
    </row>
    <row r="21" spans="1:13" ht="19.5" customHeight="1">
      <c r="A21" s="3489"/>
      <c r="B21" s="3482"/>
      <c r="C21" s="2844" t="s">
        <v>2441</v>
      </c>
      <c r="D21" s="2845"/>
      <c r="E21" s="2846">
        <v>1</v>
      </c>
      <c r="F21" s="2843" t="s">
        <v>2442</v>
      </c>
      <c r="G21" s="2843"/>
    </row>
    <row r="22" spans="1:13" ht="19.5" customHeight="1">
      <c r="A22" s="3489"/>
      <c r="B22" s="3482"/>
      <c r="C22" s="2844" t="s">
        <v>2443</v>
      </c>
      <c r="D22" s="2845"/>
      <c r="E22" s="2846">
        <v>0.9</v>
      </c>
      <c r="F22" s="2843" t="s">
        <v>2444</v>
      </c>
      <c r="G22" s="2843"/>
    </row>
    <row r="23" spans="1:13" ht="19.5" customHeight="1">
      <c r="A23" s="3489"/>
      <c r="B23" s="3482"/>
      <c r="C23" s="2844" t="s">
        <v>2445</v>
      </c>
      <c r="D23" s="2845"/>
      <c r="E23" s="2846">
        <v>0.9</v>
      </c>
      <c r="F23" s="2843" t="s">
        <v>2446</v>
      </c>
      <c r="G23" s="2843"/>
    </row>
    <row r="24" spans="1:13" ht="19.5" customHeight="1">
      <c r="A24" s="3489"/>
      <c r="B24" s="3482"/>
      <c r="C24" s="2844" t="s">
        <v>2447</v>
      </c>
      <c r="D24" s="2845"/>
      <c r="E24" s="2846">
        <v>0.8</v>
      </c>
      <c r="F24" s="2843" t="s">
        <v>2448</v>
      </c>
      <c r="G24" s="2843"/>
    </row>
    <row r="25" spans="1:13" ht="19.5" customHeight="1" thickBot="1">
      <c r="A25" s="3490"/>
      <c r="B25" s="3484"/>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85" t="s">
        <v>2631</v>
      </c>
      <c r="B27" s="3483" t="s">
        <v>2612</v>
      </c>
      <c r="C27" s="2840" t="s">
        <v>2452</v>
      </c>
      <c r="D27" s="2841"/>
      <c r="E27" s="2842">
        <v>1</v>
      </c>
      <c r="F27" s="2843" t="s">
        <v>2453</v>
      </c>
      <c r="G27" s="2843"/>
    </row>
    <row r="28" spans="1:13" ht="19.5" customHeight="1">
      <c r="A28" s="3486"/>
      <c r="B28" s="3482"/>
      <c r="C28" s="2844" t="s">
        <v>2454</v>
      </c>
      <c r="D28" s="2845"/>
      <c r="E28" s="2846">
        <v>1</v>
      </c>
      <c r="F28" s="2843" t="s">
        <v>2455</v>
      </c>
      <c r="G28" s="2843"/>
    </row>
    <row r="29" spans="1:13" ht="19.5" customHeight="1">
      <c r="A29" s="3486"/>
      <c r="B29" s="3482"/>
      <c r="C29" s="2844" t="s">
        <v>2456</v>
      </c>
      <c r="D29" s="2845"/>
      <c r="E29" s="2846">
        <v>0.8</v>
      </c>
      <c r="F29" s="2843" t="s">
        <v>2457</v>
      </c>
      <c r="G29" s="2843"/>
    </row>
    <row r="30" spans="1:13" ht="19.5" customHeight="1">
      <c r="A30" s="3486"/>
      <c r="B30" s="3482"/>
      <c r="C30" s="2844" t="s">
        <v>2458</v>
      </c>
      <c r="D30" s="2845"/>
      <c r="E30" s="2846">
        <v>0.8</v>
      </c>
      <c r="F30" s="2843" t="s">
        <v>2459</v>
      </c>
      <c r="G30" s="2843"/>
    </row>
    <row r="31" spans="1:13" ht="19.5" customHeight="1">
      <c r="A31" s="3486"/>
      <c r="B31" s="3482"/>
      <c r="C31" s="2844" t="s">
        <v>2460</v>
      </c>
      <c r="D31" s="2845"/>
      <c r="E31" s="2846">
        <v>0.8</v>
      </c>
      <c r="F31" s="2843" t="s">
        <v>2461</v>
      </c>
      <c r="G31" s="2843"/>
    </row>
    <row r="32" spans="1:13" ht="19.5" customHeight="1">
      <c r="A32" s="3486"/>
      <c r="B32" s="3482"/>
      <c r="C32" s="2844" t="s">
        <v>2462</v>
      </c>
      <c r="D32" s="2845"/>
      <c r="E32" s="2846">
        <v>0.7</v>
      </c>
      <c r="F32" s="2843" t="s">
        <v>2463</v>
      </c>
      <c r="G32" s="2843"/>
    </row>
    <row r="33" spans="1:7" ht="19.5" customHeight="1">
      <c r="A33" s="3486"/>
      <c r="B33" s="3482"/>
      <c r="C33" s="2844" t="s">
        <v>2464</v>
      </c>
      <c r="D33" s="2845"/>
      <c r="E33" s="2846">
        <v>0.8</v>
      </c>
      <c r="F33" s="2843" t="s">
        <v>2465</v>
      </c>
      <c r="G33" s="2843"/>
    </row>
    <row r="34" spans="1:7" ht="19.5" customHeight="1">
      <c r="A34" s="3486"/>
      <c r="B34" s="3482"/>
      <c r="C34" s="2844" t="s">
        <v>2466</v>
      </c>
      <c r="D34" s="2845"/>
      <c r="E34" s="2846">
        <v>0.6</v>
      </c>
      <c r="F34" s="2843" t="s">
        <v>2467</v>
      </c>
      <c r="G34" s="2843"/>
    </row>
    <row r="35" spans="1:7" ht="19.5" customHeight="1">
      <c r="A35" s="3486"/>
      <c r="B35" s="3482"/>
      <c r="C35" s="2844" t="s">
        <v>2468</v>
      </c>
      <c r="D35" s="2845"/>
      <c r="E35" s="2846">
        <v>0.2</v>
      </c>
      <c r="F35" s="2843" t="s">
        <v>2469</v>
      </c>
      <c r="G35" s="2843"/>
    </row>
    <row r="36" spans="1:7" ht="19.5" customHeight="1">
      <c r="A36" s="3486"/>
      <c r="B36" s="3482"/>
      <c r="C36" s="2844" t="s">
        <v>2470</v>
      </c>
      <c r="D36" s="2845"/>
      <c r="E36" s="2846">
        <v>0.2</v>
      </c>
      <c r="F36" s="2843" t="s">
        <v>2471</v>
      </c>
      <c r="G36" s="2843"/>
    </row>
    <row r="37" spans="1:7" ht="19.5" customHeight="1">
      <c r="A37" s="3486"/>
      <c r="B37" s="3480" t="s">
        <v>2632</v>
      </c>
      <c r="C37" s="2844" t="s">
        <v>2472</v>
      </c>
      <c r="D37" s="2845"/>
      <c r="E37" s="2846">
        <v>0.6</v>
      </c>
      <c r="F37" s="2843" t="s">
        <v>2473</v>
      </c>
      <c r="G37" s="2843"/>
    </row>
    <row r="38" spans="1:7" ht="19.5" customHeight="1">
      <c r="A38" s="3486"/>
      <c r="B38" s="3482"/>
      <c r="C38" s="2844" t="s">
        <v>2474</v>
      </c>
      <c r="D38" s="2845"/>
      <c r="E38" s="2846">
        <v>0.6</v>
      </c>
      <c r="F38" s="2843" t="s">
        <v>2475</v>
      </c>
      <c r="G38" s="2843"/>
    </row>
    <row r="39" spans="1:7" ht="19.5" customHeight="1" thickBot="1">
      <c r="A39" s="3487"/>
      <c r="B39" s="3484"/>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88" t="s">
        <v>2610</v>
      </c>
      <c r="B41" s="3483" t="s">
        <v>2634</v>
      </c>
      <c r="C41" s="2840" t="s">
        <v>2479</v>
      </c>
      <c r="D41" s="2841"/>
      <c r="E41" s="2842">
        <v>1</v>
      </c>
      <c r="F41" s="2843" t="s">
        <v>2480</v>
      </c>
      <c r="G41" s="2843"/>
    </row>
    <row r="42" spans="1:7" ht="19.5" customHeight="1">
      <c r="A42" s="3489"/>
      <c r="B42" s="3482"/>
      <c r="C42" s="2844" t="s">
        <v>2481</v>
      </c>
      <c r="D42" s="2845"/>
      <c r="E42" s="2846">
        <v>1</v>
      </c>
      <c r="F42" s="2843" t="s">
        <v>2482</v>
      </c>
      <c r="G42" s="2843"/>
    </row>
    <row r="43" spans="1:7" ht="19.5" customHeight="1">
      <c r="A43" s="3489"/>
      <c r="B43" s="3481"/>
      <c r="C43" s="2844" t="s">
        <v>2483</v>
      </c>
      <c r="D43" s="2845"/>
      <c r="E43" s="2846">
        <v>1.5</v>
      </c>
      <c r="F43" s="2843" t="s">
        <v>2484</v>
      </c>
      <c r="G43" s="2843"/>
    </row>
    <row r="44" spans="1:7" ht="19.5" customHeight="1">
      <c r="A44" s="3489"/>
      <c r="B44" s="2855" t="s">
        <v>2635</v>
      </c>
      <c r="C44" s="2844" t="s">
        <v>2636</v>
      </c>
      <c r="D44" s="2845"/>
      <c r="E44" s="2846">
        <v>2</v>
      </c>
      <c r="F44" s="2843" t="s">
        <v>2485</v>
      </c>
      <c r="G44" s="2843"/>
    </row>
    <row r="45" spans="1:7" ht="19.5" customHeight="1">
      <c r="A45" s="3489"/>
      <c r="B45" s="3480" t="s">
        <v>2637</v>
      </c>
      <c r="C45" s="2844" t="s">
        <v>2486</v>
      </c>
      <c r="D45" s="2845"/>
      <c r="E45" s="2846">
        <v>1</v>
      </c>
      <c r="F45" s="2843" t="s">
        <v>2487</v>
      </c>
      <c r="G45" s="2843"/>
    </row>
    <row r="46" spans="1:7" ht="19.5" customHeight="1">
      <c r="A46" s="3489"/>
      <c r="B46" s="3482"/>
      <c r="C46" s="2844" t="s">
        <v>2488</v>
      </c>
      <c r="D46" s="2845"/>
      <c r="E46" s="2846">
        <v>1</v>
      </c>
      <c r="F46" s="2843" t="s">
        <v>2489</v>
      </c>
      <c r="G46" s="2843"/>
    </row>
    <row r="47" spans="1:7" ht="19.5" customHeight="1">
      <c r="A47" s="3489"/>
      <c r="B47" s="3482"/>
      <c r="C47" s="2844" t="s">
        <v>2490</v>
      </c>
      <c r="D47" s="2845"/>
      <c r="E47" s="2846">
        <v>1</v>
      </c>
      <c r="F47" s="2843" t="s">
        <v>2491</v>
      </c>
      <c r="G47" s="2843"/>
    </row>
    <row r="48" spans="1:7" ht="19.5" customHeight="1">
      <c r="A48" s="3489"/>
      <c r="B48" s="3482"/>
      <c r="C48" s="2844" t="s">
        <v>2492</v>
      </c>
      <c r="D48" s="2845"/>
      <c r="E48" s="2846">
        <v>1</v>
      </c>
      <c r="F48" s="2843" t="s">
        <v>2493</v>
      </c>
      <c r="G48" s="2843"/>
    </row>
    <row r="49" spans="1:7" ht="19.5" customHeight="1">
      <c r="A49" s="3489"/>
      <c r="B49" s="3482"/>
      <c r="C49" s="2844" t="s">
        <v>2494</v>
      </c>
      <c r="D49" s="2845"/>
      <c r="E49" s="2846">
        <v>1</v>
      </c>
      <c r="F49" s="2843" t="s">
        <v>2495</v>
      </c>
      <c r="G49" s="2843"/>
    </row>
    <row r="50" spans="1:7" ht="19.5" customHeight="1">
      <c r="A50" s="3489"/>
      <c r="B50" s="3482"/>
      <c r="C50" s="2844" t="s">
        <v>2496</v>
      </c>
      <c r="D50" s="2845"/>
      <c r="E50" s="2846">
        <v>1</v>
      </c>
      <c r="F50" s="2843" t="s">
        <v>2497</v>
      </c>
      <c r="G50" s="2843"/>
    </row>
    <row r="51" spans="1:7" ht="19.5" customHeight="1" thickBot="1">
      <c r="A51" s="3490"/>
      <c r="B51" s="3484"/>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80" t="s">
        <v>2651</v>
      </c>
      <c r="C73" s="2829" t="s">
        <v>2652</v>
      </c>
      <c r="D73" s="2829" t="s">
        <v>2653</v>
      </c>
      <c r="E73" s="2855">
        <v>0.2</v>
      </c>
      <c r="F73" s="2855">
        <v>25</v>
      </c>
    </row>
    <row r="74" spans="1:7" ht="24">
      <c r="A74" s="2855">
        <v>2</v>
      </c>
      <c r="B74" s="3482"/>
      <c r="C74" s="2829" t="s">
        <v>2654</v>
      </c>
      <c r="D74" s="2829" t="s">
        <v>2655</v>
      </c>
      <c r="E74" s="2855">
        <v>0.2</v>
      </c>
      <c r="F74" s="2855">
        <v>25</v>
      </c>
    </row>
    <row r="75" spans="1:7" ht="24">
      <c r="A75" s="2855">
        <v>3</v>
      </c>
      <c r="B75" s="3482"/>
      <c r="C75" s="2829" t="s">
        <v>2656</v>
      </c>
      <c r="D75" s="2829" t="s">
        <v>2657</v>
      </c>
      <c r="E75" s="2855">
        <v>0.2</v>
      </c>
      <c r="F75" s="2855">
        <v>25</v>
      </c>
    </row>
    <row r="76" spans="1:7" ht="14.4">
      <c r="A76" s="2855">
        <v>4</v>
      </c>
      <c r="B76" s="3482"/>
      <c r="C76" s="2829" t="s">
        <v>2658</v>
      </c>
      <c r="D76" s="2829" t="s">
        <v>2659</v>
      </c>
      <c r="E76" s="2855">
        <v>0.15</v>
      </c>
      <c r="F76" s="2855">
        <v>20</v>
      </c>
    </row>
    <row r="77" spans="1:7" ht="24">
      <c r="A77" s="2855">
        <v>5</v>
      </c>
      <c r="B77" s="3482"/>
      <c r="C77" s="2829" t="s">
        <v>2660</v>
      </c>
      <c r="D77" s="2829" t="s">
        <v>2661</v>
      </c>
      <c r="E77" s="2855">
        <v>0.15</v>
      </c>
      <c r="F77" s="2855">
        <v>20</v>
      </c>
    </row>
    <row r="78" spans="1:7" ht="24">
      <c r="A78" s="2855">
        <v>6</v>
      </c>
      <c r="B78" s="3482"/>
      <c r="C78" s="2829" t="s">
        <v>2662</v>
      </c>
      <c r="D78" s="2829" t="s">
        <v>2663</v>
      </c>
      <c r="E78" s="2855">
        <v>0.15</v>
      </c>
      <c r="F78" s="2855">
        <v>20</v>
      </c>
    </row>
    <row r="79" spans="1:7" ht="24">
      <c r="A79" s="2855">
        <v>7</v>
      </c>
      <c r="B79" s="3482"/>
      <c r="C79" s="2829" t="s">
        <v>2664</v>
      </c>
      <c r="D79" s="2829" t="s">
        <v>2665</v>
      </c>
      <c r="E79" s="2855">
        <v>0.15</v>
      </c>
      <c r="F79" s="2855">
        <v>20</v>
      </c>
    </row>
    <row r="80" spans="1:7" ht="24">
      <c r="A80" s="2855">
        <v>8</v>
      </c>
      <c r="B80" s="3482"/>
      <c r="C80" s="2829" t="s">
        <v>2666</v>
      </c>
      <c r="D80" s="2829" t="s">
        <v>2667</v>
      </c>
      <c r="E80" s="2855">
        <v>0.1</v>
      </c>
      <c r="F80" s="2855">
        <v>15</v>
      </c>
    </row>
    <row r="81" spans="1:6" ht="24">
      <c r="A81" s="2855">
        <v>9</v>
      </c>
      <c r="B81" s="3482"/>
      <c r="C81" s="2829" t="s">
        <v>2668</v>
      </c>
      <c r="D81" s="2829" t="s">
        <v>2669</v>
      </c>
      <c r="E81" s="2855">
        <v>0.1</v>
      </c>
      <c r="F81" s="2855">
        <v>15</v>
      </c>
    </row>
    <row r="82" spans="1:6" ht="24">
      <c r="A82" s="2855">
        <v>10</v>
      </c>
      <c r="B82" s="3482"/>
      <c r="C82" s="2829" t="s">
        <v>2670</v>
      </c>
      <c r="D82" s="2829" t="s">
        <v>2671</v>
      </c>
      <c r="E82" s="2855">
        <v>0.1</v>
      </c>
      <c r="F82" s="2855">
        <v>15</v>
      </c>
    </row>
    <row r="83" spans="1:6" ht="24">
      <c r="A83" s="2855">
        <v>11</v>
      </c>
      <c r="B83" s="3482"/>
      <c r="C83" s="2829" t="s">
        <v>2672</v>
      </c>
      <c r="D83" s="2829" t="s">
        <v>2673</v>
      </c>
      <c r="E83" s="2855">
        <v>0.1</v>
      </c>
      <c r="F83" s="2855">
        <v>15</v>
      </c>
    </row>
    <row r="84" spans="1:6" ht="24">
      <c r="A84" s="2855">
        <v>12</v>
      </c>
      <c r="B84" s="3482"/>
      <c r="C84" s="2829" t="s">
        <v>2674</v>
      </c>
      <c r="D84" s="2829" t="s">
        <v>2675</v>
      </c>
      <c r="E84" s="2855">
        <v>0.1</v>
      </c>
      <c r="F84" s="2855">
        <v>15</v>
      </c>
    </row>
    <row r="85" spans="1:6" ht="24">
      <c r="A85" s="2855">
        <v>13</v>
      </c>
      <c r="B85" s="3482"/>
      <c r="C85" s="2829" t="s">
        <v>2676</v>
      </c>
      <c r="D85" s="2829" t="s">
        <v>2677</v>
      </c>
      <c r="E85" s="2855">
        <v>0.1</v>
      </c>
      <c r="F85" s="2855">
        <v>15</v>
      </c>
    </row>
    <row r="86" spans="1:6" ht="24">
      <c r="A86" s="2855">
        <v>14</v>
      </c>
      <c r="B86" s="3482"/>
      <c r="C86" s="2829" t="s">
        <v>2678</v>
      </c>
      <c r="D86" s="2829" t="s">
        <v>2679</v>
      </c>
      <c r="E86" s="2855">
        <v>0.1</v>
      </c>
      <c r="F86" s="2855">
        <v>15</v>
      </c>
    </row>
    <row r="87" spans="1:6" ht="24">
      <c r="A87" s="2855">
        <v>15</v>
      </c>
      <c r="B87" s="3482"/>
      <c r="C87" s="2829" t="s">
        <v>2680</v>
      </c>
      <c r="D87" s="2829" t="s">
        <v>2681</v>
      </c>
      <c r="E87" s="2855">
        <v>0.1</v>
      </c>
      <c r="F87" s="2855">
        <v>15</v>
      </c>
    </row>
    <row r="88" spans="1:6" ht="24">
      <c r="A88" s="2855">
        <v>16</v>
      </c>
      <c r="B88" s="3482"/>
      <c r="C88" s="2829" t="s">
        <v>2682</v>
      </c>
      <c r="D88" s="2829" t="s">
        <v>2683</v>
      </c>
      <c r="E88" s="2855">
        <v>0.1</v>
      </c>
      <c r="F88" s="2855">
        <v>15</v>
      </c>
    </row>
    <row r="89" spans="1:6" ht="24">
      <c r="A89" s="2855">
        <v>17</v>
      </c>
      <c r="B89" s="3481"/>
      <c r="C89" s="2829" t="s">
        <v>2684</v>
      </c>
      <c r="D89" s="2829" t="s">
        <v>2685</v>
      </c>
      <c r="E89" s="2855">
        <v>0.1</v>
      </c>
      <c r="F89" s="2855">
        <v>15</v>
      </c>
    </row>
    <row r="90" spans="1:6" ht="14.4">
      <c r="A90" s="2855">
        <v>18</v>
      </c>
      <c r="B90" s="3480" t="s">
        <v>2686</v>
      </c>
      <c r="C90" s="2829" t="s">
        <v>2687</v>
      </c>
      <c r="D90" s="2829" t="s">
        <v>2688</v>
      </c>
      <c r="E90" s="2855">
        <v>0.2</v>
      </c>
      <c r="F90" s="2855">
        <v>25</v>
      </c>
    </row>
    <row r="91" spans="1:6" ht="24">
      <c r="A91" s="2855">
        <v>19</v>
      </c>
      <c r="B91" s="3482"/>
      <c r="C91" s="2829" t="s">
        <v>2689</v>
      </c>
      <c r="D91" s="2829" t="s">
        <v>2690</v>
      </c>
      <c r="E91" s="2855">
        <v>0.2</v>
      </c>
      <c r="F91" s="2855">
        <v>25</v>
      </c>
    </row>
    <row r="92" spans="1:6" ht="14.4">
      <c r="A92" s="2855">
        <v>20</v>
      </c>
      <c r="B92" s="3482"/>
      <c r="C92" s="2829" t="s">
        <v>2691</v>
      </c>
      <c r="D92" s="2829" t="s">
        <v>2692</v>
      </c>
      <c r="E92" s="2855">
        <v>0.15</v>
      </c>
      <c r="F92" s="2855">
        <v>20</v>
      </c>
    </row>
    <row r="93" spans="1:6" ht="24">
      <c r="A93" s="2855">
        <v>21</v>
      </c>
      <c r="B93" s="3482"/>
      <c r="C93" s="2829" t="s">
        <v>2693</v>
      </c>
      <c r="D93" s="2829" t="s">
        <v>2694</v>
      </c>
      <c r="E93" s="2855">
        <v>0.15</v>
      </c>
      <c r="F93" s="2855">
        <v>20</v>
      </c>
    </row>
    <row r="94" spans="1:6" ht="24">
      <c r="A94" s="2855">
        <v>22</v>
      </c>
      <c r="B94" s="3482"/>
      <c r="C94" s="2829" t="s">
        <v>2695</v>
      </c>
      <c r="D94" s="2829" t="s">
        <v>2696</v>
      </c>
      <c r="E94" s="2855">
        <v>0.15</v>
      </c>
      <c r="F94" s="2855">
        <v>20</v>
      </c>
    </row>
    <row r="95" spans="1:6" ht="36">
      <c r="A95" s="2855">
        <v>23</v>
      </c>
      <c r="B95" s="3482"/>
      <c r="C95" s="2829" t="s">
        <v>2697</v>
      </c>
      <c r="D95" s="2829" t="s">
        <v>2698</v>
      </c>
      <c r="E95" s="2855">
        <v>0.15</v>
      </c>
      <c r="F95" s="2855">
        <v>20</v>
      </c>
    </row>
    <row r="96" spans="1:6" ht="24">
      <c r="A96" s="2855">
        <v>24</v>
      </c>
      <c r="B96" s="3482"/>
      <c r="C96" s="2829" t="s">
        <v>2699</v>
      </c>
      <c r="D96" s="2829" t="s">
        <v>2700</v>
      </c>
      <c r="E96" s="2855">
        <v>0.1</v>
      </c>
      <c r="F96" s="2855">
        <v>15</v>
      </c>
    </row>
    <row r="97" spans="1:6" ht="24">
      <c r="A97" s="2855">
        <v>25</v>
      </c>
      <c r="B97" s="3482"/>
      <c r="C97" s="2829" t="s">
        <v>2701</v>
      </c>
      <c r="D97" s="2829" t="s">
        <v>2702</v>
      </c>
      <c r="E97" s="2855">
        <v>0.1</v>
      </c>
      <c r="F97" s="2855">
        <v>15</v>
      </c>
    </row>
    <row r="98" spans="1:6" ht="24">
      <c r="A98" s="2855">
        <v>26</v>
      </c>
      <c r="B98" s="3482"/>
      <c r="C98" s="2829" t="s">
        <v>2703</v>
      </c>
      <c r="D98" s="2829" t="s">
        <v>2704</v>
      </c>
      <c r="E98" s="2855">
        <v>0.1</v>
      </c>
      <c r="F98" s="2855">
        <v>15</v>
      </c>
    </row>
    <row r="99" spans="1:6" ht="24">
      <c r="A99" s="2855">
        <v>27</v>
      </c>
      <c r="B99" s="3482"/>
      <c r="C99" s="2829" t="s">
        <v>2705</v>
      </c>
      <c r="D99" s="2829" t="s">
        <v>2706</v>
      </c>
      <c r="E99" s="2855">
        <v>0.1</v>
      </c>
      <c r="F99" s="2855">
        <v>15</v>
      </c>
    </row>
    <row r="100" spans="1:6" ht="24">
      <c r="A100" s="2855">
        <v>28</v>
      </c>
      <c r="B100" s="3482"/>
      <c r="C100" s="2829" t="s">
        <v>2707</v>
      </c>
      <c r="D100" s="2829" t="s">
        <v>2708</v>
      </c>
      <c r="E100" s="2855">
        <v>0.1</v>
      </c>
      <c r="F100" s="2855">
        <v>15</v>
      </c>
    </row>
    <row r="101" spans="1:6" ht="24">
      <c r="A101" s="2855">
        <v>29</v>
      </c>
      <c r="B101" s="3482"/>
      <c r="C101" s="2829" t="s">
        <v>2709</v>
      </c>
      <c r="D101" s="2829" t="s">
        <v>2710</v>
      </c>
      <c r="E101" s="2855">
        <v>0.1</v>
      </c>
      <c r="F101" s="2855">
        <v>15</v>
      </c>
    </row>
    <row r="102" spans="1:6" ht="24">
      <c r="A102" s="2855">
        <v>30</v>
      </c>
      <c r="B102" s="3482"/>
      <c r="C102" s="2829" t="s">
        <v>2711</v>
      </c>
      <c r="D102" s="2829" t="s">
        <v>2712</v>
      </c>
      <c r="E102" s="2855">
        <v>0.1</v>
      </c>
      <c r="F102" s="2855">
        <v>15</v>
      </c>
    </row>
    <row r="103" spans="1:6" ht="24">
      <c r="A103" s="2855">
        <v>31</v>
      </c>
      <c r="B103" s="3482"/>
      <c r="C103" s="2829" t="s">
        <v>2713</v>
      </c>
      <c r="D103" s="2829" t="s">
        <v>2714</v>
      </c>
      <c r="E103" s="2855">
        <v>0.1</v>
      </c>
      <c r="F103" s="2855">
        <v>15</v>
      </c>
    </row>
    <row r="104" spans="1:6" ht="24">
      <c r="A104" s="2855">
        <v>32</v>
      </c>
      <c r="B104" s="3482"/>
      <c r="C104" s="2829" t="s">
        <v>2715</v>
      </c>
      <c r="D104" s="2829" t="s">
        <v>2716</v>
      </c>
      <c r="E104" s="2855">
        <v>0.1</v>
      </c>
      <c r="F104" s="2855">
        <v>15</v>
      </c>
    </row>
    <row r="105" spans="1:6" ht="24">
      <c r="A105" s="2855">
        <v>33</v>
      </c>
      <c r="B105" s="3482"/>
      <c r="C105" s="2829" t="s">
        <v>2717</v>
      </c>
      <c r="D105" s="2829" t="s">
        <v>2718</v>
      </c>
      <c r="E105" s="2855">
        <v>0.1</v>
      </c>
      <c r="F105" s="2855">
        <v>15</v>
      </c>
    </row>
    <row r="106" spans="1:6" ht="24">
      <c r="A106" s="2855">
        <v>34</v>
      </c>
      <c r="B106" s="3481"/>
      <c r="C106" s="2829" t="s">
        <v>2719</v>
      </c>
      <c r="D106" s="2829" t="s">
        <v>2720</v>
      </c>
      <c r="E106" s="2855">
        <v>0.1</v>
      </c>
      <c r="F106" s="2855">
        <v>15</v>
      </c>
    </row>
    <row r="107" spans="1:6" ht="36">
      <c r="A107" s="2855">
        <v>35</v>
      </c>
      <c r="B107" s="3480" t="s">
        <v>2721</v>
      </c>
      <c r="C107" s="2855" t="s">
        <v>2722</v>
      </c>
      <c r="D107" s="2829" t="s">
        <v>2723</v>
      </c>
      <c r="E107" s="2855">
        <v>0.15</v>
      </c>
      <c r="F107" s="2855">
        <v>20</v>
      </c>
    </row>
    <row r="108" spans="1:6" ht="24">
      <c r="A108" s="2855">
        <v>36</v>
      </c>
      <c r="B108" s="3482"/>
      <c r="C108" s="2855" t="s">
        <v>2724</v>
      </c>
      <c r="D108" s="2829" t="s">
        <v>2725</v>
      </c>
      <c r="E108" s="2855">
        <v>0.15</v>
      </c>
      <c r="F108" s="2855">
        <v>20</v>
      </c>
    </row>
    <row r="109" spans="1:6" ht="24">
      <c r="A109" s="2855">
        <v>37</v>
      </c>
      <c r="B109" s="3482"/>
      <c r="C109" s="2855" t="s">
        <v>2726</v>
      </c>
      <c r="D109" s="2829" t="s">
        <v>2727</v>
      </c>
      <c r="E109" s="2855">
        <v>0.15</v>
      </c>
      <c r="F109" s="2855">
        <v>20</v>
      </c>
    </row>
    <row r="110" spans="1:6" ht="24">
      <c r="A110" s="2855">
        <v>38</v>
      </c>
      <c r="B110" s="3482"/>
      <c r="C110" s="2855" t="s">
        <v>2728</v>
      </c>
      <c r="D110" s="2829" t="s">
        <v>2729</v>
      </c>
      <c r="E110" s="2855">
        <v>0.1</v>
      </c>
      <c r="F110" s="2855">
        <v>15</v>
      </c>
    </row>
    <row r="111" spans="1:6" ht="24">
      <c r="A111" s="2855">
        <v>39</v>
      </c>
      <c r="B111" s="3482"/>
      <c r="C111" s="2855" t="s">
        <v>2730</v>
      </c>
      <c r="D111" s="2829" t="s">
        <v>2731</v>
      </c>
      <c r="E111" s="2855">
        <v>0.1</v>
      </c>
      <c r="F111" s="2855">
        <v>15</v>
      </c>
    </row>
    <row r="112" spans="1:6" ht="24">
      <c r="A112" s="2855">
        <v>40</v>
      </c>
      <c r="B112" s="3481"/>
      <c r="C112" s="2855" t="s">
        <v>2732</v>
      </c>
      <c r="D112" s="2829" t="s">
        <v>2733</v>
      </c>
      <c r="E112" s="2855">
        <v>0.1</v>
      </c>
      <c r="F112" s="2855">
        <v>15</v>
      </c>
    </row>
    <row r="113" spans="1:6" ht="24">
      <c r="A113" s="2855">
        <v>41</v>
      </c>
      <c r="B113" s="3479" t="s">
        <v>2734</v>
      </c>
      <c r="C113" s="2855" t="s">
        <v>2735</v>
      </c>
      <c r="D113" s="2829" t="s">
        <v>2736</v>
      </c>
      <c r="E113" s="2855">
        <v>0.1</v>
      </c>
      <c r="F113" s="2855">
        <v>15</v>
      </c>
    </row>
    <row r="114" spans="1:6" ht="24">
      <c r="A114" s="2855">
        <v>42</v>
      </c>
      <c r="B114" s="3479"/>
      <c r="C114" s="2855" t="s">
        <v>2737</v>
      </c>
      <c r="D114" s="2829" t="s">
        <v>2738</v>
      </c>
      <c r="E114" s="2855">
        <v>0.1</v>
      </c>
      <c r="F114" s="2855">
        <v>15</v>
      </c>
    </row>
    <row r="115" spans="1:6" ht="24">
      <c r="A115" s="2855">
        <v>43</v>
      </c>
      <c r="B115" s="3479"/>
      <c r="C115" s="2855" t="s">
        <v>2739</v>
      </c>
      <c r="D115" s="2829" t="s">
        <v>2740</v>
      </c>
      <c r="E115" s="2855">
        <v>0.1</v>
      </c>
      <c r="F115" s="2855">
        <v>15</v>
      </c>
    </row>
    <row r="116" spans="1:6" ht="24">
      <c r="A116" s="2855">
        <v>44</v>
      </c>
      <c r="B116" s="3480" t="s">
        <v>2741</v>
      </c>
      <c r="C116" s="2855" t="s">
        <v>2742</v>
      </c>
      <c r="D116" s="2829" t="s">
        <v>2743</v>
      </c>
      <c r="E116" s="2855">
        <v>0.1</v>
      </c>
      <c r="F116" s="2855">
        <v>15</v>
      </c>
    </row>
    <row r="117" spans="1:6" ht="24">
      <c r="A117" s="2855">
        <v>45</v>
      </c>
      <c r="B117" s="3481"/>
      <c r="C117" s="2829" t="s">
        <v>2744</v>
      </c>
      <c r="D117" s="2829" t="s">
        <v>2745</v>
      </c>
      <c r="E117" s="2855">
        <v>0.1</v>
      </c>
      <c r="F117" s="2855">
        <v>15</v>
      </c>
    </row>
    <row r="118" spans="1:6" ht="24">
      <c r="A118" s="2855">
        <v>46</v>
      </c>
      <c r="B118" s="3480" t="s">
        <v>2746</v>
      </c>
      <c r="C118" s="2855" t="s">
        <v>2747</v>
      </c>
      <c r="D118" s="2829" t="s">
        <v>2748</v>
      </c>
      <c r="E118" s="2855">
        <v>0.1</v>
      </c>
      <c r="F118" s="2855">
        <v>15</v>
      </c>
    </row>
    <row r="119" spans="1:6" ht="24">
      <c r="A119" s="2855">
        <v>47</v>
      </c>
      <c r="B119" s="3481"/>
      <c r="C119" s="2855" t="s">
        <v>2749</v>
      </c>
      <c r="D119" s="2829" t="s">
        <v>2750</v>
      </c>
      <c r="E119" s="2855">
        <v>0.1</v>
      </c>
      <c r="F119" s="2855">
        <v>15</v>
      </c>
    </row>
    <row r="120" spans="1:6" ht="24">
      <c r="A120" s="2855">
        <v>48</v>
      </c>
      <c r="B120" s="3480" t="s">
        <v>2751</v>
      </c>
      <c r="C120" s="2855" t="s">
        <v>2752</v>
      </c>
      <c r="D120" s="2829" t="s">
        <v>2753</v>
      </c>
      <c r="E120" s="2855">
        <v>0.1</v>
      </c>
      <c r="F120" s="2855">
        <v>15</v>
      </c>
    </row>
    <row r="121" spans="1:6" ht="24">
      <c r="A121" s="2855">
        <v>49</v>
      </c>
      <c r="B121" s="3481"/>
      <c r="C121" s="2855" t="s">
        <v>2754</v>
      </c>
      <c r="D121" s="2829" t="s">
        <v>2755</v>
      </c>
      <c r="E121" s="2855">
        <v>0.1</v>
      </c>
      <c r="F121" s="2855">
        <v>15</v>
      </c>
    </row>
    <row r="122" spans="1:6" ht="24">
      <c r="A122" s="2855">
        <v>50</v>
      </c>
      <c r="B122" s="3479" t="s">
        <v>2756</v>
      </c>
      <c r="C122" s="2855" t="s">
        <v>2757</v>
      </c>
      <c r="D122" s="2829" t="s">
        <v>2758</v>
      </c>
      <c r="E122" s="2855">
        <v>0.1</v>
      </c>
      <c r="F122" s="2855">
        <v>15</v>
      </c>
    </row>
    <row r="123" spans="1:6" ht="24">
      <c r="A123" s="2855">
        <v>51</v>
      </c>
      <c r="B123" s="3479"/>
      <c r="C123" s="2855" t="s">
        <v>2759</v>
      </c>
      <c r="D123" s="2829" t="s">
        <v>2760</v>
      </c>
      <c r="E123" s="2855">
        <v>0.1</v>
      </c>
      <c r="F123" s="2855">
        <v>15</v>
      </c>
    </row>
    <row r="124" spans="1:6" ht="24">
      <c r="A124" s="2855">
        <v>52</v>
      </c>
      <c r="B124" s="3479" t="s">
        <v>2761</v>
      </c>
      <c r="C124" s="2855" t="s">
        <v>2762</v>
      </c>
      <c r="D124" s="2829" t="s">
        <v>2763</v>
      </c>
      <c r="E124" s="2855">
        <v>0.1</v>
      </c>
      <c r="F124" s="2855">
        <v>15</v>
      </c>
    </row>
    <row r="125" spans="1:6" ht="24">
      <c r="A125" s="2855">
        <v>53</v>
      </c>
      <c r="B125" s="3479"/>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79" t="s">
        <v>2769</v>
      </c>
      <c r="C127" s="2855" t="s">
        <v>2770</v>
      </c>
      <c r="D127" s="2829" t="s">
        <v>2771</v>
      </c>
      <c r="E127" s="2855">
        <v>0.1</v>
      </c>
      <c r="F127" s="2855">
        <v>15</v>
      </c>
    </row>
    <row r="128" spans="1:6" ht="24">
      <c r="A128" s="2855">
        <v>56</v>
      </c>
      <c r="B128" s="3479"/>
      <c r="C128" s="2855" t="s">
        <v>2772</v>
      </c>
      <c r="D128" s="2829" t="s">
        <v>2773</v>
      </c>
      <c r="E128" s="2855">
        <v>0.1</v>
      </c>
      <c r="F128" s="2855">
        <v>15</v>
      </c>
    </row>
    <row r="129" spans="1:6" ht="24">
      <c r="A129" s="2855">
        <v>57</v>
      </c>
      <c r="B129" s="3479"/>
      <c r="C129" s="2855" t="s">
        <v>2774</v>
      </c>
      <c r="D129" s="2829" t="s">
        <v>2775</v>
      </c>
      <c r="E129" s="2855">
        <v>0.1</v>
      </c>
      <c r="F129" s="2855">
        <v>15</v>
      </c>
    </row>
    <row r="130" spans="1:6" ht="24">
      <c r="A130" s="2855">
        <v>58</v>
      </c>
      <c r="B130" s="3479" t="s">
        <v>2776</v>
      </c>
      <c r="C130" s="2855" t="s">
        <v>2777</v>
      </c>
      <c r="D130" s="2829" t="s">
        <v>2778</v>
      </c>
      <c r="E130" s="2855">
        <v>0.1</v>
      </c>
      <c r="F130" s="2855">
        <v>15</v>
      </c>
    </row>
    <row r="131" spans="1:6" ht="24">
      <c r="A131" s="2855">
        <v>59</v>
      </c>
      <c r="B131" s="3479"/>
      <c r="C131" s="2855" t="s">
        <v>2779</v>
      </c>
      <c r="D131" s="2829" t="s">
        <v>2780</v>
      </c>
      <c r="E131" s="2855">
        <v>0.1</v>
      </c>
      <c r="F131" s="2855">
        <v>15</v>
      </c>
    </row>
    <row r="132" spans="1:6" ht="24">
      <c r="A132" s="2855">
        <v>60</v>
      </c>
      <c r="B132" s="3480" t="s">
        <v>2781</v>
      </c>
      <c r="C132" s="2855" t="s">
        <v>2782</v>
      </c>
      <c r="D132" s="2829" t="s">
        <v>2783</v>
      </c>
      <c r="E132" s="2855">
        <v>0.1</v>
      </c>
      <c r="F132" s="2855">
        <v>15</v>
      </c>
    </row>
    <row r="133" spans="1:6" ht="24">
      <c r="A133" s="2855">
        <v>61</v>
      </c>
      <c r="B133" s="3481"/>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79" t="s">
        <v>2789</v>
      </c>
      <c r="C135" s="2855" t="s">
        <v>2790</v>
      </c>
      <c r="D135" s="2829" t="s">
        <v>2791</v>
      </c>
      <c r="E135" s="2855">
        <v>0.1</v>
      </c>
      <c r="F135" s="2855">
        <v>15</v>
      </c>
    </row>
    <row r="136" spans="1:6" ht="24">
      <c r="A136" s="2855">
        <v>64</v>
      </c>
      <c r="B136" s="3479"/>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0.95120000000000005</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27564</v>
      </c>
      <c r="C2" s="2" t="s">
        <v>106</v>
      </c>
      <c r="D2" s="191"/>
      <c r="E2" s="191"/>
      <c r="F2" s="191"/>
      <c r="G2" s="191"/>
    </row>
    <row r="3" spans="1:7" s="192" customFormat="1" ht="18" customHeight="1" thickBot="1">
      <c r="A3" s="195" t="s">
        <v>58</v>
      </c>
      <c r="B3" s="196">
        <f ca="1">ROUND(B2*10000/'数据-汇总表'!E3,0)</f>
        <v>4136875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1</v>
      </c>
      <c r="D10" s="795">
        <f>'数据-汇总表'!E6</f>
        <v>66.63</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66.63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23</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66.63</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5" t="s">
        <v>94</v>
      </c>
    </row>
    <row r="43" spans="1:7" ht="13.5" customHeight="1">
      <c r="A43" s="734" t="s">
        <v>347</v>
      </c>
      <c r="B43" s="207" t="s">
        <v>426</v>
      </c>
      <c r="C43" s="230">
        <f ca="1">ROUND(IF('数据-取费表'!B22&lt;=1,C39*F22*'数据-取费表'!B21/2,C39*(POWER((1+F22),'数据-取费表'!B21/2)-1)),0)</f>
        <v>0</v>
      </c>
      <c r="D43" s="230"/>
      <c r="E43" s="230"/>
      <c r="F43" s="231"/>
      <c r="G43" s="3356"/>
    </row>
    <row r="44" spans="1:7" ht="13.5" customHeight="1">
      <c r="A44" s="734" t="s">
        <v>348</v>
      </c>
      <c r="B44" s="207" t="s">
        <v>428</v>
      </c>
      <c r="C44" s="230">
        <f ca="1">ROUND(IF('数据-取费表'!B22&lt;=1,C40*F22*'数据-取费表'!B21/2,C40*(POWER((1+F22),'数据-取费表'!B21/2)-1)),4)</f>
        <v>5.9999999999999995E-4</v>
      </c>
      <c r="D44" s="230"/>
      <c r="E44" s="230"/>
      <c r="F44" s="231"/>
      <c r="G44" s="3357"/>
    </row>
    <row r="45" spans="1:7" s="206" customFormat="1" ht="13.5" customHeight="1">
      <c r="A45" s="731" t="s">
        <v>341</v>
      </c>
      <c r="B45" s="236" t="s">
        <v>85</v>
      </c>
      <c r="C45" s="237">
        <f>C46</f>
        <v>4</v>
      </c>
      <c r="D45" s="227">
        <f>C47</f>
        <v>3.0000000000000001E-3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34</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29</v>
      </c>
      <c r="D51" s="224"/>
      <c r="E51" s="224"/>
      <c r="F51" s="256"/>
      <c r="G51" s="226" t="s">
        <v>37</v>
      </c>
    </row>
    <row r="52" spans="1:7" s="200" customFormat="1" ht="16.8" thickBot="1">
      <c r="A52" s="257" t="s">
        <v>38</v>
      </c>
      <c r="B52" s="258"/>
      <c r="C52" s="259">
        <f ca="1">C31+C51</f>
        <v>27564</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1" t="s">
        <v>3181</v>
      </c>
      <c r="B1" s="3491"/>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92" t="s">
        <v>3232</v>
      </c>
      <c r="B1" s="3492"/>
      <c r="C1" s="3492"/>
      <c r="D1" s="3492"/>
      <c r="E1" s="3492"/>
      <c r="F1" s="3493"/>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45814</v>
      </c>
      <c r="B1" s="2927" t="s">
        <v>3377</v>
      </c>
      <c r="C1" s="2928"/>
      <c r="D1" s="2928"/>
      <c r="E1" s="2928"/>
      <c r="F1" s="2928"/>
      <c r="G1" s="2928"/>
      <c r="H1" s="2928"/>
      <c r="I1" s="2928"/>
      <c r="J1" s="2894"/>
      <c r="K1" s="2928" t="s">
        <v>454</v>
      </c>
      <c r="L1" s="2928"/>
      <c r="M1" s="2928"/>
      <c r="N1" s="2928"/>
      <c r="O1" s="2928"/>
      <c r="P1" s="2928"/>
      <c r="Q1" s="2894"/>
      <c r="R1" s="3494" t="s">
        <v>456</v>
      </c>
      <c r="S1" s="3495"/>
      <c r="T1" s="3495"/>
      <c r="U1" s="3495"/>
      <c r="V1" s="3495"/>
      <c r="W1" s="3495"/>
      <c r="X1" s="2894"/>
      <c r="Y1" s="3494" t="s">
        <v>457</v>
      </c>
      <c r="Z1" s="3495"/>
      <c r="AA1" s="3495"/>
      <c r="AB1" s="3495"/>
      <c r="AC1" s="3495"/>
      <c r="AD1" s="3495"/>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3403</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3402</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3401</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3409</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3408</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3381</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3375</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3374</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3370</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3369</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3367</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3366</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3365</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3363</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3354</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3380</v>
      </c>
    </row>
    <row r="27" spans="1:44">
      <c r="I27" s="1405" t="s">
        <v>2825</v>
      </c>
    </row>
    <row r="29" spans="1:44" s="2008" customFormat="1" ht="13.2">
      <c r="B29" s="2927" t="s">
        <v>3378</v>
      </c>
      <c r="C29" s="2928"/>
      <c r="D29" s="2928"/>
      <c r="E29" s="2928"/>
      <c r="F29" s="2928"/>
      <c r="G29" s="2928"/>
      <c r="H29" s="2928"/>
      <c r="I29" s="2928"/>
      <c r="J29" s="2894"/>
      <c r="K29" s="2928" t="s">
        <v>2826</v>
      </c>
      <c r="L29" s="2928"/>
      <c r="M29" s="2928"/>
      <c r="N29" s="2928"/>
      <c r="O29" s="2928"/>
      <c r="P29" s="2928"/>
      <c r="Q29" s="2894"/>
      <c r="R29" s="3494" t="s">
        <v>2827</v>
      </c>
      <c r="S29" s="3495"/>
      <c r="T29" s="3495"/>
      <c r="U29" s="3495"/>
      <c r="V29" s="3495"/>
      <c r="W29" s="3495"/>
      <c r="X29" s="2894"/>
      <c r="Y29" s="3494" t="s">
        <v>2828</v>
      </c>
      <c r="Z29" s="3495"/>
      <c r="AA29" s="3495"/>
      <c r="AB29" s="3495"/>
      <c r="AC29" s="3495"/>
      <c r="AD29" s="3495"/>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3403</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3402</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3410</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3407</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3408</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3372</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3376</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3373</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3371</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3369</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3368</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3366</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3365</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3364</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3354</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7">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8">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7">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8">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7" t="s">
        <v>2839</v>
      </c>
      <c r="B1" s="3507"/>
      <c r="C1" s="3507"/>
      <c r="D1" s="3507"/>
      <c r="E1" s="3507"/>
      <c r="F1" s="3507"/>
      <c r="G1" s="3508"/>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5"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06"/>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45814</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1" t="str">
        <f>IF(项目基本情况!B9="房地产市场价值","估价结果一览表","结果表-2")</f>
        <v>结果表-2</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6">
      <c r="A3" s="3187"/>
      <c r="B3" s="3187"/>
      <c r="C3" s="3187"/>
      <c r="D3" s="801" t="s">
        <v>925</v>
      </c>
      <c r="E3" s="801" t="s">
        <v>931</v>
      </c>
      <c r="F3" s="801" t="s">
        <v>925</v>
      </c>
      <c r="G3" s="801" t="s">
        <v>926</v>
      </c>
      <c r="H3" s="801" t="s">
        <v>925</v>
      </c>
      <c r="I3" s="801" t="s">
        <v>926</v>
      </c>
    </row>
    <row r="4" spans="1:9" ht="30">
      <c r="A4" s="1403" t="str">
        <f>项目基本情况!S2</f>
        <v>北京市房山区怡和北路5号院14号楼2层201房地产</v>
      </c>
      <c r="B4" s="801">
        <f>项目基本情况!C17</f>
        <v>66.63</v>
      </c>
      <c r="C4" s="801">
        <f>项目基本情况!C18</f>
        <v>0</v>
      </c>
      <c r="D4" s="801">
        <f>结果表!D118</f>
        <v>0</v>
      </c>
      <c r="E4" s="801">
        <f>结果表!E118</f>
        <v>0</v>
      </c>
      <c r="F4" s="801">
        <f>结果表!F118</f>
        <v>0</v>
      </c>
      <c r="G4" s="801">
        <f>结果表!G118</f>
        <v>0</v>
      </c>
      <c r="H4" s="801">
        <f ca="1">结果表!H118</f>
        <v>83</v>
      </c>
      <c r="I4" s="801">
        <f ca="1">结果表!I118</f>
        <v>12446</v>
      </c>
    </row>
    <row r="5" spans="1:9" ht="30" customHeight="1">
      <c r="A5" s="3187" t="s">
        <v>927</v>
      </c>
      <c r="B5" s="3187"/>
      <c r="C5" s="3187"/>
      <c r="D5" s="3187" t="str">
        <f>结果表!D119</f>
        <v>零元整</v>
      </c>
      <c r="E5" s="3187"/>
      <c r="F5" s="3187" t="str">
        <f>结果表!F119</f>
        <v>零元整</v>
      </c>
      <c r="G5" s="3187"/>
      <c r="H5" s="3187" t="str">
        <f ca="1">结果表!H119</f>
        <v>捌拾叁万元整</v>
      </c>
      <c r="I5" s="3187"/>
    </row>
    <row r="6" spans="1:9" ht="15.6">
      <c r="A6" s="3186" t="str">
        <f>结果表!A120</f>
        <v>估价师知悉的法定优先受偿款</v>
      </c>
      <c r="B6" s="3186"/>
      <c r="C6" s="3186"/>
      <c r="D6" s="3186">
        <f>结果表!D120</f>
        <v>0</v>
      </c>
      <c r="E6" s="3186"/>
      <c r="F6" s="3186"/>
      <c r="G6" s="3186"/>
      <c r="H6" s="3186"/>
      <c r="I6" s="3186"/>
    </row>
    <row r="7" spans="1:9" ht="15">
      <c r="A7" s="3187" t="s">
        <v>927</v>
      </c>
      <c r="B7" s="3187"/>
      <c r="C7" s="3187"/>
      <c r="D7" s="3188" t="str">
        <f>结果表!D121</f>
        <v>零元整</v>
      </c>
      <c r="E7" s="3189"/>
      <c r="F7" s="3189"/>
      <c r="G7" s="3189"/>
      <c r="H7" s="3189"/>
      <c r="I7" s="3190"/>
    </row>
    <row r="8" spans="1:9" ht="15.6">
      <c r="A8" s="3186" t="str">
        <f>结果表!A122</f>
        <v>房地产抵押价值</v>
      </c>
      <c r="B8" s="3186"/>
      <c r="C8" s="3186"/>
      <c r="D8" s="3186">
        <f ca="1">结果表!D122</f>
        <v>83</v>
      </c>
      <c r="E8" s="3186"/>
      <c r="F8" s="3186"/>
      <c r="G8" s="3186"/>
      <c r="H8" s="3186"/>
      <c r="I8" s="3186"/>
    </row>
    <row r="9" spans="1:9" ht="15">
      <c r="A9" s="3187" t="s">
        <v>927</v>
      </c>
      <c r="B9" s="3187"/>
      <c r="C9" s="3187"/>
      <c r="D9" s="3187" t="str">
        <f ca="1">结果表!D123</f>
        <v>捌拾叁万元整</v>
      </c>
      <c r="E9" s="3187"/>
      <c r="F9" s="3187"/>
      <c r="G9" s="3187"/>
      <c r="H9" s="3187"/>
      <c r="I9" s="3187"/>
    </row>
    <row r="10" spans="1:9" ht="15.6">
      <c r="A10" s="3186" t="str">
        <f>结果表!A124</f>
        <v/>
      </c>
      <c r="B10" s="3186"/>
      <c r="C10" s="3186"/>
      <c r="D10" s="3186" t="str">
        <f>结果表!D124</f>
        <v>——</v>
      </c>
      <c r="E10" s="3186"/>
      <c r="F10" s="3186"/>
      <c r="G10" s="3186"/>
      <c r="H10" s="3186"/>
      <c r="I10" s="3186"/>
    </row>
    <row r="11" spans="1:9" ht="15">
      <c r="A11" s="3187" t="s">
        <v>927</v>
      </c>
      <c r="B11" s="3187"/>
      <c r="C11" s="3187"/>
      <c r="D11" s="3187" t="e">
        <f>结果表!D125</f>
        <v>#VALUE!</v>
      </c>
      <c r="E11" s="3187"/>
      <c r="F11" s="3187"/>
      <c r="G11" s="3187"/>
      <c r="H11" s="3187"/>
      <c r="I11" s="3187"/>
    </row>
    <row r="12" spans="1:9" ht="15.6">
      <c r="A12" s="3186" t="str">
        <f>结果表!A126</f>
        <v/>
      </c>
      <c r="B12" s="3186"/>
      <c r="C12" s="3186"/>
      <c r="D12" s="3186" t="str">
        <f>结果表!D126</f>
        <v>——</v>
      </c>
      <c r="E12" s="3186"/>
      <c r="F12" s="3186"/>
      <c r="G12" s="3186"/>
      <c r="H12" s="3186"/>
      <c r="I12" s="3186"/>
    </row>
    <row r="13" spans="1:9" ht="15.6" thickBot="1">
      <c r="A13" s="3184" t="s">
        <v>927</v>
      </c>
      <c r="B13" s="3184"/>
      <c r="C13" s="3184"/>
      <c r="D13" s="3184" t="e">
        <f>结果表!D127</f>
        <v>#VALUE!</v>
      </c>
      <c r="E13" s="3184"/>
      <c r="F13" s="3184"/>
      <c r="G13" s="3184"/>
      <c r="H13" s="3184"/>
      <c r="I13" s="3184"/>
    </row>
    <row r="14" spans="1:9" ht="14.4" thickTop="1">
      <c r="A14" s="3185" t="s">
        <v>932</v>
      </c>
      <c r="B14" s="3185"/>
      <c r="C14" s="3185"/>
      <c r="D14" s="3185"/>
      <c r="E14" s="3185"/>
      <c r="F14" s="3185"/>
      <c r="G14" s="3185"/>
      <c r="H14" s="3185"/>
      <c r="I14" s="318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9" t="s">
        <v>949</v>
      </c>
      <c r="B1" s="3199"/>
      <c r="C1" s="3199"/>
      <c r="D1" s="3199"/>
    </row>
    <row r="2" spans="1:4" ht="17.399999999999999">
      <c r="A2" s="3200" t="s">
        <v>933</v>
      </c>
      <c r="B2" s="3200"/>
      <c r="C2" s="3200"/>
      <c r="D2" s="3200"/>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00" t="s">
        <v>939</v>
      </c>
      <c r="B6" s="3200"/>
      <c r="C6" s="3200"/>
      <c r="D6" s="320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1" t="s">
        <v>942</v>
      </c>
      <c r="B11" s="3193"/>
      <c r="C11" s="3193"/>
      <c r="D11" s="3193"/>
    </row>
    <row r="12" spans="1:4" ht="15.6">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3" t="str">
        <f>IF(项目基本情况!B8="抵押","4.本次评估估价师所知悉的法定优先受偿款情况说明如下：","——")</f>
        <v>4.本次评估估价师所知悉的法定优先受偿款情况说明如下：</v>
      </c>
      <c r="B14" s="3198"/>
      <c r="C14" s="3198"/>
      <c r="D14" s="3198"/>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v>
      </c>
      <c r="B15" s="3193"/>
      <c r="C15" s="3193"/>
      <c r="D15" s="3193"/>
    </row>
    <row r="16" spans="1:4" ht="30" customHeight="1">
      <c r="A16" s="3195" t="s">
        <v>943</v>
      </c>
      <c r="B16" s="3195"/>
      <c r="C16" s="3195"/>
      <c r="D16" s="3195"/>
    </row>
    <row r="17" spans="1:4" ht="144" customHeight="1">
      <c r="A17" s="3195" t="s">
        <v>944</v>
      </c>
      <c r="B17" s="3195"/>
      <c r="C17" s="3195"/>
      <c r="D17" s="3195"/>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945</v>
      </c>
      <c r="B22" s="3197"/>
      <c r="C22" s="3197"/>
      <c r="D22" s="319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7" t="s">
        <v>956</v>
      </c>
      <c r="B15" s="3202" t="s">
        <v>109</v>
      </c>
      <c r="C15" s="3203"/>
    </row>
    <row r="16" spans="1:7" ht="14.4">
      <c r="A16" s="3208"/>
      <c r="B16" s="3202" t="s">
        <v>42</v>
      </c>
      <c r="C16" s="3203"/>
    </row>
    <row r="17" spans="1:3" ht="14.4">
      <c r="A17" s="3208"/>
      <c r="B17" s="3205" t="s">
        <v>957</v>
      </c>
      <c r="C17" s="1429" t="s">
        <v>956</v>
      </c>
    </row>
    <row r="18" spans="1:3" ht="14.4">
      <c r="A18" s="3208"/>
      <c r="B18" s="3205"/>
      <c r="C18" s="1429" t="s">
        <v>958</v>
      </c>
    </row>
    <row r="19" spans="1:3" ht="14.4">
      <c r="A19" s="3208"/>
      <c r="B19" s="3205"/>
      <c r="C19" s="1429" t="s">
        <v>959</v>
      </c>
    </row>
    <row r="20" spans="1:3" ht="14.4">
      <c r="A20" s="3209"/>
      <c r="B20" s="3204" t="s">
        <v>960</v>
      </c>
      <c r="C20" s="3203"/>
    </row>
    <row r="21" spans="1:3" ht="14.4">
      <c r="A21" s="1430" t="s">
        <v>961</v>
      </c>
      <c r="B21" s="1431"/>
      <c r="C21" s="1432"/>
    </row>
    <row r="22" spans="1:3" ht="14.4">
      <c r="A22" s="3206" t="s">
        <v>962</v>
      </c>
      <c r="B22" s="3204" t="s">
        <v>963</v>
      </c>
      <c r="C22" s="3203"/>
    </row>
    <row r="23" spans="1:3" ht="14.4">
      <c r="A23" s="3206"/>
      <c r="B23" s="3204" t="s">
        <v>964</v>
      </c>
      <c r="C23" s="3203"/>
    </row>
    <row r="24" spans="1:3" ht="14.4">
      <c r="A24" s="3206"/>
      <c r="B24" s="3204" t="s">
        <v>965</v>
      </c>
      <c r="C24" s="3203"/>
    </row>
    <row r="25" spans="1:3" ht="14.4">
      <c r="A25" s="3206"/>
      <c r="B25" s="3205" t="s">
        <v>966</v>
      </c>
      <c r="C25" s="1429" t="s">
        <v>967</v>
      </c>
    </row>
    <row r="26" spans="1:3" ht="14.4">
      <c r="A26" s="3206"/>
      <c r="B26" s="3205"/>
      <c r="C26" s="1429" t="s">
        <v>968</v>
      </c>
    </row>
    <row r="27" spans="1:3" ht="14.4">
      <c r="A27" s="3206"/>
      <c r="B27" s="3205"/>
      <c r="C27" s="1429" t="s">
        <v>969</v>
      </c>
    </row>
    <row r="28" spans="1:3" ht="14.4">
      <c r="A28" s="3206"/>
      <c r="B28" s="3205"/>
      <c r="C28" s="1429" t="s">
        <v>970</v>
      </c>
    </row>
    <row r="29" spans="1:3" ht="14.4">
      <c r="A29" s="3206"/>
      <c r="B29" s="3205"/>
      <c r="C29" s="1429" t="s">
        <v>971</v>
      </c>
    </row>
    <row r="30" spans="1:3" ht="14.4">
      <c r="A30" s="3206"/>
      <c r="B30" s="3205"/>
      <c r="C30" s="1429" t="s">
        <v>972</v>
      </c>
    </row>
    <row r="31" spans="1:3" ht="14.4">
      <c r="A31" s="3206"/>
      <c r="B31" s="3205"/>
      <c r="C31" s="1429" t="s">
        <v>973</v>
      </c>
    </row>
    <row r="32" spans="1:3" ht="14.4">
      <c r="A32" s="3206"/>
      <c r="B32" s="3205"/>
      <c r="C32" s="1429" t="s">
        <v>974</v>
      </c>
    </row>
    <row r="33" spans="1:3" ht="14.4">
      <c r="A33" s="3206"/>
      <c r="B33" s="320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45817</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59"/>
      <c r="E18" s="3212" t="s">
        <v>2162</v>
      </c>
      <c r="F18" s="3211"/>
      <c r="G18" s="3211"/>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零贷估值</vt:lpstr>
      <vt:lpstr>信息</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2025-06-09T02:27:49Z</dcterms:modified>
</cp:coreProperties>
</file>