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05" tabRatio="824"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L6" i="1"/>
  <c r="Y6" i="1" l="1"/>
  <c r="F19" i="6" l="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9" i="76"/>
  <c r="B7" i="76"/>
  <c r="E11" i="76"/>
  <c r="E8" i="76"/>
  <c r="B8" i="76"/>
  <c r="B13" i="76"/>
  <c r="E7" i="76"/>
  <c r="B10" i="76"/>
  <c r="B12" i="76"/>
  <c r="E13" i="76"/>
  <c r="E12" i="76"/>
  <c r="E9" i="76"/>
  <c r="B11"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D7" i="73"/>
  <c r="F3" i="73"/>
  <c r="F6" i="73"/>
  <c r="I1" i="73" l="1"/>
  <c r="B39" i="1" s="1"/>
  <c r="D3"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C37" i="71"/>
  <c r="Q36" i="71"/>
  <c r="F37" i="71" s="1"/>
  <c r="F38" i="71" s="1"/>
  <c r="F39" i="71" s="1"/>
  <c r="V39" i="71" s="1"/>
  <c r="P36" i="71"/>
  <c r="E37" i="71" s="1"/>
  <c r="O36" i="7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AO12" i="1"/>
  <c r="AO9" i="1"/>
  <c r="AO10" i="1"/>
  <c r="AO13" i="1"/>
  <c r="AO11" i="1"/>
  <c r="B10" i="70" l="1"/>
  <c r="B11" i="70"/>
  <c r="B13" i="70"/>
  <c r="B9"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5"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J85" i="43"/>
  <c r="M84" i="43"/>
  <c r="D84" i="43" s="1"/>
  <c r="K84" i="43"/>
  <c r="J84" i="43" s="1"/>
  <c r="M83" i="43"/>
  <c r="N83" i="43"/>
  <c r="K83" i="43"/>
  <c r="D83" i="43" s="1"/>
  <c r="J83" i="43"/>
  <c r="M82" i="43"/>
  <c r="N82" i="43"/>
  <c r="K82" i="43"/>
  <c r="J82" i="43"/>
  <c r="M81" i="43"/>
  <c r="N81" i="43"/>
  <c r="K81" i="43"/>
  <c r="D81" i="43" s="1"/>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L549" i="3" s="1"/>
  <c r="AZ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C5" i="3"/>
  <c r="AZ533" i="3"/>
  <c r="AZ535" i="3"/>
  <c r="AZ547" i="3"/>
  <c r="AZ506" i="3"/>
  <c r="AZ496" i="3"/>
  <c r="G548" i="3"/>
  <c r="G538" i="3"/>
  <c r="G520" i="3"/>
  <c r="G502" i="3"/>
  <c r="BS5" i="3"/>
  <c r="BP5" i="3"/>
  <c r="BN5" i="3"/>
  <c r="AZ347" i="3"/>
  <c r="BK5" i="3"/>
  <c r="BI5" i="3"/>
  <c r="BG5" i="3"/>
  <c r="BE5" i="3"/>
  <c r="E12" i="6" s="1"/>
  <c r="BC5" i="3"/>
  <c r="G17" i="3"/>
  <c r="BA17" i="3"/>
  <c r="BT5" i="3"/>
  <c r="AZ350" i="3"/>
  <c r="AZ352" i="3"/>
  <c r="AZ360"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N84" i="43" l="1"/>
  <c r="E13" i="6"/>
  <c r="AC11" i="39"/>
  <c r="AZ326" i="3"/>
  <c r="AZ372" i="3"/>
  <c r="AZ355" i="3"/>
  <c r="W12" i="33"/>
  <c r="AC12" i="33"/>
  <c r="AA32" i="36"/>
  <c r="S32" i="36"/>
  <c r="AB14" i="37"/>
  <c r="U14" i="37"/>
  <c r="W12" i="40"/>
  <c r="AC12" i="40"/>
  <c r="AC31" i="40"/>
  <c r="W31" i="40"/>
  <c r="AA38" i="40"/>
  <c r="S38" i="40"/>
  <c r="W40" i="40"/>
  <c r="AC40" i="40"/>
  <c r="AZ401" i="3"/>
  <c r="AZ412" i="3"/>
  <c r="AZ417" i="3"/>
  <c r="AZ432" i="3"/>
  <c r="AZ439" i="3"/>
  <c r="AZ444" i="3"/>
  <c r="AZ455" i="3"/>
  <c r="AZ460" i="3"/>
  <c r="AZ474" i="3"/>
  <c r="AB12" i="37"/>
  <c r="U12" i="37"/>
  <c r="AC26" i="33"/>
  <c r="W26" i="33"/>
  <c r="U33" i="36"/>
  <c r="AB33" i="36"/>
  <c r="U27" i="37"/>
  <c r="AB27" i="37"/>
  <c r="AC32" i="40"/>
  <c r="W32" i="40"/>
  <c r="AZ408" i="3"/>
  <c r="AZ421" i="3"/>
  <c r="AZ425" i="3"/>
  <c r="F25" i="37"/>
  <c r="AA25" i="37" s="1"/>
  <c r="F26" i="37"/>
  <c r="AA26" i="37" s="1"/>
  <c r="J38" i="40"/>
  <c r="AC38" i="40" s="1"/>
  <c r="F40" i="40"/>
  <c r="M6" i="1"/>
  <c r="D29" i="43"/>
  <c r="D1" i="43" s="1"/>
  <c r="BL14" i="3"/>
  <c r="F28" i="6"/>
  <c r="S14" i="40"/>
  <c r="W40" i="37"/>
  <c r="AC31" i="33"/>
  <c r="W37" i="34"/>
  <c r="W47" i="34"/>
  <c r="AB28" i="37"/>
  <c r="AC32" i="36"/>
  <c r="AC28" i="21"/>
  <c r="S11" i="36"/>
  <c r="AB11" i="35"/>
  <c r="AA44" i="33"/>
  <c r="AA29" i="35"/>
  <c r="S41" i="33"/>
  <c r="AB23" i="34"/>
  <c r="U33" i="35"/>
  <c r="W33" i="33"/>
  <c r="F12" i="33"/>
  <c r="BA14" i="3"/>
  <c r="AZ14" i="3" s="1"/>
  <c r="AZ482" i="3"/>
  <c r="AZ490" i="3"/>
  <c r="AZ316" i="3"/>
  <c r="AZ332" i="3"/>
  <c r="AZ208" i="3"/>
  <c r="AZ211" i="3"/>
  <c r="AZ217" i="3"/>
  <c r="AZ220" i="3"/>
  <c r="AZ226" i="3"/>
  <c r="AZ230" i="3"/>
  <c r="AZ242" i="3"/>
  <c r="AZ246" i="3"/>
  <c r="AZ258" i="3"/>
  <c r="AZ262" i="3"/>
  <c r="AZ266" i="3"/>
  <c r="AZ285" i="3"/>
  <c r="AZ292" i="3"/>
  <c r="AZ298" i="3"/>
  <c r="AZ301" i="3"/>
  <c r="AZ122" i="3"/>
  <c r="AZ125" i="3"/>
  <c r="AZ157" i="3"/>
  <c r="AZ161" i="3"/>
  <c r="AZ169" i="3"/>
  <c r="AZ177" i="3"/>
  <c r="AZ185" i="3"/>
  <c r="AZ193" i="3"/>
  <c r="AZ201" i="3"/>
  <c r="AZ207" i="3"/>
  <c r="AZ23" i="3"/>
  <c r="AZ26" i="3"/>
  <c r="AZ38" i="3"/>
  <c r="AZ41" i="3"/>
  <c r="AZ54" i="3"/>
  <c r="AZ57" i="3"/>
  <c r="AZ70" i="3"/>
  <c r="AZ80" i="3"/>
  <c r="AZ84" i="3"/>
  <c r="AZ88" i="3"/>
  <c r="AZ107" i="3"/>
  <c r="AZ111" i="3"/>
  <c r="S13" i="1"/>
  <c r="R13" i="1"/>
  <c r="S11" i="1"/>
  <c r="R11" i="1"/>
  <c r="S9" i="1"/>
  <c r="R9" i="1"/>
  <c r="H100" i="43"/>
  <c r="C30" i="66"/>
  <c r="E26" i="66" s="1"/>
  <c r="S12" i="1"/>
  <c r="R12" i="1"/>
  <c r="S10" i="1"/>
  <c r="R10" i="1"/>
  <c r="C27" i="39"/>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F31" i="6"/>
  <c r="F30" i="6"/>
  <c r="E28" i="6"/>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27"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2" i="67"/>
  <c r="F40" i="67"/>
  <c r="M22" i="15"/>
  <c r="F6" i="67"/>
  <c r="F26" i="67"/>
  <c r="F16" i="15"/>
  <c r="F7" i="67"/>
  <c r="M8" i="67"/>
  <c r="F9" i="15"/>
  <c r="F36" i="15"/>
  <c r="M28" i="15"/>
  <c r="J15" i="67"/>
  <c r="F9" i="67"/>
  <c r="F42" i="15"/>
  <c r="F37" i="67"/>
  <c r="F16" i="67"/>
  <c r="M29" i="15"/>
  <c r="J15" i="15"/>
  <c r="M29" i="67"/>
  <c r="M26" i="15"/>
  <c r="M26" i="67"/>
  <c r="F38" i="15"/>
  <c r="M28" i="67"/>
  <c r="M24" i="15"/>
  <c r="L48" i="67"/>
  <c r="M9" i="67"/>
  <c r="M23" i="15"/>
  <c r="F13" i="67"/>
  <c r="F37" i="15"/>
  <c r="F43" i="15"/>
  <c r="L47" i="15"/>
  <c r="F8" i="67"/>
  <c r="F40" i="15"/>
  <c r="F43" i="67"/>
  <c r="M8" i="15"/>
  <c r="C76" i="15"/>
  <c r="M6" i="15"/>
  <c r="L48" i="15"/>
  <c r="F7" i="15"/>
  <c r="F13" i="15"/>
  <c r="M9" i="15"/>
  <c r="F42" i="67"/>
  <c r="F26" i="15"/>
  <c r="L47" i="67"/>
  <c r="F8" i="15"/>
  <c r="M23" i="67"/>
  <c r="C76" i="67"/>
  <c r="F38" i="67"/>
  <c r="M24" i="67"/>
  <c r="M6" i="67"/>
  <c r="F36" i="67"/>
  <c r="F6" i="15"/>
  <c r="G1" i="73"/>
  <c r="E69" i="3" l="1"/>
  <c r="E268" i="3"/>
  <c r="E153" i="3"/>
  <c r="E282" i="3"/>
  <c r="E305" i="3"/>
  <c r="E322" i="3"/>
  <c r="E426" i="3"/>
  <c r="N6" i="3"/>
  <c r="E508" i="3"/>
  <c r="AJ6" i="3"/>
  <c r="E328" i="3"/>
  <c r="E183" i="3"/>
  <c r="E172" i="3"/>
  <c r="E213" i="3"/>
  <c r="E260" i="3"/>
  <c r="E361" i="3"/>
  <c r="E445" i="3"/>
  <c r="E17" i="3"/>
  <c r="E550" i="3"/>
  <c r="E503" i="3"/>
  <c r="E535" i="3"/>
  <c r="E302" i="3"/>
  <c r="F53" i="9"/>
  <c r="F48" i="9"/>
  <c r="O52" i="9" s="1"/>
  <c r="H88" i="43"/>
  <c r="K20" i="6"/>
  <c r="E56" i="40"/>
  <c r="E59" i="40"/>
  <c r="F28" i="15"/>
  <c r="C28" i="15" s="1"/>
  <c r="S12" i="33"/>
  <c r="AA12" i="33"/>
  <c r="AA40" i="40"/>
  <c r="S40" i="40"/>
  <c r="E58" i="40"/>
  <c r="E63" i="39"/>
  <c r="E66" i="39" s="1"/>
  <c r="C4" i="4"/>
  <c r="H83" i="43"/>
  <c r="H86" i="43"/>
  <c r="H87" i="43"/>
  <c r="H82" i="43"/>
  <c r="F28" i="67"/>
  <c r="C28" i="67" s="1"/>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D19" i="12"/>
  <c r="C19" i="12" s="1"/>
  <c r="D117" i="43"/>
  <c r="E117" i="43" s="1"/>
  <c r="F117" i="43" s="1"/>
  <c r="G117" i="43" s="1"/>
  <c r="H117" i="43" s="1"/>
  <c r="C109" i="43"/>
  <c r="C105" i="43"/>
  <c r="C106" i="43"/>
  <c r="C6" i="43"/>
  <c r="E4" i="4"/>
  <c r="C24" i="12"/>
  <c r="C30" i="69"/>
  <c r="C48" i="68"/>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M17" i="15"/>
  <c r="F59" i="15"/>
  <c r="F31" i="15"/>
  <c r="F31" i="67"/>
  <c r="M17" i="67"/>
  <c r="C17" i="15"/>
  <c r="D9" i="68"/>
  <c r="C16" i="15"/>
  <c r="C16" i="67"/>
  <c r="AQ6" i="1" l="1"/>
  <c r="E6" i="70"/>
  <c r="K27" i="6"/>
  <c r="K4" i="4"/>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6"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67"/>
  <c r="F35" i="15"/>
  <c r="M21" i="15"/>
  <c r="M21" i="67"/>
  <c r="C7" i="68" l="1"/>
  <c r="C5" i="68" s="1"/>
  <c r="C23" i="68" s="1"/>
  <c r="I5" i="6"/>
  <c r="B2" i="76"/>
  <c r="B3" i="76" s="1"/>
  <c r="B3" i="43"/>
  <c r="C49" i="21"/>
  <c r="F63" i="67"/>
  <c r="C62" i="67" s="1"/>
  <c r="C34" i="67"/>
  <c r="J20" i="67"/>
  <c r="C24" i="68"/>
  <c r="J20" i="15"/>
  <c r="F63" i="15"/>
  <c r="C62" i="15" s="1"/>
  <c r="C34" i="15"/>
  <c r="R16" i="1"/>
  <c r="C22" i="12"/>
  <c r="C30" i="12" s="1"/>
  <c r="C28" i="12" s="1"/>
  <c r="C33" i="68"/>
  <c r="C91" i="9" s="1"/>
  <c r="I63" i="40"/>
  <c r="H65" i="40"/>
  <c r="C39" i="11"/>
  <c r="C43" i="11" s="1"/>
  <c r="C41" i="11" s="1"/>
  <c r="I70" i="39"/>
  <c r="C94" i="9" l="1"/>
  <c r="C92" i="9"/>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7"/>
  <c r="E2" i="68"/>
  <c r="D2" i="36"/>
  <c r="D2" i="35"/>
  <c r="D2" i="21"/>
  <c r="C19" i="9"/>
  <c r="F20" i="31"/>
  <c r="D2" i="33"/>
  <c r="D2" i="34"/>
  <c r="B20" i="31" l="1"/>
  <c r="B2" i="36"/>
  <c r="B3" i="36" s="1"/>
  <c r="B2" i="35"/>
  <c r="B3" i="35" s="1"/>
  <c r="B2" i="37"/>
  <c r="B3" i="37" s="1"/>
  <c r="B2" i="34"/>
  <c r="B3" i="34" s="1"/>
  <c r="B2" i="21"/>
  <c r="B3" i="21" s="1"/>
  <c r="B2" i="70"/>
  <c r="B3" i="70" s="1"/>
  <c r="C102" i="9"/>
  <c r="C21" i="9"/>
  <c r="D19" i="9"/>
  <c r="B3" i="68"/>
  <c r="D20"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<sst xmlns="http://schemas.openxmlformats.org/spreadsheetml/2006/main" count="7316" uniqueCount="3111">
  <si>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</si>
  <si>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</si>
  <si>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</si>
  <si>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</si>
  <si>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</si>
  <si>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</si>
  <si>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</si>
  <si>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</si>
  <si>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</si>
  <si>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</si>
  <si>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</si>
  <si>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</si>
  <si>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</si>
  <si>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</si>
  <si>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</si>
  <si>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</si>
  <si>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</si>
  <si>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</si>
  <si>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</si>
  <si>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</si>
  <si>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</si>
  <si>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</si>
  <si>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</si>
  <si>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</si>
  <si>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</si>
  <si>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</si>
  <si>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</si>
  <si>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</si>
  <si>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</si>
  <si>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</si>
  <si>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</si>
  <si>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</si>
  <si>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</si>
  <si>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</si>
  <si>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</si>
  <si>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</si>
  <si>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</si>
  <si>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</si>
  <si>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</si>
  <si>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</si>
  <si>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</si>
  <si>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</si>
  <si>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</si>
  <si>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</si>
  <si>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</si>
  <si>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</si>
  <si>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</si>
  <si>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</si>
  <si>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</si>
  <si>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</si>
  <si>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</si>
  <si>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</si>
  <si>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</si>
  <si>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</si>
  <si>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</si>
  <si>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</si>
  <si>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</si>
  <si>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</si>
  <si>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</si>
  <si>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</si>
  <si>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</si>
  <si>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</si>
  <si>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</si>
  <si>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</si>
  <si>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</si>
  <si>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</si>
  <si>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</si>
  <si>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</si>
  <si>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</si>
  <si>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</si>
  <si>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</si>
  <si>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</si>
  <si>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</si>
  <si>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</si>
  <si>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</si>
  <si>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</si>
  <si>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</si>
  <si>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</si>
  <si>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</si>
  <si>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</si>
  <si>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</si>
  <si>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</si>
  <si>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</si>
  <si>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</si>
  <si>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</si>
  <si>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</si>
  <si>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</si>
  <si>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</si>
  <si>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</si>
  <si>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</si>
  <si>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</si>
  <si>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</si>
  <si>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</si>
  <si>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</si>
  <si>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</si>
  <si>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</si>
  <si>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</si>
  <si>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</si>
  <si>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</si>
  <si>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</si>
  <si>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</si>
  <si>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</si>
  <si>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</si>
  <si>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</si>
  <si>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</si>
  <si>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</si>
  <si>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</si>
  <si>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</si>
  <si>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</si>
  <si>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</si>
  <si>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</si>
  <si>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</si>
  <si>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</si>
  <si>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</si>
  <si>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</si>
  <si>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</si>
  <si>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</si>
  <si>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</si>
  <si>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</si>
  <si>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</si>
  <si>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</si>
  <si>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</si>
  <si>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</si>
  <si>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</si>
  <si>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</si>
  <si>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</si>
  <si>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</si>
  <si>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</si>
  <si>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</si>
  <si>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</si>
  <si>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</si>
  <si>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</si>
  <si>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</si>
  <si>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</si>
  <si>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</si>
  <si>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</si>
  <si>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</si>
  <si>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</si>
  <si>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</si>
  <si>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</si>
  <si>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</si>
  <si>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</si>
  <si>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</si>
  <si>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</si>
  <si>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</si>
  <si>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</si>
  <si>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</si>
  <si>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</si>
  <si>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</si>
  <si>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</si>
  <si>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</si>
  <si>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</si>
  <si>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</si>
  <si>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</si>
  <si>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</si>
  <si>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</si>
  <si>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</si>
  <si>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</si>
  <si>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</si>
  <si>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</si>
  <si>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</si>
  <si>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</si>
  <si>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</si>
  <si>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</si>
  <si>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</si>
  <si>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</si>
  <si>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</si>
  <si>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</si>
  <si>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</si>
  <si>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</si>
  <si>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</si>
  <si>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</si>
  <si>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</si>
  <si>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</si>
  <si>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</si>
  <si>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</si>
  <si>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</si>
  <si>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</si>
  <si>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</si>
  <si>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</si>
  <si>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</si>
  <si>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</si>
  <si>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</si>
  <si>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</si>
  <si>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</si>
  <si>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</si>
  <si>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</si>
  <si>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</si>
  <si>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</si>
  <si>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</si>
  <si>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</si>
  <si>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</si>
  <si>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</si>
  <si>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</si>
  <si>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</si>
  <si>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</si>
  <si>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</si>
  <si>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</si>
  <si>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</si>
  <si>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</si>
  <si>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</si>
  <si>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</si>
  <si>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</si>
  <si>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</si>
  <si>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</si>
  <si>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</si>
  <si>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</si>
  <si>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</si>
  <si>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</si>
  <si>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</si>
  <si>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</si>
  <si>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</si>
  <si>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</si>
  <si>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</si>
  <si>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</si>
  <si>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</si>
  <si>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</si>
  <si>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</si>
  <si>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</si>
  <si>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</si>
  <si>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</si>
  <si>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</si>
  <si>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</si>
  <si>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</si>
  <si>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</si>
  <si>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</si>
  <si>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</si>
  <si>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</si>
  <si>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</si>
  <si>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</si>
  <si>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</si>
  <si>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</si>
  <si>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</si>
  <si>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</si>
  <si>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</si>
  <si>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</si>
  <si>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</si>
  <si>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</si>
  <si>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</si>
  <si>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</si>
  <si>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</si>
  <si>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</si>
  <si>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</si>
  <si>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</si>
  <si>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</si>
  <si>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</si>
  <si>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</si>
  <si>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</si>
  <si>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</si>
  <si>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</si>
  <si>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</si>
  <si>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</si>
  <si>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</si>
  <si>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</si>
  <si>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</si>
  <si>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</si>
  <si>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</si>
  <si>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</si>
  <si>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</si>
  <si>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</si>
  <si>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</si>
  <si>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</si>
  <si>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</si>
  <si>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</si>
  <si>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</si>
  <si>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</si>
  <si>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</si>
  <si>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</si>
  <si>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</si>
  <si>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</si>
  <si>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</si>
  <si>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</si>
  <si>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</si>
  <si>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</si>
  <si>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</si>
  <si>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</si>
  <si>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</si>
  <si>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</si>
  <si>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</si>
  <si>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</si>
  <si>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</si>
  <si>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</si>
  <si>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</si>
  <si>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</si>
  <si>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</si>
  <si>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</si>
  <si>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</si>
  <si>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</si>
  <si>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</si>
  <si>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</si>
  <si>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</si>
  <si>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</si>
  <si>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</si>
  <si>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</si>
  <si>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</si>
  <si>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</si>
  <si>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</si>
  <si>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</si>
  <si>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</si>
  <si>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</si>
  <si>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</si>
  <si>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</si>
  <si>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</si>
  <si>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</si>
  <si>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</si>
  <si>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</si>
  <si>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</si>
  <si>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</si>
  <si>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</si>
  <si>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</si>
  <si>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</si>
  <si>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</si>
  <si>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</si>
  <si>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</si>
  <si>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</si>
  <si>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</si>
  <si>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</si>
  <si>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</si>
  <si>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</si>
  <si>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</si>
  <si>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</si>
  <si>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</si>
  <si>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</si>
  <si>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</si>
  <si>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</si>
  <si>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</si>
  <si>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</si>
  <si>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</si>
  <si>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</si>
  <si>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</si>
  <si>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</si>
  <si>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</si>
  <si>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</si>
  <si>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</si>
  <si>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</si>
  <si>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</si>
  <si>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</si>
  <si>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</si>
  <si>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</si>
  <si>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</si>
  <si>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</si>
  <si>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</si>
  <si>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</si>
  <si>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</si>
  <si>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</si>
  <si>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</si>
  <si>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</si>
  <si>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</si>
  <si>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</si>
  <si>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</si>
  <si>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</si>
  <si>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</si>
  <si>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</si>
  <si>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</si>
  <si>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</si>
  <si>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</si>
  <si>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</si>
  <si>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</si>
  <si>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</si>
  <si>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</si>
  <si>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</si>
  <si>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</si>
  <si>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</si>
  <si>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</si>
  <si>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</si>
  <si>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</si>
  <si>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</si>
  <si>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</si>
  <si>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</si>
  <si>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</si>
  <si>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</si>
  <si>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</si>
  <si>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</si>
  <si>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</si>
  <si>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</si>
  <si>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</si>
  <si>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</si>
  <si>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</si>
  <si>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</si>
  <si>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</si>
  <si>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</si>
  <si>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</si>
  <si>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</si>
  <si>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</si>
  <si>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</si>
  <si>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</si>
  <si>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</si>
  <si>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</si>
  <si>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</si>
  <si>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</si>
  <si>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</si>
  <si>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</si>
  <si>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</si>
  <si>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</si>
  <si>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</si>
  <si>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</si>
  <si>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</si>
  <si>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</si>
  <si>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</si>
  <si>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</si>
  <si>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</si>
  <si>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</si>
  <si>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</si>
  <si>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</si>
  <si>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</si>
  <si>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</si>
  <si>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</si>
  <si>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</si>
  <si>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</si>
  <si>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</si>
  <si>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</si>
  <si>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</si>
  <si>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</si>
  <si>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</si>
  <si>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</si>
  <si>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</si>
  <si>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</si>
  <si>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</si>
  <si>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</si>
  <si>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</si>
  <si>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</si>
  <si>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</si>
  <si>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</si>
  <si>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</si>
  <si>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</si>
  <si>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</si>
  <si>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</si>
  <si>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</si>
  <si>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</si>
  <si>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</si>
  <si>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</si>
  <si>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</si>
  <si>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</si>
  <si>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</si>
  <si>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</si>
  <si>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</si>
  <si>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</si>
  <si>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</si>
  <si>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</si>
  <si>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</si>
  <si>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</si>
  <si>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</si>
  <si>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</si>
  <si>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</si>
  <si>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</si>
  <si>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</si>
  <si>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</si>
  <si>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</si>
  <si>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</si>
  <si>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</si>
  <si>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</si>
  <si>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</si>
  <si>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</si>
  <si>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</si>
  <si>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</si>
  <si>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</si>
  <si>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</si>
  <si>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</si>
  <si>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</si>
  <si>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</si>
  <si>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</si>
  <si>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</si>
  <si>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</si>
  <si>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</si>
  <si>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</si>
  <si>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</si>
  <si>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</si>
  <si>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</si>
  <si>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</si>
  <si>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</si>
  <si>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</si>
  <si>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</si>
  <si>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</si>
  <si>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</si>
  <si>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</si>
  <si>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</si>
  <si>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</si>
  <si>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</si>
  <si>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</si>
  <si>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</si>
  <si>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</si>
  <si>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</si>
  <si>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</si>
  <si>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</si>
  <si>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</si>
  <si>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</si>
  <si>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</si>
  <si>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</si>
  <si>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</si>
  <si>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</si>
  <si>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</si>
  <si>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</si>
  <si>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</si>
  <si>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</si>
  <si>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</si>
  <si>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</si>
  <si>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</si>
  <si>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</si>
  <si>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</si>
  <si>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</si>
  <si>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</si>
  <si>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</si>
  <si>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</si>
  <si>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</si>
  <si>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</si>
  <si>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</si>
  <si>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</si>
  <si>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</si>
  <si>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</si>
  <si>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</si>
  <si>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</si>
  <si>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</si>
  <si>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</si>
  <si>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</si>
  <si>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</si>
  <si>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</si>
  <si>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</si>
  <si>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</si>
  <si>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</si>
  <si>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</si>
  <si>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</si>
  <si>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</si>
  <si>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</si>
  <si>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</si>
  <si>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</si>
  <si>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</si>
  <si>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</si>
  <si>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</si>
  <si>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</si>
  <si>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</si>
  <si>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</si>
  <si>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</si>
  <si>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</si>
  <si>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</si>
  <si>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</si>
  <si>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</si>
  <si>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</si>
  <si>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</si>
  <si>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</si>
  <si>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</si>
  <si>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</si>
  <si>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</si>
  <si>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</si>
  <si>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</si>
  <si>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</si>
  <si>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</si>
  <si>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</si>
  <si>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</si>
  <si>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</si>
  <si>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</si>
  <si>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</si>
  <si>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</si>
  <si>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</si>
  <si>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</si>
  <si>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</si>
  <si>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</si>
  <si>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</si>
  <si>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</si>
  <si>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</si>
  <si>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</si>
  <si>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</si>
  <si>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</si>
  <si>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</si>
  <si>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</si>
  <si>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</si>
  <si>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</si>
  <si>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</si>
  <si>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</si>
  <si>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</si>
  <si>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</si>
  <si>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</si>
  <si>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</si>
  <si>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</si>
  <si>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</si>
  <si>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</si>
  <si>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</si>
  <si>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</si>
  <si>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</si>
  <si>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</si>
  <si>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</si>
  <si>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</si>
  <si>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</si>
  <si>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</si>
  <si>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</si>
  <si>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</si>
  <si>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</si>
  <si>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</si>
  <si>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</si>
  <si>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</si>
  <si>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</si>
  <si>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</si>
  <si>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</si>
  <si>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</si>
  <si>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</si>
  <si>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</si>
  <si>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</si>
  <si>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</si>
  <si>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</si>
  <si>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</si>
  <si>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</si>
  <si>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</si>
  <si>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</si>
  <si>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</si>
  <si>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</si>
  <si>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</si>
  <si>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</si>
  <si>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</si>
  <si>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</si>
  <si>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</si>
  <si>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</si>
  <si>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</si>
  <si>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</si>
  <si>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</si>
  <si>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</si>
  <si>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</si>
  <si>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</si>
  <si>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</si>
  <si>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</si>
  <si>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</si>
  <si>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</si>
  <si>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</si>
  <si>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</si>
  <si>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</si>
  <si>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</si>
  <si>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</si>
  <si>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</si>
  <si>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</si>
  <si>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</si>
  <si>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</si>
  <si>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</si>
  <si>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</si>
  <si>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</si>
  <si>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</si>
  <si>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</si>
  <si>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</si>
  <si>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</si>
  <si>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</si>
  <si>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</si>
  <si>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</si>
  <si>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</si>
  <si>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</si>
  <si>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</si>
  <si>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</si>
  <si>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</si>
  <si>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</si>
  <si>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</si>
  <si>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</si>
  <si>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</si>
  <si>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</si>
  <si>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</si>
  <si>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</si>
  <si>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</si>
  <si>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</si>
  <si>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</si>
  <si>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</si>
  <si>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</si>
  <si>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</si>
  <si>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</si>
  <si>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</si>
  <si>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</si>
  <si>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</si>
  <si>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</si>
  <si>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</si>
  <si>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</si>
  <si>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</si>
  <si>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</si>
  <si>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</si>
  <si>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</si>
  <si>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</si>
  <si>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</si>
  <si>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</si>
  <si>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</si>
  <si>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</si>
  <si>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</si>
  <si>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</si>
  <si>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</si>
  <si>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</si>
  <si>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</si>
  <si>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</si>
  <si>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</si>
  <si>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</si>
  <si>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</si>
  <si>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</si>
  <si>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</si>
  <si>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</si>
  <si>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</si>
  <si>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</si>
  <si>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</si>
  <si>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</si>
  <si>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</si>
  <si>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</si>
  <si>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</si>
  <si>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</si>
  <si>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</si>
  <si>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</si>
  <si>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</si>
  <si>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</si>
  <si>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</si>
  <si>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</si>
  <si>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</si>
  <si>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</si>
  <si>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</si>
  <si>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</si>
  <si>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</si>
  <si>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</si>
  <si>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</si>
  <si>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</si>
  <si>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</si>
  <si>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</si>
  <si>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</si>
  <si>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</si>
  <si>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</si>
  <si>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</si>
  <si>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</si>
  <si>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</si>
  <si>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</si>
  <si>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</si>
  <si>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</si>
  <si>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</si>
  <si>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</si>
  <si>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</si>
  <si>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</si>
  <si>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</si>
  <si>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</si>
  <si>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</si>
  <si>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</si>
  <si>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</si>
  <si>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</si>
  <si>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</si>
  <si>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</si>
  <si>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</si>
  <si>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</si>
  <si>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</si>
  <si>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</si>
  <si>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</si>
  <si>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</si>
  <si>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</si>
  <si>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</si>
  <si>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</si>
  <si>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</si>
  <si>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</si>
  <si>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</si>
  <si>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</si>
  <si>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</si>
  <si>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</si>
  <si>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</si>
  <si>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</si>
  <si>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</si>
  <si>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</si>
  <si>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</si>
  <si>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</si>
  <si>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</si>
  <si>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</si>
  <si>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</si>
  <si>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</si>
  <si>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</si>
  <si>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</si>
  <si>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</si>
  <si>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</si>
  <si>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</si>
  <si>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</si>
  <si>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</si>
  <si>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</si>
  <si>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</si>
  <si>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</si>
  <si>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</si>
  <si>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</si>
  <si>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</si>
  <si>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</si>
  <si>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</si>
  <si>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</si>
  <si>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</si>
  <si>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</si>
  <si>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</si>
  <si>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</si>
  <si>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</si>
  <si>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</si>
  <si>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</si>
  <si>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</si>
  <si>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</si>
  <si>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</si>
  <si>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</si>
  <si>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</si>
  <si>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</si>
  <si>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</si>
  <si>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</si>
  <si>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</si>
  <si>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</si>
  <si>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</si>
  <si>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</si>
  <si>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</si>
  <si>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</si>
  <si>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</si>
  <si>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</si>
  <si>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</si>
  <si>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</si>
  <si>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</si>
  <si>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</si>
  <si>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</si>
  <si>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</si>
  <si>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</si>
  <si>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</si>
  <si>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</si>
  <si>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</si>
  <si>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</si>
  <si>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</si>
  <si>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</si>
  <si>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</si>
  <si>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</si>
  <si>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</si>
  <si>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</si>
  <si>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</si>
  <si>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</si>
  <si>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</si>
  <si>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</si>
  <si>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</si>
  <si>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</si>
  <si>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</si>
  <si>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</si>
  <si>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</si>
  <si>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</si>
  <si>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</si>
  <si>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</si>
  <si>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</si>
  <si>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</si>
  <si>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</si>
  <si>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</si>
  <si>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</si>
  <si>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</si>
  <si>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</si>
  <si>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</si>
  <si>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</si>
  <si>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</si>
  <si>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</si>
  <si>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</si>
  <si>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</si>
  <si>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</si>
  <si>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</si>
  <si>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</si>
  <si>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</si>
  <si>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</si>
  <si>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</si>
  <si>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</si>
  <si>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</si>
  <si>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</si>
  <si>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</si>
  <si>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</si>
  <si>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</si>
  <si>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</si>
  <si>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</si>
  <si>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</si>
  <si>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</si>
  <si>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</si>
  <si>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</si>
  <si>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</si>
  <si>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</si>
  <si>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</si>
  <si>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</si>
  <si>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</si>
  <si>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</si>
  <si>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</si>
  <si>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</si>
  <si>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</si>
  <si>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</si>
  <si>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</si>
  <si>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</si>
  <si>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</si>
  <si>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</si>
  <si>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</si>
  <si>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</si>
  <si>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</si>
  <si>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</si>
  <si>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</si>
  <si>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</si>
  <si>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</si>
  <si>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</si>
  <si>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</si>
  <si>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</si>
  <si>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</si>
  <si>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</si>
  <si>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</si>
  <si>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</si>
  <si>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</si>
  <si>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</si>
  <si>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</si>
  <si>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</si>
  <si>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</si>
  <si>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</si>
  <si>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</si>
  <si>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</si>
  <si>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</si>
  <si>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</si>
  <si>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</si>
  <si>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</si>
  <si>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</si>
  <si>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</si>
  <si>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</si>
  <si>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</si>
  <si>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</si>
  <si>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</si>
  <si>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</si>
  <si>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</si>
  <si>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</si>
  <si>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</si>
  <si>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</si>
  <si>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</si>
  <si>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</si>
  <si>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</si>
  <si>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</si>
  <si>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</si>
  <si>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</si>
  <si>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</si>
  <si>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</si>
  <si>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</si>
  <si>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</si>
  <si>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</si>
  <si>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</si>
  <si>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</si>
  <si>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</si>
  <si>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</si>
  <si>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</si>
  <si>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</si>
  <si>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</si>
  <si>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</si>
  <si>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</si>
  <si>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</si>
  <si>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</si>
  <si>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</si>
  <si>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</si>
  <si>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</si>
  <si>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</si>
  <si>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</si>
  <si>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</si>
  <si>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</si>
  <si>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</si>
  <si>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</si>
  <si>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</si>
  <si>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</si>
  <si>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</si>
  <si>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</si>
  <si>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</si>
  <si>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</si>
  <si>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</si>
  <si>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</si>
  <si>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</si>
  <si>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</si>
  <si>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</si>
  <si>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</si>
  <si>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</si>
  <si>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</si>
  <si>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</si>
  <si>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</si>
  <si>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</si>
  <si>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</si>
  <si>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</si>
  <si>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</si>
  <si>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</si>
  <si>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</si>
  <si>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</si>
  <si>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</si>
  <si>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</si>
  <si>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</si>
  <si>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</si>
  <si>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</si>
  <si>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</si>
  <si>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</si>
  <si>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</si>
  <si>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</si>
  <si>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</si>
  <si>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</si>
  <si>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</si>
  <si>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</si>
  <si>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</si>
  <si>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</si>
  <si>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</si>
  <si>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</si>
  <si>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</si>
  <si>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</si>
  <si>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</si>
  <si>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</si>
  <si>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</si>
  <si>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</si>
  <si>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</si>
  <si>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</si>
  <si>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</si>
  <si>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</si>
  <si>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</si>
  <si>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</si>
  <si>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</si>
  <si>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</si>
  <si>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</si>
  <si>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</si>
  <si>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</si>
  <si>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</si>
  <si>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</si>
  <si>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</si>
  <si>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</si>
  <si>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</si>
  <si>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</si>
  <si>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</si>
  <si>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</si>
  <si>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</si>
  <si>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</si>
  <si>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</si>
  <si>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</si>
  <si>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</si>
  <si>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</si>
  <si>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</si>
  <si>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</si>
  <si>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</si>
  <si>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</si>
  <si>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</si>
  <si>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</si>
  <si>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</si>
  <si>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</si>
  <si>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</si>
  <si>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</si>
  <si>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</si>
  <si>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</si>
  <si>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</si>
  <si>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</si>
  <si>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</si>
  <si>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</si>
  <si>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</si>
  <si>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</si>
  <si>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</si>
  <si>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</si>
  <si>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</si>
  <si>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</si>
  <si>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</si>
  <si>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</si>
  <si>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</si>
  <si>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</si>
  <si>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</si>
  <si>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</si>
  <si>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</si>
  <si>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</si>
  <si>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</si>
  <si>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</si>
  <si>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</si>
  <si>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</si>
  <si>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</si>
  <si>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</si>
  <si>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</si>
  <si>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</si>
  <si>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</si>
  <si>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</si>
  <si>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</si>
  <si>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</si>
  <si>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</si>
  <si>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</si>
  <si>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</si>
  <si>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</si>
  <si>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</si>
  <si>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</si>
  <si>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</si>
  <si>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</si>
  <si>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</si>
  <si>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</si>
  <si>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</si>
  <si>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</si>
  <si>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</si>
  <si>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</si>
  <si>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</si>
  <si>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</si>
  <si>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</si>
  <si>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</si>
  <si>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</si>
  <si>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</si>
  <si>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</si>
  <si>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</si>
  <si>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</si>
  <si>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</si>
  <si>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</si>
  <si>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</si>
  <si>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</si>
  <si>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</si>
  <si>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</si>
  <si>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</si>
  <si>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</si>
  <si>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</si>
  <si>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</si>
  <si>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</si>
  <si>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</si>
  <si>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</si>
  <si>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</si>
  <si>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</si>
  <si>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</si>
  <si>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</si>
  <si>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</si>
  <si>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</si>
  <si>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</si>
  <si>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</si>
  <si>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</si>
  <si>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</si>
  <si>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</si>
  <si>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</si>
  <si>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</si>
  <si>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</si>
  <si>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</si>
  <si>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</si>
  <si>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</si>
  <si>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</si>
  <si>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</si>
  <si>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</si>
  <si>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</si>
  <si>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</si>
  <si>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</si>
  <si>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</si>
  <si>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</si>
  <si>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</si>
  <si>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</si>
  <si>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</si>
  <si>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</si>
  <si>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</si>
  <si>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</si>
  <si>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</si>
  <si>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</si>
  <si>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</si>
  <si>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</si>
  <si>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</si>
  <si>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</si>
  <si>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</si>
  <si>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</si>
  <si>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</si>
  <si>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</si>
  <si>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</si>
  <si>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</si>
  <si>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</si>
  <si>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</si>
  <si>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</si>
  <si>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</si>
  <si>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</si>
  <si>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</si>
  <si>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</si>
  <si>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</si>
  <si>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</si>
  <si>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</si>
  <si>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</si>
  <si>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</si>
  <si>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</si>
  <si>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</si>
  <si>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</si>
  <si>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</si>
  <si>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</si>
  <si>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</si>
  <si>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</si>
  <si>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</si>
  <si>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</si>
  <si>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</si>
  <si>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</si>
  <si>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</si>
  <si>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</si>
  <si>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</si>
  <si>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</si>
  <si>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</si>
  <si>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</si>
  <si>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</si>
  <si>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</si>
  <si>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</si>
  <si>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</si>
  <si>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</si>
  <si>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</si>
  <si>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</si>
  <si>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</si>
  <si>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</si>
  <si>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</si>
  <si>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</si>
  <si>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</si>
  <si>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</si>
  <si>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</si>
  <si>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</si>
  <si>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</si>
  <si>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</si>
  <si>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</si>
  <si>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</si>
  <si>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</si>
  <si>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</si>
  <si>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</si>
  <si>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</si>
  <si>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</si>
  <si>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</si>
  <si>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</si>
  <si>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</si>
  <si>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</si>
  <si>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</si>
  <si>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</si>
  <si>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</si>
  <si>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</si>
  <si>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</si>
  <si>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</si>
  <si>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</si>
  <si>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</si>
  <si>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</si>
  <si>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</si>
  <si>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</si>
  <si>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</si>
  <si>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</si>
  <si>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</si>
  <si>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</si>
  <si>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</si>
  <si>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</si>
  <si>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</si>
  <si>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</si>
  <si>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</si>
  <si>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</si>
  <si>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</si>
  <si>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</si>
  <si>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</si>
  <si>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</si>
  <si>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</si>
  <si>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</si>
  <si>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</si>
  <si>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</si>
  <si>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</si>
  <si>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</si>
  <si>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</si>
  <si>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</si>
  <si>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</si>
  <si>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</si>
  <si>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</si>
  <si>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</si>
  <si>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</si>
  <si>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</si>
  <si>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</si>
  <si>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</si>
  <si>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</si>
  <si>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</si>
  <si>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</si>
  <si>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</si>
  <si>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</si>
  <si>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</si>
  <si>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</si>
  <si>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</si>
  <si>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</si>
  <si>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</si>
  <si>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</si>
  <si>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</si>
  <si>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</si>
  <si>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</si>
  <si>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</si>
  <si>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</si>
  <si>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</si>
  <si>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</si>
  <si>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</si>
  <si>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</si>
  <si>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</si>
  <si>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</si>
  <si>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</si>
  <si>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</si>
  <si>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</si>
  <si>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</si>
  <si>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</si>
  <si>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</si>
  <si>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</si>
  <si>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</si>
  <si>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</si>
  <si>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</si>
  <si>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</si>
  <si>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</si>
  <si>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</si>
  <si>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</si>
  <si>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</si>
  <si>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</si>
  <si>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</si>
  <si>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</si>
  <si>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</si>
  <si>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</si>
  <si>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</si>
  <si>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</si>
  <si>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</si>
  <si>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</si>
  <si>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</si>
  <si>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</si>
  <si>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</si>
  <si>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</si>
  <si>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</si>
  <si>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</si>
  <si>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</si>
  <si>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</si>
  <si>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</si>
  <si>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</si>
  <si>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</si>
  <si>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</si>
  <si>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</si>
  <si>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</si>
  <si>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</si>
  <si>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</si>
  <si>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</si>
  <si>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</si>
  <si>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</si>
  <si>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</si>
  <si>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</si>
  <si>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</si>
  <si>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</si>
  <si>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</si>
  <si>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</si>
  <si>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</si>
  <si>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</si>
  <si>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</si>
  <si>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</si>
  <si>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</si>
  <si>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</si>
  <si>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</si>
  <si>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</si>
  <si>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</si>
  <si>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</si>
  <si>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</si>
  <si>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</si>
  <si>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</si>
  <si>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</si>
  <si>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</si>
  <si>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</si>
  <si>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</si>
  <si>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</si>
  <si>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</si>
  <si>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</si>
  <si>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</si>
  <si>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</si>
  <si>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</si>
  <si>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</si>
  <si>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</si>
  <si>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</si>
  <si>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</si>
  <si>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</si>
  <si>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</si>
  <si>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</si>
  <si>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</si>
  <si>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</si>
  <si>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</si>
  <si>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</si>
  <si>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</si>
  <si>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</si>
  <si>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</si>
  <si>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</si>
  <si>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</si>
  <si>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</si>
  <si>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</si>
  <si>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</si>
  <si>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</si>
  <si>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</si>
  <si>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</si>
  <si>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</si>
  <si>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</si>
  <si>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</si>
  <si>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</si>
  <si>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</si>
  <si>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</si>
  <si>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</si>
  <si>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</si>
  <si>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</si>
  <si>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</si>
  <si>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</si>
  <si>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</si>
  <si>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</si>
  <si>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</si>
  <si>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</si>
  <si>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</si>
  <si>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</si>
  <si>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</si>
  <si>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</si>
  <si>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</si>
  <si>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</si>
  <si>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</si>
  <si>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</si>
  <si>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</si>
  <si>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</si>
  <si>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</si>
  <si>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</si>
  <si>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</si>
  <si>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</si>
  <si>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</si>
  <si>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</si>
  <si>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</si>
  <si>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</si>
  <si>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</si>
  <si>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</si>
  <si>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</si>
  <si>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</si>
  <si>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</si>
  <si>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</si>
  <si>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</si>
  <si>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</si>
  <si>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</si>
  <si>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</si>
  <si>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</si>
  <si>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</si>
  <si>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</si>
  <si>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</si>
  <si>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</si>
  <si>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</si>
  <si>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</si>
  <si>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</si>
  <si>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</si>
  <si>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</si>
  <si>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</si>
  <si>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</si>
  <si>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</si>
  <si>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</si>
  <si>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</si>
  <si>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</si>
  <si>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</si>
  <si>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</si>
  <si>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</si>
  <si>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</si>
  <si>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</si>
  <si>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</si>
  <si>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</si>
  <si>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</si>
  <si>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</si>
  <si>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</si>
  <si>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</si>
  <si>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</si>
  <si>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</si>
  <si>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</si>
  <si>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</si>
  <si>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</si>
  <si>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</si>
  <si>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</si>
  <si>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</si>
  <si>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</si>
  <si>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</si>
  <si>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</si>
  <si>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</si>
  <si>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</si>
  <si>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</si>
  <si>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</si>
  <si>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</si>
  <si>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</si>
  <si>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</si>
  <si>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</si>
  <si>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</si>
  <si>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</si>
  <si>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</si>
  <si>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</si>
  <si>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</si>
  <si>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</si>
  <si>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</si>
  <si>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</si>
  <si>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</si>
  <si>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</si>
  <si>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</si>
  <si>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</si>
  <si>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</si>
  <si>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</si>
  <si>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</si>
  <si>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</si>
  <si>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</si>
  <si>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</si>
  <si>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</si>
  <si>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</si>
  <si>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</si>
  <si>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</si>
  <si>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</si>
  <si>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</si>
  <si>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</si>
  <si>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</si>
  <si>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</si>
  <si>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</si>
  <si>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</si>
  <si>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</si>
  <si>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</si>
  <si>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</si>
  <si>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</si>
  <si>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</si>
  <si>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</si>
  <si>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</si>
  <si>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</si>
  <si>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</si>
  <si>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</si>
  <si>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</si>
  <si>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</si>
  <si>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</si>
  <si>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</si>
  <si>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</si>
  <si>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</si>
  <si>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</si>
  <si>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</si>
  <si>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</si>
  <si>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</si>
  <si>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</si>
  <si>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</si>
  <si>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</si>
  <si>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</si>
  <si>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</si>
  <si>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</si>
  <si>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</si>
  <si>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</si>
  <si>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</si>
  <si>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</si>
  <si>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</si>
  <si>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</si>
  <si>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</si>
  <si>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</si>
  <si>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</si>
  <si>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</si>
  <si>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</si>
  <si>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</si>
  <si>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</si>
  <si>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</si>
  <si>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</si>
  <si>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</si>
  <si>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</si>
  <si>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</si>
  <si>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</si>
  <si>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</si>
  <si>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</si>
  <si>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</si>
  <si>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</si>
  <si>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</si>
  <si>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</si>
  <si>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</si>
  <si>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</si>
  <si>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</si>
  <si>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</si>
  <si>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</si>
  <si>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</si>
  <si>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</si>
  <si>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</si>
  <si>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</si>
  <si>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</si>
  <si>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</si>
  <si>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</si>
  <si>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</si>
  <si>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</si>
  <si>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</si>
  <si>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</si>
  <si>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</si>
  <si>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</si>
  <si>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</si>
  <si>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</si>
  <si>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</si>
  <si>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</si>
  <si>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</si>
  <si>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</si>
  <si>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</si>
  <si>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</si>
  <si>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</si>
  <si>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</si>
  <si>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</si>
  <si>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</si>
  <si>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</si>
  <si>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</si>
  <si>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</si>
  <si>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</si>
  <si>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</si>
  <si>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</si>
  <si>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</si>
  <si>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</si>
  <si>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</si>
  <si>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</si>
  <si>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</si>
  <si>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</si>
  <si>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</si>
  <si>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</si>
  <si>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</si>
  <si>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</si>
  <si>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</si>
  <si>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</si>
  <si>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</si>
  <si>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</si>
  <si>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</si>
  <si>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</si>
  <si>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</si>
  <si>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</si>
  <si>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</si>
  <si>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</si>
  <si>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</si>
  <si>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</si>
  <si>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</si>
  <si>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</si>
  <si>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</si>
  <si>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</si>
  <si>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</si>
  <si>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</si>
  <si>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</si>
  <si>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</si>
  <si>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</si>
  <si>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</si>
  <si>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</si>
  <si>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</si>
  <si>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</si>
  <si>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</si>
  <si>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</si>
  <si>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</si>
  <si>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</si>
  <si>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</si>
  <si>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</si>
  <si>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</si>
  <si>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</si>
  <si>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</si>
  <si>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</si>
  <si>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</si>
  <si>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</si>
  <si>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</si>
  <si>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</si>
  <si>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</si>
  <si>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</si>
  <si>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</si>
  <si>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</si>
  <si>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</si>
  <si>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</si>
  <si>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</si>
  <si>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</si>
  <si>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</si>
  <si>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</si>
  <si>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</si>
  <si>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</si>
  <si>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</si>
  <si>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</si>
  <si>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</si>
  <si>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</si>
  <si>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</si>
  <si>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</si>
  <si>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</si>
  <si>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</si>
  <si>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</si>
  <si>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</si>
  <si>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</si>
  <si>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</si>
  <si>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</si>
  <si>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</si>
  <si>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</si>
  <si>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</si>
  <si>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</si>
  <si>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</si>
  <si>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</si>
  <si>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</si>
  <si>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</si>
  <si>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</si>
  <si>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</si>
  <si>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</si>
  <si>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</si>
  <si>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</si>
  <si>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</si>
  <si>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</si>
  <si>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</si>
  <si>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</si>
  <si>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</si>
  <si>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</si>
  <si>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</si>
  <si>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</si>
  <si>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</si>
  <si>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</si>
  <si>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</si>
  <si>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</si>
  <si>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</si>
  <si>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</si>
  <si>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</si>
  <si>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</si>
  <si>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</si>
  <si>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</si>
  <si>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</si>
  <si>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</si>
  <si>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</si>
  <si>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</si>
  <si>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</si>
  <si>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</si>
  <si>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</si>
  <si>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</si>
  <si>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</si>
  <si>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</si>
  <si>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</si>
  <si>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</si>
  <si>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</si>
  <si>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</si>
  <si>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</si>
  <si>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</si>
  <si>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</si>
  <si>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</si>
  <si>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</si>
  <si>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</si>
  <si>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</si>
  <si>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</si>
  <si>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</si>
  <si>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</si>
  <si>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</si>
  <si>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</si>
  <si>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</si>
  <si>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</si>
  <si>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</si>
  <si>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</si>
  <si>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</si>
  <si>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</si>
  <si>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</si>
  <si>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</si>
  <si>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</si>
  <si>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</si>
  <si>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</si>
  <si>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</si>
  <si>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</si>
  <si>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</si>
  <si>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</si>
  <si>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</si>
  <si>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</si>
  <si>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</si>
  <si>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</si>
  <si>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</si>
  <si>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</si>
  <si>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</si>
  <si>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</si>
  <si>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</si>
  <si>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</si>
  <si>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</si>
  <si>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</si>
  <si>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</si>
  <si>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</si>
  <si>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</si>
  <si>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</si>
  <si>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</si>
  <si>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</si>
  <si>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</si>
  <si>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</si>
  <si>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</si>
  <si>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</si>
  <si>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</si>
  <si>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</si>
  <si>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</si>
  <si>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</si>
  <si>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</si>
  <si>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</si>
  <si>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</si>
  <si>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</si>
  <si>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</si>
  <si>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</si>
  <si>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</si>
  <si>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</si>
  <si>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</si>
  <si>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</si>
  <si>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</si>
  <si>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</si>
  <si>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</si>
  <si>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</si>
  <si>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</si>
  <si>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</si>
  <si>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</si>
  <si>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</si>
  <si>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</si>
  <si>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</si>
  <si>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</si>
  <si>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</si>
  <si>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</si>
  <si>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</si>
  <si>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</si>
  <si>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</si>
  <si>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</si>
  <si>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</si>
  <si>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</si>
  <si>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</si>
  <si>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</si>
  <si>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</si>
  <si>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</si>
  <si>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</si>
  <si>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</si>
  <si>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</si>
  <si>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</si>
  <si>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</si>
  <si>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</si>
  <si>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</si>
  <si>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</si>
  <si>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</si>
  <si>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</si>
  <si>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</si>
  <si>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</si>
  <si>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</si>
  <si>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</si>
  <si>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</si>
  <si>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</si>
  <si>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</si>
  <si>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</si>
  <si>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</si>
  <si>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</si>
  <si>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</si>
  <si>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</si>
  <si>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</si>
  <si>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</si>
  <si>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</si>
  <si>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</si>
  <si>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</si>
  <si>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</si>
  <si>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</si>
  <si>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</si>
  <si>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</si>
  <si>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</si>
  <si>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</si>
  <si>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</si>
  <si>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</si>
  <si>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</si>
  <si>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</si>
  <si>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</si>
  <si>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</si>
  <si>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</si>
  <si>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</si>
  <si>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</si>
  <si>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</si>
  <si>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</si>
  <si>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</si>
  <si>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</si>
  <si>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</si>
  <si>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</si>
  <si>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</si>
  <si>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</si>
  <si>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</si>
  <si>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</si>
  <si>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</si>
  <si>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</si>
  <si>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</si>
  <si>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</si>
  <si>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</si>
  <si>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</si>
  <si>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</si>
  <si>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</si>
  <si>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</si>
  <si>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</si>
  <si>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</si>
  <si>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</si>
  <si>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</si>
  <si>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</si>
  <si>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</si>
  <si>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</si>
  <si>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</si>
  <si>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</si>
  <si>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</si>
  <si>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</si>
  <si>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</si>
  <si>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</si>
  <si>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</si>
  <si>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</si>
  <si>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</si>
  <si>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</si>
  <si>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</si>
  <si>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</si>
  <si>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</si>
  <si>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</si>
  <si>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</si>
  <si>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</si>
  <si>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</si>
  <si>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</si>
  <si>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</si>
  <si>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</si>
  <si>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</si>
  <si>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</si>
  <si>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</si>
  <si>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</si>
  <si>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</si>
  <si>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</si>
  <si>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</si>
  <si>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</si>
  <si>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</si>
  <si>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</si>
  <si>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</si>
  <si>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</si>
  <si>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</si>
  <si>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</si>
  <si>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</si>
  <si>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</si>
  <si>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</si>
  <si>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</si>
  <si>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</si>
  <si>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</si>
  <si>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</si>
  <si>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</si>
  <si>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</si>
  <si>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</si>
  <si>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</si>
  <si>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</si>
  <si>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</si>
  <si>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</si>
  <si>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</si>
  <si>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</si>
  <si>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</si>
  <si>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</si>
  <si>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</si>
  <si>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</si>
  <si>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</si>
  <si>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</si>
  <si>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</si>
  <si>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</si>
  <si>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</si>
  <si>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</si>
  <si>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</si>
  <si>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</si>
  <si>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</si>
  <si>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</si>
  <si>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</si>
  <si>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</si>
  <si>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</si>
  <si>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</si>
  <si>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</si>
  <si>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</si>
  <si>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</si>
  <si>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</si>
  <si>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</si>
  <si>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</si>
  <si>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</si>
  <si>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</si>
  <si>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</si>
  <si>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</si>
  <si>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</si>
  <si>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</si>
  <si>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</si>
  <si>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</si>
  <si>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</si>
  <si>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</si>
  <si>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</si>
  <si>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</si>
  <si>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</si>
  <si>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</si>
  <si>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</si>
  <si>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</si>
  <si>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</si>
  <si>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</si>
  <si>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</si>
  <si>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</si>
  <si>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</si>
  <si>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</si>
  <si>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</si>
  <si>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</si>
  <si>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</si>
  <si>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</si>
  <si>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</si>
  <si>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</si>
  <si>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</si>
  <si>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</si>
  <si>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</si>
  <si>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</si>
  <si>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</si>
  <si>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</si>
  <si>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</si>
  <si>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</si>
  <si>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</si>
  <si>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</si>
  <si>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</si>
  <si>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</si>
  <si>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</si>
  <si>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</si>
  <si>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</si>
  <si>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</si>
  <si>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</si>
  <si>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</si>
  <si>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</si>
  <si>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</si>
  <si>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</si>
  <si>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</si>
  <si>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</si>
  <si>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</si>
  <si>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</si>
  <si>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</si>
  <si>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</si>
  <si>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</si>
  <si>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</si>
  <si>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</si>
  <si>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</si>
  <si>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</si>
  <si>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</si>
  <si>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</si>
  <si>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</si>
  <si>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</si>
  <si>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</si>
  <si>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</si>
  <si>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</si>
  <si>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</si>
  <si>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</si>
  <si>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</si>
  <si>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</si>
  <si>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</si>
  <si>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</si>
  <si>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</si>
  <si>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</si>
  <si>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</si>
  <si>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</si>
  <si>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</si>
  <si>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</si>
  <si>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</si>
  <si>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</si>
  <si>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</si>
  <si>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</si>
  <si>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</si>
  <si>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</si>
  <si>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</si>
  <si>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</si>
  <si>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</si>
  <si>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</si>
  <si>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</si>
  <si>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</si>
  <si>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</si>
  <si>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</si>
  <si>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</si>
  <si>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</si>
  <si>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</si>
  <si>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</si>
  <si>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</si>
  <si>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</si>
  <si>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</si>
  <si>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</si>
  <si>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</si>
  <si>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</si>
  <si>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</si>
  <si>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</si>
  <si>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</si>
  <si>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</si>
  <si>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</si>
  <si>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</si>
  <si>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</si>
  <si>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</si>
  <si>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</si>
  <si>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</si>
  <si>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</si>
  <si>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</si>
  <si>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</si>
  <si>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</si>
  <si>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</si>
  <si>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</si>
  <si>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</si>
  <si>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</si>
  <si>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</si>
  <si>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</si>
  <si>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</si>
  <si>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</si>
  <si>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</si>
  <si>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</si>
  <si>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</si>
  <si>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</si>
  <si>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</si>
  <si>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</si>
  <si>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</si>
  <si>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</si>
  <si>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</si>
  <si>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</si>
  <si>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</si>
  <si>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</si>
  <si>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</si>
  <si>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</si>
  <si>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</si>
  <si>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</si>
  <si>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</si>
  <si>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</si>
  <si>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</si>
  <si>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</si>
  <si>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</si>
  <si>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</si>
  <si>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</si>
  <si>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</si>
  <si>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</si>
  <si>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</si>
  <si>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</si>
  <si>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</si>
  <si>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</si>
  <si>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</si>
  <si>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</si>
  <si>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</si>
  <si>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</si>
  <si>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</si>
  <si>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</si>
  <si>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</si>
  <si>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</si>
  <si>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</si>
  <si>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</si>
  <si>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</si>
  <si>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</si>
  <si>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</si>
  <si>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</si>
  <si>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</si>
  <si>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</si>
  <si>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</si>
  <si>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</si>
  <si>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</si>
  <si>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</si>
  <si>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</si>
  <si>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</si>
  <si>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</si>
  <si>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</si>
  <si>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</si>
  <si>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</si>
  <si>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</si>
  <si>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</si>
  <si>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</si>
  <si>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</si>
  <si>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</si>
  <si>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</si>
  <si>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</si>
  <si>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</si>
  <si>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</si>
  <si>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</si>
  <si>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</si>
  <si>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</si>
  <si>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</si>
  <si>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</si>
  <si>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</si>
  <si>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</si>
  <si>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</si>
  <si>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</si>
  <si>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</si>
  <si>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</si>
  <si>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</si>
  <si>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</si>
  <si>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</si>
  <si>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</si>
  <si>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</si>
  <si>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</si>
  <si>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</si>
  <si>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</si>
  <si>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</si>
  <si>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</si>
  <si>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</si>
  <si>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</si>
  <si>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</si>
  <si>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</si>
  <si>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</si>
  <si>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</si>
  <si>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</si>
  <si>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</si>
  <si>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</si>
  <si>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</si>
  <si>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</si>
  <si>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</si>
  <si>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</si>
  <si>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</si>
  <si>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</si>
  <si>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</si>
  <si>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</si>
  <si>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</si>
  <si>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</si>
  <si>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</si>
  <si>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</si>
  <si>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</si>
  <si>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</si>
  <si>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</si>
  <si>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</si>
  <si>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</si>
  <si>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</si>
  <si>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</si>
  <si>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</si>
  <si>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</si>
  <si>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</si>
  <si>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</si>
  <si>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</si>
  <si>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</si>
  <si>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</si>
  <si>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</si>
  <si>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</si>
  <si>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</si>
  <si>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</si>
  <si>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</si>
  <si>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</si>
  <si>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</si>
  <si>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</si>
  <si>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</si>
  <si>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</si>
  <si>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</si>
  <si>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</si>
  <si>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</si>
  <si>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</si>
  <si>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</si>
  <si>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</si>
  <si>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</si>
  <si>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</si>
  <si>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</si>
  <si>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</si>
  <si>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</si>
  <si>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</si>
  <si>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</si>
  <si>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</si>
  <si>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</si>
  <si>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</si>
  <si>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</si>
  <si>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</si>
  <si>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</si>
  <si>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</si>
  <si>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</si>
  <si>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</si>
  <si>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</si>
  <si>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</si>
  <si>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</si>
  <si>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</si>
  <si>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</si>
  <si>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</si>
  <si>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</si>
  <si>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</si>
  <si>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</si>
  <si>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</si>
  <si>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</si>
  <si>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</si>
  <si>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</si>
  <si>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</si>
  <si>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</si>
  <si>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</si>
  <si>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</si>
  <si>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</si>
  <si>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</si>
  <si>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</si>
  <si>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</si>
  <si>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</si>
  <si>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</si>
  <si>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</si>
  <si>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</si>
  <si>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</si>
  <si>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</si>
  <si>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</si>
  <si>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</si>
  <si>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</si>
  <si>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</si>
  <si>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</si>
  <si>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</si>
  <si>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</si>
  <si>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</si>
  <si>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</si>
  <si>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</si>
  <si>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</si>
  <si>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</si>
  <si>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</si>
  <si>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</si>
  <si>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</si>
  <si>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</si>
  <si>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</si>
  <si>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</si>
  <si>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</si>
  <si>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</si>
  <si>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</si>
  <si>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</si>
  <si>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</si>
  <si>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</si>
  <si>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</si>
  <si>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</si>
  <si>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</si>
  <si>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</si>
  <si>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</si>
  <si>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</si>
  <si>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</si>
  <si>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</si>
  <si>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</si>
  <si>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</si>
  <si>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</si>
  <si>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</si>
  <si>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</si>
  <si>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</si>
  <si>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</si>
  <si>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</si>
  <si>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</si>
  <si>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</si>
  <si>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</si>
  <si>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</si>
  <si>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</si>
  <si>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</si>
  <si>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</si>
  <si>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</si>
  <si>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</si>
  <si>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</si>
  <si>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</si>
  <si>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</si>
  <si>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</si>
  <si>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</si>
  <si>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</si>
  <si>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</si>
  <si>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</si>
  <si>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</si>
  <si>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</si>
  <si>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</si>
  <si>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</si>
  <si>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</si>
  <si>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</si>
  <si>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</si>
  <si>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</si>
  <si>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</si>
  <si>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</si>
  <si>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</si>
  <si>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</si>
  <si>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</si>
  <si>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</si>
  <si>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</si>
  <si>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</si>
  <si>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</si>
  <si>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</si>
  <si>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</si>
  <si>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</si>
  <si>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</si>
  <si>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</si>
  <si>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</si>
  <si>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</si>
  <si>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</si>
  <si>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</si>
  <si>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</si>
  <si>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</si>
  <si>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</si>
  <si>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</si>
  <si>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</si>
  <si>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</si>
  <si>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</si>
  <si>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</si>
  <si>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</si>
  <si>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</si>
  <si>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</si>
  <si>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</si>
  <si>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</si>
  <si>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</si>
  <si>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</si>
  <si>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</si>
  <si>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</si>
  <si>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</si>
  <si>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</si>
  <si>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</si>
  <si>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</si>
  <si>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</si>
  <si>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</si>
  <si>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</si>
  <si>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</si>
  <si>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</si>
  <si>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</si>
  <si>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</si>
  <si>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</si>
  <si>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</si>
  <si>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</si>
  <si>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</si>
  <si>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</si>
  <si>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</si>
  <si>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</si>
  <si>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</si>
  <si>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</si>
  <si>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</si>
  <si>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</si>
  <si>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</si>
  <si>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</si>
  <si>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</si>
  <si>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</si>
  <si>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</si>
  <si>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</si>
  <si>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</si>
  <si>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</si>
  <si>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</si>
  <si>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</si>
  <si>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</si>
  <si>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</si>
  <si>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</si>
  <si>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</si>
  <si>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</si>
  <si>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</si>
  <si>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</si>
  <si>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</si>
  <si>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</si>
  <si>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</si>
  <si>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</si>
  <si>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</si>
  <si>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</si>
  <si>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</si>
  <si>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</si>
  <si>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</si>
  <si>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</si>
  <si>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</si>
  <si>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</si>
  <si>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</si>
  <si>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</si>
  <si>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</si>
  <si>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</si>
  <si>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</si>
  <si>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</si>
  <si>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</si>
  <si>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</si>
  <si>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</si>
  <si>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</si>
  <si>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</si>
  <si>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</si>
  <si>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</si>
  <si>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</si>
  <si>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</si>
  <si>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</si>
  <si>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</si>
  <si>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</si>
  <si>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</si>
  <si>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</si>
  <si>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</si>
  <si>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</si>
  <si>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</si>
  <si>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</si>
  <si>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</si>
  <si>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</si>
  <si>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</si>
  <si>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</si>
  <si>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</si>
  <si>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</si>
  <si>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</si>
  <si>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</si>
  <si>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</si>
  <si>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</si>
  <si>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</si>
  <si>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</si>
  <si>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</si>
  <si>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</si>
  <si>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</si>
  <si>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</si>
  <si>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</si>
  <si>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</si>
  <si>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</si>
  <si>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</si>
  <si>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</si>
  <si>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</si>
  <si>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</si>
  <si>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</si>
  <si>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</si>
  <si>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</si>
  <si>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</si>
  <si>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</si>
  <si>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</si>
  <si>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</si>
  <si>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</si>
  <si>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</si>
  <si>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</si>
  <si>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</si>
  <si>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</si>
  <si>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</si>
  <si>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</si>
  <si>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</si>
  <si>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</si>
  <si>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</si>
  <si>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</si>
  <si>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</si>
  <si>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</si>
  <si>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</si>
  <si>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</si>
  <si>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</si>
  <si>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</si>
  <si>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</si>
  <si>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</si>
  <si>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</si>
  <si>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</si>
  <si>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</si>
  <si>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</si>
  <si>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</si>
  <si>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</si>
  <si>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</si>
  <si>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</si>
  <si>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</si>
  <si>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</si>
  <si>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</si>
  <si>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</si>
  <si>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</si>
  <si>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</si>
  <si>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</si>
  <si>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</si>
  <si>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</si>
  <si>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</si>
  <si>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</si>
  <si>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</si>
  <si>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</si>
  <si>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</si>
  <si>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</si>
  <si>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</si>
  <si>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</si>
  <si>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</si>
  <si>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</si>
  <si>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</si>
  <si>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</si>
  <si>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</si>
  <si>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</si>
  <si>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</si>
  <si>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</si>
  <si>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</si>
  <si>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</si>
  <si>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</si>
  <si>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</si>
  <si>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</si>
  <si>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</si>
  <si>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</si>
  <si>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</si>
  <si>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</si>
  <si>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</si>
  <si>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</si>
  <si>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</si>
  <si>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</si>
  <si>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</si>
  <si>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</si>
  <si>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</si>
  <si>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</si>
  <si>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</si>
  <si>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</si>
  <si>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</si>
  <si>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</si>
  <si>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</si>
  <si>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</si>
  <si>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</si>
  <si>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</si>
  <si>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</si>
  <si>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</si>
  <si>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</si>
  <si>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</si>
  <si>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</si>
  <si>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</si>
  <si>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</si>
  <si>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</si>
  <si>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</si>
  <si>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</si>
  <si>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</si>
  <si>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</si>
  <si>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</si>
  <si>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</si>
  <si>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</si>
  <si>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</si>
  <si>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</si>
  <si>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</si>
  <si>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</si>
  <si>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</si>
  <si>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</si>
  <si>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</si>
  <si>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</si>
  <si>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</si>
  <si>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</si>
  <si>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</si>
  <si>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</si>
  <si>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</si>
  <si>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</si>
  <si>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</si>
  <si>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</si>
  <si>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</si>
  <si>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</si>
  <si>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</si>
  <si>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</si>
  <si>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</si>
  <si>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</si>
  <si>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</si>
  <si>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</si>
  <si>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</si>
  <si>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</si>
  <si>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</si>
  <si>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</si>
  <si>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</si>
  <si>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</si>
  <si>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</si>
  <si>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</si>
  <si>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</si>
  <si>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</si>
  <si>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</si>
  <si>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</si>
  <si>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</si>
  <si>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</si>
  <si>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</si>
  <si>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</si>
  <si>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</si>
  <si>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</si>
  <si>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</si>
  <si>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</si>
  <si>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</si>
  <si>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</si>
  <si>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</si>
  <si>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</si>
  <si>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</si>
  <si>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</si>
  <si>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</si>
  <si>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</si>
  <si>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</si>
  <si>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</si>
  <si>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</si>
  <si>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</si>
  <si>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</si>
  <si>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</si>
  <si>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</si>
  <si>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</si>
  <si>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</si>
  <si>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</si>
  <si>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</si>
  <si>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</si>
  <si>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</si>
  <si>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</si>
  <si>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</si>
  <si>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</si>
  <si>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</si>
  <si>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</si>
  <si>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</si>
  <si>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</si>
  <si>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</si>
  <si>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</si>
  <si>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</si>
  <si>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</si>
  <si>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</si>
  <si>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</si>
  <si>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</si>
  <si>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</si>
  <si>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</si>
  <si>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</si>
  <si>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</si>
  <si>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</si>
  <si>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</si>
  <si>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</si>
  <si>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</si>
  <si>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</si>
  <si>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</si>
  <si>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</si>
  <si>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</si>
  <si>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</si>
  <si>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</si>
  <si>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</si>
  <si>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</si>
  <si>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</si>
  <si>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</si>
  <si>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</si>
  <si>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</si>
  <si>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</si>
  <si>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</si>
  <si>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</si>
  <si>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</si>
  <si>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</si>
  <si>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</si>
  <si>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</si>
  <si>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</si>
  <si>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</si>
  <si>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</si>
  <si>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</si>
  <si>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</si>
  <si>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</si>
  <si>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</si>
  <si>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</si>
  <si>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</si>
  <si>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</si>
  <si>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</si>
  <si>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</si>
  <si>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</si>
  <si>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</si>
  <si>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</si>
  <si>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</si>
  <si>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</si>
  <si>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</si>
  <si>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</si>
  <si>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</si>
  <si>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</si>
  <si>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</si>
  <si>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</si>
  <si>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</si>
  <si>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</si>
  <si>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</si>
  <si>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</si>
  <si>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</si>
  <si>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</si>
  <si>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</si>
  <si>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</si>
  <si>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</si>
  <si>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</si>
  <si>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</si>
  <si>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</si>
  <si>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</si>
  <si>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</si>
  <si>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</si>
  <si>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</si>
  <si>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</si>
  <si>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</si>
  <si>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</si>
  <si>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</si>
  <si>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</si>
  <si>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</si>
  <si>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</si>
  <si>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</si>
  <si>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</si>
  <si>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</si>
  <si>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</si>
  <si>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</si>
  <si>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</si>
  <si>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</si>
  <si>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</si>
  <si>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</si>
  <si>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</si>
  <si>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</si>
  <si>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</si>
  <si>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</si>
  <si>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</si>
  <si>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</si>
  <si>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</si>
  <si>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</si>
  <si>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</si>
  <si>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</si>
  <si>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</si>
  <si>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</si>
  <si>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</si>
  <si>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</si>
  <si>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</si>
  <si>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</si>
  <si>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</si>
  <si>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</si>
  <si>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</si>
  <si>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</si>
  <si>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</si>
  <si>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</si>
  <si>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</si>
  <si>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</si>
  <si>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</si>
  <si>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</si>
  <si>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</si>
  <si>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</si>
  <si>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</si>
  <si>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</si>
  <si>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</si>
  <si>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</si>
  <si>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</si>
  <si>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</si>
  <si>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</si>
  <si>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</si>
  <si>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</si>
  <si>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</si>
  <si>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</si>
  <si>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</si>
  <si>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</si>
  <si>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</si>
  <si>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</si>
  <si>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</si>
  <si>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</si>
  <si>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</si>
  <si>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</si>
  <si>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</si>
  <si>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</si>
  <si>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</si>
  <si>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</si>
  <si>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</si>
  <si>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</si>
  <si>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</si>
  <si>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</si>
  <si>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</si>
  <si>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</si>
  <si>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</si>
  <si>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</si>
  <si>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</si>
  <si>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</si>
  <si>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</si>
  <si>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</si>
  <si>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</si>
  <si>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</si>
  <si>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</si>
  <si>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</si>
  <si>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</si>
  <si>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</si>
  <si>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</si>
  <si>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</si>
  <si>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</si>
  <si>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</si>
  <si>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</si>
  <si>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</si>
  <si>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</si>
  <si>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</si>
  <si>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</si>
  <si>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</si>
  <si>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</si>
  <si>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</si>
  <si>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</si>
  <si>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</si>
  <si>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</si>
  <si>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</si>
  <si>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</si>
  <si>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</si>
  <si>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</si>
  <si>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</si>
  <si>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</si>
  <si>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</si>
  <si>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</si>
  <si>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</si>
  <si>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</si>
  <si>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</si>
  <si>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</si>
  <si>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</si>
  <si>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</si>
  <si>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</si>
  <si>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</si>
  <si>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</si>
  <si>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</si>
  <si>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</si>
  <si>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</si>
  <si>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</si>
  <si>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</si>
  <si>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</si>
  <si>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</si>
  <si>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</si>
  <si>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</si>
  <si>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</si>
  <si>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</si>
  <si>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</si>
  <si>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</si>
  <si>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</si>
  <si>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</si>
  <si>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</si>
  <si>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</si>
  <si>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</si>
  <si>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</si>
  <si>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</si>
  <si>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</si>
  <si>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</si>
  <si>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</si>
  <si>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</si>
  <si>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</si>
  <si>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</si>
  <si>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</si>
  <si>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</si>
  <si>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</si>
  <si>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</si>
  <si>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</si>
  <si>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</si>
  <si>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</si>
  <si>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</si>
  <si>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</si>
  <si>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</si>
  <si>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</si>
  <si>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</si>
  <si>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</si>
  <si>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</si>
  <si>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</si>
  <si>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</si>
  <si>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</si>
  <si>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</si>
  <si>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</si>
  <si>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</si>
  <si>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</si>
  <si>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</si>
  <si>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</si>
  <si>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</si>
  <si>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</si>
  <si>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</si>
  <si>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</si>
  <si>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</si>
  <si>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</si>
  <si>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</si>
  <si>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</si>
  <si>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</si>
  <si>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</si>
  <si>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</si>
  <si>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</si>
  <si>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</si>
  <si>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</si>
  <si>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</si>
  <si>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</si>
  <si>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</si>
  <si>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</si>
  <si>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</si>
  <si>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</si>
  <si>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</si>
  <si>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</si>
  <si>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</si>
  <si>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</si>
  <si>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</si>
  <si>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</si>
  <si>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</si>
  <si>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</si>
  <si>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</si>
  <si>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</si>
  <si>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</si>
  <si>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</si>
  <si>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</si>
  <si>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</si>
  <si>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</si>
  <si>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</si>
  <si>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</si>
  <si>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</si>
  <si>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</si>
  <si>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</si>
  <si>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</si>
  <si>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</si>
  <si>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</si>
  <si>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</si>
  <si>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</si>
  <si>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</si>
  <si>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</si>
  <si>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</si>
  <si>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</si>
  <si>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</si>
  <si>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</si>
  <si>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</si>
  <si>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</si>
  <si>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</si>
  <si>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</si>
  <si>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</si>
  <si>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</si>
  <si>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</si>
  <si>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</si>
  <si>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</si>
  <si>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</si>
  <si>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</si>
  <si>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</si>
  <si>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</si>
  <si>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</si>
  <si>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</si>
  <si>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</si>
  <si>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</si>
  <si>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</si>
  <si>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</si>
  <si>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</si>
  <si>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</si>
  <si>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</si>
  <si>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</si>
  <si>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</si>
  <si>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</si>
  <si>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</si>
  <si>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</si>
  <si>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</si>
  <si>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</si>
  <si>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</si>
  <si>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</si>
  <si>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</si>
  <si>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</si>
  <si>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</si>
  <si>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</si>
  <si>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</si>
  <si>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</si>
  <si>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</si>
  <si>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</si>
  <si>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</si>
  <si>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</si>
  <si>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</si>
  <si>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</si>
  <si>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</si>
  <si>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</si>
  <si>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</si>
  <si>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</si>
  <si>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</si>
  <si>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</si>
  <si>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</si>
  <si>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</si>
  <si>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</si>
  <si>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</si>
  <si>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</si>
  <si>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</si>
  <si>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</si>
  <si>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</si>
  <si>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</si>
  <si>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</si>
  <si>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</si>
  <si>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</si>
  <si>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</si>
  <si>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</si>
  <si>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</si>
  <si>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</si>
  <si>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</si>
  <si>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</si>
  <si>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</si>
  <si>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</si>
  <si>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</si>
  <si>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</si>
  <si>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</si>
  <si>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</si>
  <si>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</si>
  <si>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</si>
  <si>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</si>
  <si>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</si>
  <si>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</si>
  <si>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</si>
  <si>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</si>
  <si>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</si>
  <si>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</si>
  <si>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</si>
  <si>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</si>
  <si>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</si>
  <si>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</si>
  <si>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</si>
  <si>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</si>
  <si>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</si>
  <si>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</si>
  <si>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</si>
  <si>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</si>
  <si>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</si>
  <si>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</si>
  <si>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</si>
  <si>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</si>
  <si>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</si>
  <si>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</si>
  <si>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</si>
  <si>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</si>
  <si>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</si>
  <si>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</si>
  <si>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</si>
  <si>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</si>
  <si>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</si>
  <si>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</si>
  <si>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</si>
  <si>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</si>
  <si>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</si>
  <si>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</si>
  <si>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</si>
  <si>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</si>
  <si>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</si>
  <si>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</si>
  <si>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</si>
  <si>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</si>
  <si>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</si>
  <si>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</si>
  <si>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</si>
  <si>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</si>
  <si>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</si>
  <si>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</si>
  <si>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</si>
  <si>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</si>
  <si>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</si>
  <si>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</si>
  <si>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</si>
  <si>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</si>
  <si>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</si>
  <si>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</si>
  <si>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</si>
  <si>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</si>
  <si>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</si>
  <si>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</si>
  <si>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</si>
  <si>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</si>
  <si>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</si>
  <si>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</si>
  <si>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</si>
  <si>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</si>
  <si>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</si>
  <si>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</si>
  <si>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</si>
  <si>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</si>
  <si>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</si>
  <si>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</si>
  <si>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</si>
  <si>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</si>
  <si>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</si>
  <si>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</si>
  <si>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</si>
  <si>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</si>
  <si>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</si>
  <si>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</si>
  <si>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</si>
  <si>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</si>
  <si>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</si>
  <si>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</si>
  <si>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</si>
  <si>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</si>
  <si>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</si>
  <si>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</si>
  <si>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</si>
  <si>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</si>
  <si>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</si>
  <si>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</si>
  <si>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</si>
  <si>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</si>
  <si>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</si>
  <si>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</si>
  <si>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</si>
  <si>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</si>
  <si>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</si>
  <si>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</si>
  <si>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</si>
  <si>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</si>
  <si>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</si>
  <si>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</si>
  <si>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</si>
  <si>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</si>
  <si>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</si>
  <si>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</si>
  <si>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</si>
  <si>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</si>
  <si>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</si>
  <si>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</si>
  <si>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</si>
  <si>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</si>
  <si>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</si>
  <si>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</si>
  <si>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</si>
  <si>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</si>
  <si>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</si>
  <si>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</si>
  <si>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</si>
  <si>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</si>
  <si>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</si>
  <si>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</si>
  <si>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</si>
  <si>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</si>
  <si>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</si>
  <si>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</si>
  <si>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</si>
  <si>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</si>
  <si>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</si>
  <si>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</si>
  <si>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</si>
  <si>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</si>
  <si>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</si>
  <si>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</si>
  <si>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</si>
  <si>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</si>
  <si>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</si>
  <si>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</si>
  <si>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</si>
  <si>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</si>
  <si>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</si>
  <si>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</si>
  <si>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</si>
  <si>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</si>
  <si>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</si>
  <si>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</si>
  <si>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</si>
  <si>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</si>
  <si>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</si>
  <si>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</si>
  <si>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</si>
  <si>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</si>
  <si>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</si>
  <si>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</si>
  <si>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</si>
  <si>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</si>
  <si>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</si>
  <si>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</si>
  <si>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</si>
  <si>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</si>
  <si>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</si>
  <si>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</si>
  <si>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</si>
  <si>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</si>
  <si>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</si>
  <si>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</si>
  <si>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</si>
  <si>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</si>
  <si>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</si>
  <si>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</si>
  <si>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</si>
  <si>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</si>
  <si>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</si>
  <si>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</si>
  <si>
    <t>较差</t>
  </si>
  <si>
    <t>估价对象所在区域公共配套设施齐备情况；基础设施水平；综合评价公用设施及基础设施水平较好</t>
    <phoneticPr fontId="34" type="noConversion"/>
  </si>
  <si>
    <t>《不动产权证书》[京（2017）怀不动产权第0014085号]</t>
    <phoneticPr fontId="6" type="noConversion"/>
  </si>
  <si>
    <t>城市支路——永昌街</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</si>
</sst>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protection locked="0"/>
    </xf>
    <xf numFmtId="0" fontId="153" fillId="16" borderId="1" xfId="0" applyFont="1" applyFill="1" applyBorder="1" applyAlignment="1" applyProtection="1">
      <alignment horizontal="center" vertical="center" wrapText="1"/>
      <protection locked="0"/>
    </xf>
    <xf numFmtId="0" fontId="140" fillId="16" borderId="1"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2789</v>
      </c>
      <c r="B1" s="3053" t="s">
        <v>2878</v>
      </c>
    </row>
    <row r="2" spans="1:2" s="3058" customFormat="1" ht="15" thickTop="1">
      <c r="A2" s="3056" t="s">
        <v>2790</v>
      </c>
      <c r="B2" s="3057" t="str">
        <f>'预评函-封皮'!B37:I37</f>
        <v>北京市怀柔区北房镇龙云路9号房地产抵押价值预评估</v>
      </c>
    </row>
    <row r="3" spans="1:2" s="3061" customFormat="1">
      <c r="A3" s="3059" t="s">
        <v>2791</v>
      </c>
      <c r="B3" s="3060" t="str">
        <f>'预评函-封皮'!B40</f>
        <v>北京联合荣大工程材料股份有限公司</v>
      </c>
    </row>
    <row r="4" spans="1:2" s="3061" customFormat="1">
      <c r="A4" s="3059" t="s">
        <v>2792</v>
      </c>
      <c r="B4" s="3060" t="str">
        <f ca="1">'预评函-封皮'!B46</f>
        <v>欧红伟（注册号：1120000080)、梁津（注册号：1119970066)</v>
      </c>
    </row>
    <row r="5" spans="1:2" s="3055" customFormat="1" ht="15" thickBot="1">
      <c r="A5" s="3062" t="s">
        <v>2793</v>
      </c>
      <c r="B5" s="3063" t="str">
        <f>'预评函-封皮'!B49</f>
        <v>康正预评字2017-1-0822-F01DYGJ1号</v>
      </c>
    </row>
    <row r="6" spans="1:2" s="3058" customFormat="1" ht="15" thickTop="1">
      <c r="A6" s="3056" t="s">
        <v>2794</v>
      </c>
      <c r="B6" s="3057" t="str">
        <f>'预评函-1'!A4</f>
        <v>受贵公司委托，我公司对北京市怀柔区北房镇龙云路9号房地产抵押价值进行了预评估。</v>
      </c>
    </row>
    <row r="7" spans="1:2" s="3061" customFormat="1">
      <c r="A7" s="3059" t="s">
        <v>2834</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2835</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2836</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2837</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2795</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2796</v>
      </c>
      <c r="B12" s="3060" t="str">
        <f>'预评函-1'!A15</f>
        <v>2017年9月4日（评估专业人员实地查勘之日）</v>
      </c>
    </row>
    <row r="13" spans="1:2" s="3061" customFormat="1">
      <c r="A13" s="3059" t="s">
        <v>2797</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2798</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2799</v>
      </c>
      <c r="B15" s="3060" t="str">
        <f>'预评函-1'!A20</f>
        <v>本次估价的“房地产抵押价值”是指估价对象在价值时点的“房地产价值”扣减估价师于价值时点所知悉的法定优先受偿款后的余额。</v>
      </c>
    </row>
    <row r="16" spans="1:2" s="3061" customFormat="1">
      <c r="A16" s="3059" t="s">
        <v>2800</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2801</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2802</v>
      </c>
      <c r="B18" s="3063" t="str">
        <f>'预评函-1'!A24</f>
        <v>本次评估采用的主估价方法为成本法和收益法。</v>
      </c>
    </row>
    <row r="19" spans="1:2" s="3058" customFormat="1" ht="15" thickTop="1">
      <c r="A19" s="3056" t="s">
        <v>2803</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2804</v>
      </c>
      <c r="B20" s="3060">
        <f ca="1">'预评函-2'!D5</f>
        <v>1695</v>
      </c>
    </row>
    <row r="21" spans="1:2" s="3061" customFormat="1">
      <c r="A21" s="3059" t="s">
        <v>2805</v>
      </c>
      <c r="B21" s="3060">
        <f ca="1">'预评函-2'!D7</f>
        <v>7973</v>
      </c>
    </row>
    <row r="22" spans="1:2" s="3061" customFormat="1">
      <c r="A22" s="3059" t="s">
        <v>2806</v>
      </c>
      <c r="B22" s="3060" t="str">
        <f ca="1">'预评函-2'!D6</f>
        <v>壹仟陆佰玖拾伍万元整</v>
      </c>
    </row>
    <row r="23" spans="1:2" s="3061" customFormat="1">
      <c r="A23" s="3059" t="s">
        <v>2866</v>
      </c>
      <c r="B23" s="3060" t="str">
        <f>'预评函-2'!B8</f>
        <v>2.估价师知悉的法定优先受偿款</v>
      </c>
    </row>
    <row r="24" spans="1:2" s="3061" customFormat="1">
      <c r="A24" s="3059" t="s">
        <v>2872</v>
      </c>
      <c r="B24" s="3060">
        <f>'预评函-2'!D8</f>
        <v>0</v>
      </c>
    </row>
    <row r="25" spans="1:2" s="3061" customFormat="1">
      <c r="A25" s="3059" t="s">
        <v>2807</v>
      </c>
      <c r="B25" s="3060" t="str">
        <f>'预评函-2'!D9</f>
        <v>零元整</v>
      </c>
    </row>
    <row r="26" spans="1:2" s="3061" customFormat="1">
      <c r="A26" s="3059" t="s">
        <v>2808</v>
      </c>
      <c r="B26" s="3060">
        <f>'预评函-2'!D10</f>
        <v>0</v>
      </c>
    </row>
    <row r="27" spans="1:2" s="3061" customFormat="1">
      <c r="A27" s="3059" t="s">
        <v>2809</v>
      </c>
      <c r="B27" s="3060">
        <f>'预评函-2'!D11</f>
        <v>0</v>
      </c>
    </row>
    <row r="28" spans="1:2" s="3061" customFormat="1">
      <c r="A28" s="3059" t="s">
        <v>2810</v>
      </c>
      <c r="B28" s="3060">
        <f>'预评函-2'!D12</f>
        <v>0</v>
      </c>
    </row>
    <row r="29" spans="1:2" s="3061" customFormat="1">
      <c r="A29" s="3059" t="s">
        <v>2870</v>
      </c>
      <c r="B29" s="3060" t="str">
        <f>'预评函-2'!B13</f>
        <v>3.房地产抵押价值</v>
      </c>
    </row>
    <row r="30" spans="1:2" s="3061" customFormat="1">
      <c r="A30" s="3059" t="s">
        <v>2871</v>
      </c>
      <c r="B30" s="3060">
        <f ca="1">'预评函-2'!D13</f>
        <v>1695</v>
      </c>
    </row>
    <row r="31" spans="1:2" s="3061" customFormat="1">
      <c r="A31" s="3059" t="s">
        <v>2845</v>
      </c>
      <c r="B31" s="3060">
        <f ca="1">'预评函-2'!D15</f>
        <v>7973</v>
      </c>
    </row>
    <row r="32" spans="1:2" s="3061" customFormat="1">
      <c r="A32" s="3059" t="s">
        <v>2811</v>
      </c>
      <c r="B32" s="3060" t="str">
        <f ca="1">'预评函-2'!D14</f>
        <v>壹仟陆佰玖拾伍万元整</v>
      </c>
    </row>
    <row r="33" spans="1:2" s="3061" customFormat="1">
      <c r="A33" s="3059" t="s">
        <v>2847</v>
      </c>
      <c r="B33" s="3060" t="str">
        <f>'预评函-2'!B16</f>
        <v>——</v>
      </c>
    </row>
    <row r="34" spans="1:2" s="3061" customFormat="1">
      <c r="A34" s="3059" t="s">
        <v>2873</v>
      </c>
      <c r="B34" s="3060" t="str">
        <f>'预评函-2'!D16</f>
        <v>——</v>
      </c>
    </row>
    <row r="35" spans="1:2" s="3061" customFormat="1">
      <c r="A35" s="3059" t="s">
        <v>2846</v>
      </c>
      <c r="B35" s="3060" t="str">
        <f>'预评函-2'!D18</f>
        <v>——</v>
      </c>
    </row>
    <row r="36" spans="1:2" s="3061" customFormat="1">
      <c r="A36" s="3059" t="s">
        <v>2812</v>
      </c>
      <c r="B36" s="3060" t="e">
        <f>'预评函-2'!D17</f>
        <v>#VALUE!</v>
      </c>
    </row>
    <row r="37" spans="1:2" s="3061" customFormat="1">
      <c r="A37" s="3059" t="s">
        <v>2848</v>
      </c>
      <c r="B37" s="3060" t="str">
        <f>'预评函-2'!B19</f>
        <v>——</v>
      </c>
    </row>
    <row r="38" spans="1:2" s="3061" customFormat="1">
      <c r="A38" s="3059" t="s">
        <v>2874</v>
      </c>
      <c r="B38" s="3060" t="str">
        <f>'预评函-2'!D19</f>
        <v>——</v>
      </c>
    </row>
    <row r="39" spans="1:2" s="3061" customFormat="1">
      <c r="A39" s="3059" t="s">
        <v>2813</v>
      </c>
      <c r="B39" s="3060" t="str">
        <f>'预评函-2'!D21</f>
        <v>——</v>
      </c>
    </row>
    <row r="40" spans="1:2" s="3061" customFormat="1">
      <c r="A40" s="3059" t="s">
        <v>2814</v>
      </c>
      <c r="B40" s="3060" t="e">
        <f>'预评函-2'!D20</f>
        <v>#VALUE!</v>
      </c>
    </row>
    <row r="41" spans="1:2" s="3061" customFormat="1">
      <c r="A41" s="3059" t="s">
        <v>2869</v>
      </c>
      <c r="B41" s="3060" t="str">
        <f>'预评函-3'!A4</f>
        <v>北京市怀柔区北房镇龙云路9号房地产</v>
      </c>
    </row>
    <row r="42" spans="1:2" s="3061" customFormat="1">
      <c r="A42" s="3059" t="s">
        <v>2867</v>
      </c>
      <c r="B42" s="3060" t="str">
        <f>'预评函-3'!B2</f>
        <v>建筑面积</v>
      </c>
    </row>
    <row r="43" spans="1:2" s="3061" customFormat="1">
      <c r="A43" s="3059" t="s">
        <v>2868</v>
      </c>
      <c r="B43" s="3060">
        <f>'预评函-3'!B4</f>
        <v>2125.98</v>
      </c>
    </row>
    <row r="44" spans="1:2" s="3061" customFormat="1">
      <c r="A44" s="3059" t="s">
        <v>2844</v>
      </c>
      <c r="B44" s="3060" t="str">
        <f>'预评函-3'!C2</f>
        <v>(分摊)土地面积</v>
      </c>
    </row>
    <row r="45" spans="1:2" s="3061" customFormat="1">
      <c r="A45" s="3059" t="s">
        <v>2815</v>
      </c>
      <c r="B45" s="3060">
        <f>'预评函-3'!C4</f>
        <v>9270.09</v>
      </c>
    </row>
    <row r="46" spans="1:2" s="3061" customFormat="1">
      <c r="A46" s="3059" t="s">
        <v>2842</v>
      </c>
      <c r="B46" s="3060" t="str">
        <f>'预评函-3'!D2</f>
        <v>出让国有建设用地使用权价值</v>
      </c>
    </row>
    <row r="47" spans="1:2" s="3061" customFormat="1">
      <c r="A47" s="3059" t="s">
        <v>2816</v>
      </c>
      <c r="B47" s="3060">
        <f ca="1">'预评函-3'!D4</f>
        <v>1205</v>
      </c>
    </row>
    <row r="48" spans="1:2" s="3061" customFormat="1">
      <c r="A48" s="3059" t="s">
        <v>2817</v>
      </c>
      <c r="B48" s="3060">
        <f ca="1">'预评函-3'!E4</f>
        <v>5668</v>
      </c>
    </row>
    <row r="49" spans="1:2" s="3061" customFormat="1">
      <c r="A49" s="3059" t="s">
        <v>2818</v>
      </c>
      <c r="B49" s="3060" t="str">
        <f ca="1">'预评函-3'!D5</f>
        <v>壹仟贰佰零伍万元整</v>
      </c>
    </row>
    <row r="50" spans="1:2" s="3061" customFormat="1">
      <c r="A50" s="3059" t="s">
        <v>2843</v>
      </c>
      <c r="B50" s="3060" t="str">
        <f>'预评函-3'!F2</f>
        <v>在建建筑物价值</v>
      </c>
    </row>
    <row r="51" spans="1:2" s="3061" customFormat="1">
      <c r="A51" s="3059" t="s">
        <v>2819</v>
      </c>
      <c r="B51" s="3060">
        <f ca="1">'预评函-3'!F4</f>
        <v>490</v>
      </c>
    </row>
    <row r="52" spans="1:2" s="3061" customFormat="1">
      <c r="A52" s="3059" t="s">
        <v>2820</v>
      </c>
      <c r="B52" s="3060">
        <f ca="1">'预评函-3'!G4</f>
        <v>2305</v>
      </c>
    </row>
    <row r="53" spans="1:2" s="3061" customFormat="1">
      <c r="A53" s="3059" t="s">
        <v>2849</v>
      </c>
      <c r="B53" s="3060" t="str">
        <f ca="1">'预评函-3'!F5</f>
        <v>肆佰玖拾万元整</v>
      </c>
    </row>
    <row r="54" spans="1:2" s="3061" customFormat="1">
      <c r="A54" s="3059" t="s">
        <v>2876</v>
      </c>
      <c r="B54" s="3060" t="str">
        <f>'预评函-3'!A8</f>
        <v>房地产抵押价值</v>
      </c>
    </row>
    <row r="55" spans="1:2" s="3061" customFormat="1">
      <c r="A55" s="3059" t="s">
        <v>2850</v>
      </c>
      <c r="B55" s="3060" t="str">
        <f>'预评函-3'!A10</f>
        <v/>
      </c>
    </row>
    <row r="56" spans="1:2" s="3061" customFormat="1">
      <c r="A56" s="3059" t="s">
        <v>2851</v>
      </c>
      <c r="B56" s="3060" t="str">
        <f>'预评函-3'!A12</f>
        <v/>
      </c>
    </row>
    <row r="57" spans="1:2" s="3055" customFormat="1" ht="15" thickBot="1">
      <c r="A57" s="3062" t="s">
        <v>2877</v>
      </c>
      <c r="B57" s="3063" t="str">
        <f>'预评函-3'!A6</f>
        <v>估价师知悉的法定优先受偿款</v>
      </c>
    </row>
    <row r="58" spans="1:2" s="3058" customFormat="1" ht="15" thickTop="1">
      <c r="A58" s="3056" t="s">
        <v>2821</v>
      </c>
      <c r="B58" s="3057" t="str">
        <f>'预评函-4'!A12</f>
        <v>2.本《评估意见函》仅供金融机构进行内部审核使用，不做其他目的之用。</v>
      </c>
    </row>
    <row r="59" spans="1:2" s="3061" customFormat="1">
      <c r="A59" s="3059" t="s">
        <v>2822</v>
      </c>
      <c r="B59" s="3060" t="str">
        <f>'预评函-4'!A13</f>
        <v>3.抵押双方在办理抵押登记手续时，应使用本公司出具的正式《房地产评估报告》，特提醒报告使用者注意。</v>
      </c>
    </row>
    <row r="60" spans="1:2" s="3061" customFormat="1">
      <c r="A60" s="3059" t="s">
        <v>2823</v>
      </c>
      <c r="B60" s="3060" t="str">
        <f>'预评函-4'!A14</f>
        <v>4.本次评估估价师所知悉的法定优先受偿款情况说明如下：</v>
      </c>
    </row>
    <row r="61" spans="1:2" s="3061" customFormat="1">
      <c r="A61" s="3059" t="s">
        <v>2824</v>
      </c>
      <c r="B61" s="3060" t="str">
        <f>'预评函-4'!A15</f>
        <v>（1）根据估价对象《不动产权证书》复印件，截至价值时点，估价对象抵押权未见登记。</v>
      </c>
    </row>
    <row r="62" spans="1:2" s="3061" customFormat="1">
      <c r="A62" s="3059" t="s">
        <v>2825</v>
      </c>
      <c r="B62" s="3060" t="str">
        <f>'预评函-4'!A16</f>
        <v>（2）根据《工程款支付情况说明》，截至价值时点，估价对象不存在应付未付工程款项。（只要没有施工方盖章的，均“设定”进行表述）</v>
      </c>
    </row>
    <row r="63" spans="1:2" s="3061" customFormat="1">
      <c r="A63" s="3059" t="s">
        <v>2826</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2838</v>
      </c>
      <c r="B64" s="3060" t="str">
        <f>'预评函-4'!A18</f>
        <v>故，本次评估不存在估价师知悉的法定优先受偿款</v>
      </c>
    </row>
    <row r="65" spans="1:2" s="3061" customFormat="1">
      <c r="A65" s="3059" t="s">
        <v>2827</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2828</v>
      </c>
      <c r="B66" s="3060" t="str">
        <f>'预评函-4'!A20</f>
        <v>——</v>
      </c>
    </row>
    <row r="67" spans="1:2" s="3061" customFormat="1">
      <c r="A67" s="3059" t="s">
        <v>2839</v>
      </c>
      <c r="B67" s="3060" t="str">
        <f>'预评函-4'!A21</f>
        <v>——</v>
      </c>
    </row>
    <row r="68" spans="1:2" s="3061" customFormat="1">
      <c r="A68" s="3059" t="s">
        <v>2840</v>
      </c>
      <c r="B68" s="3060" t="str">
        <f>'预评函-4'!A22</f>
        <v>8.其他需特殊说明事项：无（注意调整序号）</v>
      </c>
    </row>
    <row r="69" spans="1:2" s="3055" customFormat="1" ht="15" thickBot="1">
      <c r="A69" s="3062" t="s">
        <v>2829</v>
      </c>
      <c r="B69" s="3064">
        <f>'预评函-4'!C31</f>
        <v>42551</v>
      </c>
    </row>
    <row r="70" spans="1:2" ht="15" thickTop="1">
      <c r="A70" s="3065" t="s">
        <v>2830</v>
      </c>
      <c r="B70" s="3066" t="str">
        <f>'预评函-4'!A4</f>
        <v>欧红伟</v>
      </c>
    </row>
    <row r="71" spans="1:2">
      <c r="A71" s="3059" t="s">
        <v>2831</v>
      </c>
      <c r="B71" s="3060">
        <f ca="1">'预评函-4'!B4</f>
        <v>1120000080</v>
      </c>
    </row>
    <row r="72" spans="1:2">
      <c r="A72" s="3059" t="s">
        <v>2832</v>
      </c>
      <c r="B72" s="3068" t="str">
        <f>'预评函-4'!A5</f>
        <v>梁津</v>
      </c>
    </row>
    <row r="73" spans="1:2" s="3055" customFormat="1" ht="15" thickBot="1">
      <c r="A73" s="3062" t="s">
        <v>2833</v>
      </c>
      <c r="B73" s="3063">
        <f ca="1">'预评函-4'!B5</f>
        <v>1119970066</v>
      </c>
    </row>
    <row r="74" spans="1:2" ht="15" thickTop="1">
      <c r="A74" s="3052" t="s">
        <v>2894</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2634</v>
      </c>
      <c r="R1" s="1486" t="s">
        <v>2624</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2628</v>
      </c>
      <c r="S2" s="292" t="s">
        <v>232</v>
      </c>
      <c r="T2" s="292" t="s">
        <v>233</v>
      </c>
      <c r="U2" s="292" t="s">
        <v>232</v>
      </c>
      <c r="V2" s="292" t="s">
        <v>234</v>
      </c>
      <c r="W2" s="292" t="s">
        <v>232</v>
      </c>
    </row>
    <row r="3" spans="1:23">
      <c r="A3" s="2796" t="s">
        <v>579</v>
      </c>
      <c r="B3" s="2797" t="s">
        <v>2670</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2626</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2629</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2630</v>
      </c>
      <c r="S5" s="292" t="s">
        <v>248</v>
      </c>
      <c r="T5" s="292" t="s">
        <v>249</v>
      </c>
      <c r="U5" s="292" t="s">
        <v>248</v>
      </c>
      <c r="W5" s="292" t="s">
        <v>248</v>
      </c>
    </row>
    <row r="6" spans="1:23">
      <c r="A6" s="2796" t="s">
        <v>585</v>
      </c>
      <c r="B6" s="2797" t="s">
        <v>2671</v>
      </c>
      <c r="C6" s="1771" t="s">
        <v>163</v>
      </c>
      <c r="F6" s="292" t="s">
        <v>250</v>
      </c>
      <c r="H6" s="292" t="s">
        <v>251</v>
      </c>
      <c r="I6" s="292" t="s">
        <v>252</v>
      </c>
      <c r="K6" s="292" t="s">
        <v>253</v>
      </c>
      <c r="L6" s="292" t="s">
        <v>253</v>
      </c>
      <c r="M6" s="292" t="s">
        <v>253</v>
      </c>
      <c r="N6" s="292" t="s">
        <v>253</v>
      </c>
      <c r="O6" s="292" t="s">
        <v>253</v>
      </c>
      <c r="P6" s="292" t="s">
        <v>253</v>
      </c>
      <c r="Q6" s="292" t="s">
        <v>253</v>
      </c>
      <c r="R6" s="2762" t="s">
        <v>2631</v>
      </c>
      <c r="S6" s="292" t="s">
        <v>253</v>
      </c>
      <c r="T6" s="292"/>
      <c r="U6" s="292" t="s">
        <v>253</v>
      </c>
      <c r="W6" s="292" t="s">
        <v>253</v>
      </c>
    </row>
    <row r="7" spans="1:23">
      <c r="A7" s="2796" t="s">
        <v>587</v>
      </c>
      <c r="B7" s="2797" t="s">
        <v>2672</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2857</v>
      </c>
    </row>
    <row r="52" spans="1:4">
      <c r="A52" s="1951" t="s">
        <v>2013</v>
      </c>
      <c r="B52" s="1951" t="s">
        <v>2014</v>
      </c>
      <c r="C52" s="1161" t="s">
        <v>2015</v>
      </c>
      <c r="D52" s="1161" t="s">
        <v>2016</v>
      </c>
    </row>
    <row r="53" spans="1:4">
      <c r="A53" s="3411"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11"/>
      <c r="B54" s="2094" t="s">
        <v>2019</v>
      </c>
      <c r="C54" s="1161" t="s">
        <v>2854</v>
      </c>
    </row>
    <row r="55" spans="1:4">
      <c r="A55" s="3411"/>
      <c r="B55" s="2094" t="s">
        <v>2020</v>
      </c>
      <c r="C55" s="1161" t="s">
        <v>2855</v>
      </c>
    </row>
    <row r="56" spans="1:4">
      <c r="A56" s="3411"/>
      <c r="B56" s="2094" t="s">
        <v>2021</v>
      </c>
      <c r="C56" s="1161" t="s">
        <v>2865</v>
      </c>
    </row>
    <row r="57" spans="1:4">
      <c r="A57" s="3411"/>
      <c r="B57" s="2094" t="s">
        <v>2022</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I24" sqref="I2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420" t="str">
        <f>IF(B10="北京市","北京市",C10)&amp;F10&amp;IF(结果表!G1="在建","出让国有建设用地使用权及在建建筑物",IF(结果表!G1="土地","出让国有建设用地使用权",))&amp;B9&amp;"预评估"</f>
        <v>北京市怀柔区北房镇龙云路9号房地产抵押价值预评估</v>
      </c>
      <c r="C1" s="3421"/>
      <c r="D1" s="3421"/>
      <c r="E1" s="3421"/>
      <c r="F1" s="3421"/>
      <c r="G1" s="3421"/>
      <c r="H1" s="3421"/>
      <c r="I1" s="3422"/>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3100</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3054</v>
      </c>
      <c r="C4" s="1926">
        <f ca="1">SUMIF(注册房地产估价师,B4,估价师及机构信息!B3:B24)</f>
        <v>1120000080</v>
      </c>
      <c r="D4" s="1925" t="s">
        <v>3053</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3103</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3055</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2860</v>
      </c>
      <c r="B7" s="3287" t="s">
        <v>3103</v>
      </c>
      <c r="C7" s="2041"/>
      <c r="D7" s="2002"/>
      <c r="E7" s="1998"/>
      <c r="F7" s="2000"/>
      <c r="G7" s="2000"/>
      <c r="H7" s="2000"/>
      <c r="I7" s="2000"/>
      <c r="J7" s="2000"/>
      <c r="K7" s="2103"/>
      <c r="L7" s="1996"/>
      <c r="M7" s="1996"/>
      <c r="N7" s="1196"/>
      <c r="O7" s="11"/>
      <c r="P7" s="1196"/>
      <c r="Q7" s="1196"/>
      <c r="R7" s="1196"/>
    </row>
    <row r="8" spans="1:19" ht="18" customHeight="1">
      <c r="A8" s="1929" t="s">
        <v>1955</v>
      </c>
      <c r="B8" s="2034" t="s">
        <v>3056</v>
      </c>
      <c r="C8" s="2003"/>
      <c r="D8" s="3423" t="s">
        <v>2012</v>
      </c>
      <c r="E8" s="2035" t="s">
        <v>3057</v>
      </c>
      <c r="F8" s="2036"/>
      <c r="G8" s="1995"/>
      <c r="H8" s="1995"/>
      <c r="I8" s="1995"/>
      <c r="J8" s="2000"/>
      <c r="K8" s="2102"/>
      <c r="L8" s="1996"/>
      <c r="M8" s="1996"/>
      <c r="N8" s="1196"/>
      <c r="O8" s="11"/>
      <c r="P8" s="1196"/>
      <c r="Q8" s="1196"/>
      <c r="R8" s="1196"/>
    </row>
    <row r="9" spans="1:19" ht="18" customHeight="1" thickBot="1">
      <c r="A9" s="1954" t="s">
        <v>1956</v>
      </c>
      <c r="B9" s="1955" t="s">
        <v>3057</v>
      </c>
      <c r="C9" s="2004"/>
      <c r="D9" s="3424"/>
      <c r="E9" s="1955"/>
      <c r="F9" s="2888"/>
      <c r="G9" s="1999"/>
      <c r="H9" s="1999"/>
      <c r="I9" s="1999"/>
      <c r="J9" s="2000"/>
      <c r="K9" s="2103"/>
      <c r="L9" s="1996"/>
      <c r="M9" s="1996"/>
      <c r="N9" s="1196"/>
      <c r="O9" s="11"/>
      <c r="P9" s="1196"/>
      <c r="Q9" s="1196"/>
      <c r="R9" s="1196"/>
    </row>
    <row r="10" spans="1:19" ht="18" customHeight="1" thickTop="1">
      <c r="A10" s="2009" t="s">
        <v>2058</v>
      </c>
      <c r="B10" s="2055" t="s">
        <v>3058</v>
      </c>
      <c r="C10" s="2037"/>
      <c r="D10" s="2001"/>
      <c r="E10" s="1939" t="s">
        <v>1957</v>
      </c>
      <c r="F10" s="1952" t="s">
        <v>3059</v>
      </c>
      <c r="G10" s="2886"/>
      <c r="H10" s="2887"/>
      <c r="I10" s="2001"/>
      <c r="J10" s="2000"/>
      <c r="K10" s="2103"/>
      <c r="L10" s="1996"/>
      <c r="M10" s="1996"/>
      <c r="N10" s="1196"/>
      <c r="O10" s="11"/>
      <c r="P10" s="1196"/>
      <c r="Q10" s="1196"/>
      <c r="R10" s="1196"/>
    </row>
    <row r="11" spans="1:19" ht="18" customHeight="1">
      <c r="A11" s="1958" t="s">
        <v>2059</v>
      </c>
      <c r="B11" s="2054" t="s">
        <v>3060</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2697</v>
      </c>
      <c r="F12" s="2024" t="s">
        <v>2698</v>
      </c>
      <c r="G12" s="2024" t="s">
        <v>2699</v>
      </c>
      <c r="H12" s="2024" t="s">
        <v>2700</v>
      </c>
      <c r="I12" s="2024" t="s">
        <v>2701</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30" t="s">
        <v>3061</v>
      </c>
      <c r="C16" s="3431"/>
      <c r="D16" s="3432"/>
      <c r="E16" s="1956" t="s">
        <v>2024</v>
      </c>
      <c r="F16" s="3433">
        <v>31.32</v>
      </c>
      <c r="G16" s="3434"/>
      <c r="H16" s="3434"/>
      <c r="I16" s="3435"/>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36" t="s">
        <v>3109</v>
      </c>
      <c r="F17" s="3437"/>
      <c r="G17" s="3437"/>
      <c r="H17" s="3437"/>
      <c r="I17" s="3438"/>
      <c r="J17" s="1196"/>
      <c r="K17" s="2695"/>
      <c r="L17" s="1230"/>
      <c r="M17" s="1230"/>
      <c r="N17" s="2020"/>
      <c r="O17" s="1230"/>
      <c r="P17" s="2020"/>
      <c r="Q17" s="1196"/>
      <c r="R17" s="1196"/>
      <c r="S17" s="1196"/>
      <c r="T17" s="1196"/>
      <c r="U17" s="1196"/>
      <c r="V17" s="1196"/>
    </row>
    <row r="18" spans="1:22" ht="36" customHeight="1" thickBot="1">
      <c r="A18" s="2894" t="s">
        <v>2693</v>
      </c>
      <c r="B18" s="1924" t="s">
        <v>1961</v>
      </c>
      <c r="C18" s="2895">
        <f>'数据-汇总表'!D3</f>
        <v>9270.09</v>
      </c>
      <c r="D18" s="2896" t="s">
        <v>1960</v>
      </c>
      <c r="E18" s="3439" t="s">
        <v>3062</v>
      </c>
      <c r="F18" s="3440"/>
      <c r="G18" s="3440"/>
      <c r="H18" s="3440"/>
      <c r="I18" s="3441"/>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26" t="s">
        <v>2047</v>
      </c>
      <c r="C20" s="3427"/>
      <c r="D20" s="3428" t="s">
        <v>2048</v>
      </c>
      <c r="E20" s="3429"/>
      <c r="F20" s="2068" t="s">
        <v>2049</v>
      </c>
      <c r="G20" s="2000"/>
      <c r="H20" s="2000"/>
      <c r="I20" s="2000"/>
      <c r="J20" s="2000"/>
      <c r="K20" s="3425"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3063</v>
      </c>
      <c r="C21" s="2032" t="s">
        <v>2050</v>
      </c>
      <c r="D21" s="1989" t="s">
        <v>2051</v>
      </c>
      <c r="E21" s="2033" t="s">
        <v>531</v>
      </c>
      <c r="F21" s="1978"/>
      <c r="G21" s="2000"/>
      <c r="H21" s="2000"/>
      <c r="I21" s="2000"/>
      <c r="J21" s="2000"/>
      <c r="K21" s="342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2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13" t="s">
        <v>2060</v>
      </c>
      <c r="B27" s="2009" t="s">
        <v>2061</v>
      </c>
      <c r="C27" s="1930" t="s">
        <v>3064</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13"/>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13"/>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14"/>
      <c r="B30" s="1940" t="s">
        <v>2064</v>
      </c>
      <c r="C30" s="3415"/>
      <c r="D30" s="3416"/>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17" t="s">
        <v>2065</v>
      </c>
      <c r="B31" s="1936" t="s">
        <v>3065</v>
      </c>
      <c r="C31" s="1937" t="str">
        <f>IF(B31="现房","成新及维护状况正常否",IF(B31="在建","工程状态是否正常",IF(B31="土地","是否闲置","-")))</f>
        <v>成新及维护状况正常否</v>
      </c>
      <c r="D31" s="2010"/>
      <c r="E31" s="1938" t="s">
        <v>3066</v>
      </c>
      <c r="F31" s="2000"/>
      <c r="G31" s="2000"/>
      <c r="H31" s="2000"/>
      <c r="I31" s="2000"/>
      <c r="J31" s="2000"/>
      <c r="K31" s="2107"/>
      <c r="L31" s="1996"/>
      <c r="M31" s="1996"/>
      <c r="N31" s="1196"/>
      <c r="O31" s="11"/>
      <c r="P31" s="1196"/>
      <c r="Q31" s="1196"/>
      <c r="R31" s="1196"/>
      <c r="S31" s="1196"/>
      <c r="T31" s="1196"/>
      <c r="U31" s="1196"/>
      <c r="V31" s="1196"/>
    </row>
    <row r="32" spans="1:22" ht="18" customHeight="1">
      <c r="A32" s="341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1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3067</v>
      </c>
      <c r="C34" s="1960" t="s">
        <v>3068</v>
      </c>
      <c r="D34" s="1960" t="s">
        <v>3069</v>
      </c>
      <c r="E34" s="1960" t="s">
        <v>3070</v>
      </c>
      <c r="F34" s="1960" t="s">
        <v>3071</v>
      </c>
      <c r="G34" s="1960" t="s">
        <v>3072</v>
      </c>
      <c r="H34" s="1960" t="s">
        <v>531</v>
      </c>
      <c r="I34" s="2000"/>
      <c r="J34" s="2000"/>
      <c r="K34" s="2883">
        <f>COUNTIF(B34:H34,"——")</f>
        <v>1</v>
      </c>
      <c r="L34" s="2012" t="s">
        <v>2094</v>
      </c>
      <c r="M34" s="2012" t="s">
        <v>2095</v>
      </c>
      <c r="N34" s="2012" t="s">
        <v>2096</v>
      </c>
      <c r="O34" s="2012" t="s">
        <v>2097</v>
      </c>
      <c r="P34" s="2012" t="s">
        <v>2098</v>
      </c>
      <c r="Q34" s="2012" t="s">
        <v>2099</v>
      </c>
      <c r="R34" s="2012" t="s">
        <v>2100</v>
      </c>
      <c r="S34" s="3412" t="s">
        <v>2101</v>
      </c>
      <c r="T34" s="2013" t="str">
        <f>NUMBERSTRING(7-K34,1)&amp;"通"</f>
        <v>六通</v>
      </c>
      <c r="U34" s="1196"/>
      <c r="V34" s="1196"/>
    </row>
    <row r="35" spans="1:22" ht="18" customHeight="1">
      <c r="A35" s="2014"/>
      <c r="B35" s="3419" t="s">
        <v>1874</v>
      </c>
      <c r="C35" s="3419"/>
      <c r="D35" s="3419"/>
      <c r="E35" s="3419"/>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12"/>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3073</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3019</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2401</v>
      </c>
      <c r="AZ2" s="2519" t="s">
        <v>2402</v>
      </c>
      <c r="BA2" s="2520"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2390</v>
      </c>
      <c r="AE11" s="2490"/>
      <c r="AF11" s="2511" t="s">
        <v>2390</v>
      </c>
      <c r="AG11" s="2490"/>
      <c r="AH11" s="2511" t="s">
        <v>2391</v>
      </c>
      <c r="AI11" s="2512"/>
      <c r="AJ11" s="2511" t="s">
        <v>2391</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3075</v>
      </c>
      <c r="D13" s="217" t="s">
        <v>3076</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5" t="s">
        <v>2</v>
      </c>
      <c r="B1" s="3385" t="s">
        <v>37</v>
      </c>
      <c r="C1" s="3385" t="s">
        <v>38</v>
      </c>
      <c r="D1" s="3442" t="s">
        <v>200</v>
      </c>
      <c r="E1" s="3442" t="s">
        <v>201</v>
      </c>
      <c r="F1" s="3442"/>
      <c r="G1" s="3442"/>
      <c r="H1" s="3442"/>
      <c r="I1" s="3442"/>
      <c r="J1" s="3442"/>
      <c r="K1" s="3442"/>
      <c r="L1" s="3442"/>
      <c r="M1" s="3442"/>
    </row>
    <row r="2" spans="1:13" ht="27" customHeight="1">
      <c r="A2" s="3385"/>
      <c r="B2" s="3385"/>
      <c r="C2" s="3385"/>
      <c r="D2" s="3442"/>
      <c r="E2" s="3442" t="s">
        <v>184</v>
      </c>
      <c r="F2" s="3442" t="s">
        <v>185</v>
      </c>
      <c r="G2" s="3442"/>
      <c r="H2" s="3442"/>
      <c r="I2" s="3442"/>
      <c r="J2" s="3442" t="s">
        <v>186</v>
      </c>
      <c r="K2" s="3442"/>
      <c r="L2" s="3442"/>
      <c r="M2" s="3442"/>
    </row>
    <row r="3" spans="1:13" ht="28.5">
      <c r="A3" s="3385"/>
      <c r="B3" s="3385"/>
      <c r="C3" s="3385"/>
      <c r="D3" s="3442"/>
      <c r="E3" s="344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202</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E39" sqref="E39"/>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52" t="s">
        <v>644</v>
      </c>
      <c r="B2" s="3452"/>
      <c r="C2" s="3452"/>
      <c r="D2" s="2208" t="s">
        <v>645</v>
      </c>
      <c r="E2" s="19" t="s">
        <v>646</v>
      </c>
      <c r="F2" s="2224"/>
      <c r="G2" s="1179"/>
      <c r="H2" s="1180"/>
      <c r="I2" s="2216" t="s">
        <v>647</v>
      </c>
      <c r="J2" s="2224"/>
      <c r="K2" s="2224"/>
      <c r="L2" s="2224"/>
      <c r="M2" s="2224"/>
      <c r="N2" s="2233"/>
      <c r="O2" s="2224"/>
      <c r="P2" s="2224"/>
    </row>
    <row r="3" spans="1:16" ht="15.75" thickBot="1">
      <c r="A3" s="3453" t="s">
        <v>648</v>
      </c>
      <c r="B3" s="3453"/>
      <c r="C3" s="3453"/>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54"/>
      <c r="B4" s="3455"/>
      <c r="C4" s="3456"/>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57" t="s">
        <v>652</v>
      </c>
      <c r="C5" s="3457"/>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57" t="s">
        <v>653</v>
      </c>
      <c r="C6" s="3457"/>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49"/>
      <c r="B7" s="3450"/>
      <c r="C7" s="3451"/>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2392</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46" t="s">
        <v>534</v>
      </c>
      <c r="L16" s="3447"/>
      <c r="M16" s="3447"/>
      <c r="N16" s="3447"/>
      <c r="O16" s="3447"/>
      <c r="P16" s="3448"/>
    </row>
    <row r="17" spans="1:19" ht="14.25">
      <c r="A17" s="29" t="s">
        <v>664</v>
      </c>
      <c r="B17" s="30" t="s">
        <v>665</v>
      </c>
      <c r="C17" s="34" t="s">
        <v>2383</v>
      </c>
      <c r="D17" s="2075" t="s">
        <v>645</v>
      </c>
      <c r="E17" s="2073" t="s">
        <v>646</v>
      </c>
      <c r="F17" s="36"/>
      <c r="G17" s="37"/>
      <c r="H17" s="1183" t="s">
        <v>666</v>
      </c>
      <c r="I17" s="1184" t="s">
        <v>207</v>
      </c>
      <c r="J17" s="2224"/>
      <c r="K17" s="3443" t="s">
        <v>672</v>
      </c>
      <c r="L17" s="3444"/>
      <c r="M17" s="3445"/>
      <c r="N17" s="3443" t="s">
        <v>2681</v>
      </c>
      <c r="O17" s="3444"/>
      <c r="P17" s="3445"/>
      <c r="R17" s="2484" t="s">
        <v>2384</v>
      </c>
      <c r="S17" s="354"/>
    </row>
    <row r="18" spans="1:19">
      <c r="A18" s="27"/>
      <c r="B18" s="31"/>
      <c r="C18" s="35"/>
      <c r="D18" s="2076"/>
      <c r="E18" s="2074" t="s">
        <v>667</v>
      </c>
      <c r="F18" s="15" t="s">
        <v>668</v>
      </c>
      <c r="G18" s="16" t="s">
        <v>669</v>
      </c>
      <c r="H18" s="1185" t="s">
        <v>670</v>
      </c>
      <c r="I18" s="1186" t="s">
        <v>671</v>
      </c>
      <c r="J18" s="2224"/>
      <c r="K18" s="1185" t="s">
        <v>2674</v>
      </c>
      <c r="L18" s="6" t="s">
        <v>2682</v>
      </c>
      <c r="M18" s="2802" t="s">
        <v>2680</v>
      </c>
      <c r="N18" s="1185" t="s">
        <v>2674</v>
      </c>
      <c r="O18" s="6" t="s">
        <v>2682</v>
      </c>
      <c r="P18" s="2802" t="s">
        <v>2680</v>
      </c>
      <c r="R18" s="2485" t="s">
        <v>2385</v>
      </c>
      <c r="S18" s="2485" t="s">
        <v>2386</v>
      </c>
    </row>
    <row r="19" spans="1:19" ht="14.25">
      <c r="A19" s="32"/>
      <c r="B19" s="26" t="s">
        <v>119</v>
      </c>
      <c r="C19" s="1420" t="s">
        <v>3079</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2387</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2695</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30"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2389</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2675</v>
      </c>
      <c r="T5" s="274" t="s">
        <v>695</v>
      </c>
      <c r="U5" s="2516" t="s">
        <v>2395</v>
      </c>
      <c r="V5" s="51" t="s">
        <v>696</v>
      </c>
      <c r="W5" s="2517" t="s">
        <v>2396</v>
      </c>
      <c r="X5" s="62"/>
      <c r="Y5" s="60" t="s">
        <v>697</v>
      </c>
      <c r="Z5" s="61" t="s">
        <v>698</v>
      </c>
      <c r="AA5" s="51" t="s">
        <v>696</v>
      </c>
      <c r="AB5" s="2517" t="s">
        <v>2396</v>
      </c>
      <c r="AC5" s="62"/>
      <c r="AD5" s="62" t="s">
        <v>697</v>
      </c>
      <c r="AE5" s="14" t="s">
        <v>539</v>
      </c>
      <c r="AF5" s="51" t="s">
        <v>699</v>
      </c>
      <c r="AG5" s="60" t="s">
        <v>700</v>
      </c>
      <c r="AH5" s="14" t="s">
        <v>2400</v>
      </c>
      <c r="AI5" s="61" t="s">
        <v>2317</v>
      </c>
      <c r="AJ5" s="61" t="s">
        <v>701</v>
      </c>
      <c r="AK5" s="2517" t="s">
        <v>2397</v>
      </c>
      <c r="AL5" s="2517" t="s">
        <v>2398</v>
      </c>
      <c r="AM5" s="360" t="s">
        <v>2399</v>
      </c>
      <c r="AN5" s="2574" t="s">
        <v>2438</v>
      </c>
      <c r="AO5" s="2012" t="s">
        <v>2666</v>
      </c>
      <c r="AP5" s="2890" t="s">
        <v>2676</v>
      </c>
      <c r="AQ5" s="2891" t="s">
        <v>2786</v>
      </c>
      <c r="AR5" s="2891" t="s">
        <v>2787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356">
        <f>ROUND(2200*1185.69/2125.98+1800*(215.78+500.58+223.93)/2125.98,0)</f>
        <v>2023</v>
      </c>
      <c r="M6" s="365">
        <f t="shared" ref="M6:M14" si="0">ROUND(K6*L6/10000,0)</f>
        <v>430</v>
      </c>
      <c r="N6" s="3357">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358">
        <v>1.7</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359">
        <v>1.4999999999999999E-2</v>
      </c>
      <c r="AL6" s="3360">
        <v>1.5E-3</v>
      </c>
      <c r="AM6" s="3361">
        <v>1.4999999999999999E-2</v>
      </c>
      <c r="AN6" s="2575" t="s">
        <v>3080</v>
      </c>
      <c r="AO6" s="344">
        <f ca="1">SUMIF(INDIRECT("'"&amp;AN6&amp;"'"&amp;"!A:A"),"总价",INDIRECT("'"&amp;AN6&amp;"'"&amp;"!B:B"))</f>
        <v>1889</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2388</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2404</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2405</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2678</v>
      </c>
      <c r="B29" s="3362">
        <f>ROUND(B28*K16/10000,0)</f>
        <v>34</v>
      </c>
      <c r="C29" s="2527" t="s">
        <v>2679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2989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2990</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2530</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2606</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3020</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3021</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3022</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2996</v>
      </c>
      <c r="D53" s="2236" t="s">
        <v>3000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2999</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15" activePane="bottomRight" state="frozen"/>
      <selection activeCell="C50" sqref="C50"/>
      <selection pane="topRight" activeCell="C50" sqref="C50"/>
      <selection pane="bottomLeft" activeCell="C50" sqref="C50"/>
      <selection pane="bottomRight" activeCell="H27" sqref="H2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8" t="s">
        <v>751</v>
      </c>
      <c r="B1" s="3459"/>
      <c r="C1" s="3459"/>
      <c r="D1" s="3459"/>
      <c r="E1" s="3459"/>
      <c r="F1" s="3459"/>
      <c r="G1" s="3459"/>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3081</v>
      </c>
      <c r="H3" s="2254"/>
      <c r="I3" s="2254"/>
      <c r="J3" s="2254"/>
      <c r="K3" s="2254"/>
      <c r="L3" s="2254"/>
      <c r="M3" s="2254"/>
      <c r="N3" s="2254"/>
      <c r="O3" s="2254"/>
      <c r="P3" s="2254"/>
      <c r="Q3" s="2254"/>
      <c r="R3" s="2254"/>
    </row>
    <row r="4" spans="1:29" ht="40.5">
      <c r="A4" s="1029"/>
      <c r="B4" s="2210" t="s">
        <v>755</v>
      </c>
      <c r="C4" s="3291"/>
      <c r="D4" s="2255"/>
      <c r="E4" s="1214"/>
      <c r="F4" s="2214" t="s">
        <v>756</v>
      </c>
      <c r="G4" s="3292" t="s">
        <v>3082</v>
      </c>
      <c r="H4" s="2254"/>
      <c r="I4" s="2254"/>
      <c r="J4" s="2254"/>
      <c r="K4" s="2254"/>
      <c r="L4" s="2254"/>
      <c r="M4" s="2254"/>
      <c r="N4" s="2254"/>
      <c r="O4" s="2254"/>
      <c r="P4" s="2254"/>
      <c r="Q4" s="2254"/>
      <c r="R4" s="2254"/>
    </row>
    <row r="5" spans="1:29" ht="67.5">
      <c r="A5" s="1029"/>
      <c r="B5" s="2210" t="s">
        <v>757</v>
      </c>
      <c r="C5" s="3291"/>
      <c r="D5" s="2255"/>
      <c r="E5" s="1214"/>
      <c r="F5" s="2743" t="s">
        <v>2623</v>
      </c>
      <c r="G5" s="3292" t="s">
        <v>3098</v>
      </c>
      <c r="H5" s="2254"/>
      <c r="I5" s="2254"/>
      <c r="J5" s="2254"/>
      <c r="K5" s="2254"/>
      <c r="L5" s="2254"/>
      <c r="M5" s="2254"/>
      <c r="N5" s="2254"/>
      <c r="O5" s="2254"/>
      <c r="P5" s="2254"/>
      <c r="Q5" s="2254"/>
      <c r="R5" s="2254"/>
    </row>
    <row r="6" spans="1:29" ht="54">
      <c r="A6" s="1029"/>
      <c r="B6" s="2210" t="s">
        <v>72</v>
      </c>
      <c r="C6" s="3292"/>
      <c r="D6" s="2255"/>
      <c r="E6" s="1214"/>
      <c r="F6" s="2743" t="s">
        <v>2622</v>
      </c>
      <c r="G6" s="3292" t="s">
        <v>3108</v>
      </c>
      <c r="H6" s="2254"/>
      <c r="I6" s="2254"/>
      <c r="J6" s="2254"/>
      <c r="K6" s="2254"/>
      <c r="L6" s="2254"/>
      <c r="M6" s="2254"/>
      <c r="N6" s="2254"/>
      <c r="O6" s="2254"/>
      <c r="P6" s="2254"/>
      <c r="Q6" s="2254"/>
      <c r="R6" s="2254"/>
    </row>
    <row r="7" spans="1:29" ht="41.25" thickBot="1">
      <c r="A7" s="1029"/>
      <c r="B7" s="2210" t="s">
        <v>2623</v>
      </c>
      <c r="C7" s="3292"/>
      <c r="D7" s="2256"/>
      <c r="E7" s="1215"/>
      <c r="F7" s="1216" t="s">
        <v>737</v>
      </c>
      <c r="G7" s="3295" t="s">
        <v>3083</v>
      </c>
      <c r="H7" s="2254"/>
      <c r="I7" s="2254"/>
      <c r="J7" s="2254"/>
      <c r="K7" s="2254"/>
      <c r="L7" s="2254"/>
      <c r="M7" s="2254"/>
      <c r="N7" s="2254"/>
      <c r="O7" s="2254"/>
      <c r="P7" s="2254"/>
      <c r="Q7" s="2254"/>
      <c r="R7" s="2254"/>
    </row>
    <row r="8" spans="1:29">
      <c r="A8" s="1029"/>
      <c r="B8" s="2743" t="s">
        <v>2622</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3084</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2623</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2622</v>
      </c>
      <c r="G20" s="1024" t="str">
        <f>G6</f>
        <v>估价对象所在区域公共配套设施齐备情况；基础设施水平；综合评价公用设施及基础设施水平较好</v>
      </c>
    </row>
    <row r="21" spans="1:18">
      <c r="A21" s="2759"/>
      <c r="B21" s="2743" t="s">
        <v>2623</v>
      </c>
      <c r="C21" s="1024">
        <f>C7</f>
        <v>0</v>
      </c>
      <c r="D21" s="2255"/>
      <c r="E21" s="2757"/>
      <c r="F21" s="1227" t="s">
        <v>89</v>
      </c>
      <c r="G21" s="283" t="s">
        <v>3085</v>
      </c>
    </row>
    <row r="22" spans="1:18" ht="13.5" customHeight="1">
      <c r="A22" s="2759"/>
      <c r="B22" s="2743" t="s">
        <v>2622</v>
      </c>
      <c r="C22" s="1024">
        <f>C8</f>
        <v>0</v>
      </c>
      <c r="D22" s="2255"/>
      <c r="E22" s="2757"/>
      <c r="F22" s="1227" t="s">
        <v>749</v>
      </c>
      <c r="G22" s="271" t="s">
        <v>3110</v>
      </c>
    </row>
    <row r="23" spans="1:18" s="2254" customFormat="1" ht="14.25" thickBot="1">
      <c r="A23" s="2759"/>
      <c r="B23" s="1227" t="s">
        <v>89</v>
      </c>
      <c r="C23" s="283"/>
      <c r="D23" s="2267"/>
      <c r="E23" s="2758"/>
      <c r="F23" s="1228" t="s">
        <v>750</v>
      </c>
      <c r="G23" s="284" t="s">
        <v>3097</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2972</v>
      </c>
      <c r="B1" s="3254">
        <f>SUM(B14:B23)</f>
        <v>2125.98</v>
      </c>
      <c r="C1" s="3253"/>
      <c r="D1" s="3253"/>
      <c r="E1" s="3253"/>
      <c r="F1" s="3253"/>
      <c r="G1" s="3251"/>
    </row>
    <row r="2" spans="1:10" ht="16.5">
      <c r="A2" s="3254" t="s">
        <v>2960</v>
      </c>
      <c r="B2" s="3254">
        <f>SUM(C14:C23)</f>
        <v>9270.09</v>
      </c>
      <c r="C2" s="3253"/>
      <c r="D2" s="3253"/>
      <c r="E2" s="3253"/>
      <c r="F2" s="3253"/>
      <c r="G2" s="3251"/>
    </row>
    <row r="3" spans="1:10" ht="16.5">
      <c r="A3" s="3254" t="s">
        <v>2969</v>
      </c>
      <c r="B3" s="3255">
        <f>项目基本情况!D3</f>
        <v>42982</v>
      </c>
      <c r="C3" s="3253"/>
      <c r="D3" s="3253"/>
      <c r="E3" s="3253"/>
      <c r="F3" s="3253"/>
      <c r="G3" s="3251"/>
    </row>
    <row r="4" spans="1:10" ht="33">
      <c r="A4" s="3254" t="s">
        <v>2968</v>
      </c>
      <c r="B4" s="3254" t="s">
        <v>2967</v>
      </c>
      <c r="C4" s="3254" t="s">
        <v>2966</v>
      </c>
      <c r="D4" s="3254" t="s">
        <v>2965</v>
      </c>
      <c r="E4" s="3253"/>
      <c r="F4" s="3251"/>
      <c r="G4" s="3251"/>
    </row>
    <row r="5" spans="1:10" ht="16.5">
      <c r="A5" s="3254" t="s">
        <v>2964</v>
      </c>
      <c r="B5" s="3254">
        <f ca="1">SUM(D14:D23)</f>
        <v>1695</v>
      </c>
      <c r="C5" s="3254">
        <f ca="1">ROUND(B5*10000/$B$1,0)</f>
        <v>7973</v>
      </c>
      <c r="D5" s="3254">
        <f ca="1">ROUND(B5*10000/$B$2,0)</f>
        <v>1828</v>
      </c>
      <c r="E5" s="3253"/>
      <c r="F5" s="3251"/>
      <c r="G5" s="3251"/>
    </row>
    <row r="6" spans="1:10" ht="16.5">
      <c r="A6" s="3254" t="s">
        <v>2963</v>
      </c>
      <c r="B6" s="3254">
        <f ca="1">SUM(G14:G23)</f>
        <v>1695</v>
      </c>
      <c r="C6" s="3254">
        <f ca="1">ROUND(B6*10000/$B$1,0)</f>
        <v>7973</v>
      </c>
      <c r="D6" s="3254">
        <f ca="1">ROUND(B6*10000/$B$2,0)</f>
        <v>1828</v>
      </c>
      <c r="E6" s="3253"/>
      <c r="F6" s="3251"/>
      <c r="G6" s="3251"/>
    </row>
    <row r="7" spans="1:10" ht="16.5">
      <c r="A7" s="3254" t="s">
        <v>2971</v>
      </c>
      <c r="B7" s="3254">
        <f>SUM(H14:H23)</f>
        <v>0</v>
      </c>
      <c r="C7" s="3254">
        <f>ROUND(B7*10000/$B$1,0)</f>
        <v>0</v>
      </c>
      <c r="D7" s="3254">
        <f>ROUND(B7*10000/$B$2,0)</f>
        <v>0</v>
      </c>
      <c r="E7" s="3253"/>
      <c r="F7" s="3251"/>
      <c r="G7" s="3251"/>
    </row>
    <row r="8" spans="1:10" ht="16.5">
      <c r="A8" s="3254" t="s">
        <v>2861</v>
      </c>
      <c r="B8" s="3254">
        <f>SUM(I14:I23)</f>
        <v>0</v>
      </c>
      <c r="C8" s="3254">
        <f>ROUND(B8*10000/$B$1,0)</f>
        <v>0</v>
      </c>
      <c r="D8" s="3254">
        <f>ROUND(B8*10000/$B$2,0)</f>
        <v>0</v>
      </c>
      <c r="E8" s="3253"/>
      <c r="F8" s="3251"/>
      <c r="G8" s="3251"/>
    </row>
    <row r="9" spans="1:10" ht="16.5">
      <c r="A9" s="3254" t="s">
        <v>2962</v>
      </c>
      <c r="B9" s="3256"/>
      <c r="C9" s="3253"/>
      <c r="D9" s="3253"/>
      <c r="E9" s="3253"/>
      <c r="F9" s="3251"/>
      <c r="G9" s="3251"/>
    </row>
    <row r="10" spans="1:10" ht="16.5">
      <c r="A10" s="3254" t="s">
        <v>2961</v>
      </c>
      <c r="B10" s="3256"/>
      <c r="C10" s="3253"/>
      <c r="D10" s="3253"/>
      <c r="E10" s="3253"/>
      <c r="F10" s="3251"/>
      <c r="G10" s="3251"/>
    </row>
    <row r="11" spans="1:10" ht="16.5">
      <c r="A11" s="3254" t="s">
        <v>2977</v>
      </c>
      <c r="B11" s="3256"/>
      <c r="C11" s="3253"/>
      <c r="D11" s="3253"/>
      <c r="E11" s="3253"/>
      <c r="F11" s="3251"/>
      <c r="G11" s="3251"/>
    </row>
    <row r="12" spans="1:10" ht="16.5">
      <c r="A12" s="3253"/>
      <c r="B12" s="3253"/>
      <c r="C12" s="3253"/>
      <c r="D12" s="3253"/>
      <c r="E12" s="3253"/>
      <c r="F12" s="3251"/>
      <c r="G12" s="3251"/>
    </row>
    <row r="13" spans="1:10" ht="33">
      <c r="A13" s="3259" t="s">
        <v>2976</v>
      </c>
      <c r="B13" s="3252" t="s">
        <v>2973</v>
      </c>
      <c r="C13" s="3252" t="s">
        <v>2975</v>
      </c>
      <c r="D13" s="3252" t="s">
        <v>2974</v>
      </c>
      <c r="E13" s="3254" t="s">
        <v>2966</v>
      </c>
      <c r="F13" s="3254" t="s">
        <v>2965</v>
      </c>
      <c r="G13" s="3252" t="s">
        <v>2959</v>
      </c>
      <c r="H13" s="3252" t="s">
        <v>2970</v>
      </c>
      <c r="I13" s="3252" t="s">
        <v>2958</v>
      </c>
      <c r="J13" s="3251"/>
    </row>
    <row r="14" spans="1:10" ht="16.5">
      <c r="A14" s="3250" t="s">
        <v>2957</v>
      </c>
      <c r="B14" s="3252">
        <f>'数据-汇总表'!E3</f>
        <v>2125.98</v>
      </c>
      <c r="C14" s="3252">
        <f>'数据-汇总表'!D3</f>
        <v>9270.09</v>
      </c>
      <c r="D14" s="3252">
        <f ca="1">结果表!H118</f>
        <v>1695</v>
      </c>
      <c r="E14" s="3252">
        <f ca="1">ROUND(D14*10000/B14,0)</f>
        <v>7973</v>
      </c>
      <c r="F14" s="3252">
        <f ca="1">ROUND(D14*10000/C14,0)</f>
        <v>1828</v>
      </c>
      <c r="G14" s="3252">
        <f ca="1">结果表!D122</f>
        <v>1695</v>
      </c>
      <c r="H14" s="3252" t="str">
        <f>结果表!D124</f>
        <v>——</v>
      </c>
      <c r="I14" s="3252" t="str">
        <f>结果表!D126</f>
        <v>——</v>
      </c>
      <c r="J14" s="3251"/>
    </row>
    <row r="15" spans="1:10" ht="16.5">
      <c r="A15" s="3250" t="s">
        <v>2956</v>
      </c>
      <c r="B15" s="3257"/>
      <c r="C15" s="3257"/>
      <c r="D15" s="3257"/>
      <c r="E15" s="3252" t="e">
        <f t="shared" ref="E15:E23" si="0">ROUND(D15*10000/B15,0)</f>
        <v>#DIV/0!</v>
      </c>
      <c r="F15" s="3252" t="e">
        <f t="shared" ref="F15:F23" si="1">ROUND(D15*10000/C15,0)</f>
        <v>#DIV/0!</v>
      </c>
      <c r="G15" s="3258"/>
      <c r="H15" s="3258"/>
      <c r="I15" s="3257"/>
      <c r="J15" s="3251"/>
    </row>
    <row r="16" spans="1:10" ht="16.5">
      <c r="A16" s="3250" t="s">
        <v>2955</v>
      </c>
      <c r="B16" s="3257"/>
      <c r="C16" s="3257"/>
      <c r="D16" s="3257"/>
      <c r="E16" s="3252" t="e">
        <f t="shared" si="0"/>
        <v>#DIV/0!</v>
      </c>
      <c r="F16" s="3252" t="e">
        <f t="shared" si="1"/>
        <v>#DIV/0!</v>
      </c>
      <c r="G16" s="3258"/>
      <c r="H16" s="3258"/>
      <c r="I16" s="3257"/>
    </row>
    <row r="17" spans="1:9" ht="16.5">
      <c r="A17" s="3250" t="s">
        <v>2954</v>
      </c>
      <c r="B17" s="3257"/>
      <c r="C17" s="3257"/>
      <c r="D17" s="3257"/>
      <c r="E17" s="3252" t="e">
        <f t="shared" si="0"/>
        <v>#DIV/0!</v>
      </c>
      <c r="F17" s="3252" t="e">
        <f t="shared" si="1"/>
        <v>#DIV/0!</v>
      </c>
      <c r="G17" s="3258"/>
      <c r="H17" s="3258"/>
      <c r="I17" s="3257"/>
    </row>
    <row r="18" spans="1:9" ht="16.5">
      <c r="A18" s="3250" t="s">
        <v>2953</v>
      </c>
      <c r="B18" s="3257"/>
      <c r="C18" s="3257"/>
      <c r="D18" s="3257"/>
      <c r="E18" s="3252" t="e">
        <f t="shared" si="0"/>
        <v>#DIV/0!</v>
      </c>
      <c r="F18" s="3252" t="e">
        <f t="shared" si="1"/>
        <v>#DIV/0!</v>
      </c>
      <c r="G18" s="3257"/>
      <c r="H18" s="3257"/>
      <c r="I18" s="3257"/>
    </row>
    <row r="19" spans="1:9" ht="16.5">
      <c r="A19" s="3250" t="s">
        <v>2952</v>
      </c>
      <c r="B19" s="3257"/>
      <c r="C19" s="3257"/>
      <c r="D19" s="3257"/>
      <c r="E19" s="3252" t="e">
        <f t="shared" si="0"/>
        <v>#DIV/0!</v>
      </c>
      <c r="F19" s="3252" t="e">
        <f t="shared" si="1"/>
        <v>#DIV/0!</v>
      </c>
      <c r="G19" s="3257"/>
      <c r="H19" s="3257"/>
      <c r="I19" s="3257"/>
    </row>
    <row r="20" spans="1:9" ht="16.5">
      <c r="A20" s="3250" t="s">
        <v>2951</v>
      </c>
      <c r="B20" s="3257"/>
      <c r="C20" s="3257"/>
      <c r="D20" s="3257"/>
      <c r="E20" s="3252" t="e">
        <f t="shared" si="0"/>
        <v>#DIV/0!</v>
      </c>
      <c r="F20" s="3252" t="e">
        <f t="shared" si="1"/>
        <v>#DIV/0!</v>
      </c>
      <c r="G20" s="3257"/>
      <c r="H20" s="3257"/>
      <c r="I20" s="3257"/>
    </row>
    <row r="21" spans="1:9" ht="16.5">
      <c r="A21" s="3250" t="s">
        <v>2950</v>
      </c>
      <c r="B21" s="3257"/>
      <c r="C21" s="3257"/>
      <c r="D21" s="3257"/>
      <c r="E21" s="3252" t="e">
        <f t="shared" si="0"/>
        <v>#DIV/0!</v>
      </c>
      <c r="F21" s="3252" t="e">
        <f t="shared" si="1"/>
        <v>#DIV/0!</v>
      </c>
      <c r="G21" s="3257"/>
      <c r="H21" s="3257"/>
      <c r="I21" s="3257"/>
    </row>
    <row r="22" spans="1:9" ht="16.5">
      <c r="A22" s="3250" t="s">
        <v>2949</v>
      </c>
      <c r="B22" s="3257"/>
      <c r="C22" s="3257"/>
      <c r="D22" s="3257"/>
      <c r="E22" s="3252" t="e">
        <f t="shared" si="0"/>
        <v>#DIV/0!</v>
      </c>
      <c r="F22" s="3252" t="e">
        <f t="shared" si="1"/>
        <v>#DIV/0!</v>
      </c>
      <c r="G22" s="3257"/>
      <c r="H22" s="3257"/>
      <c r="I22" s="3257"/>
    </row>
    <row r="23" spans="1:9" ht="16.5">
      <c r="A23" s="3250" t="s">
        <v>2948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3074</v>
      </c>
      <c r="D1" s="1242"/>
      <c r="E1" s="1242"/>
      <c r="F1" s="2081" t="s">
        <v>2102</v>
      </c>
      <c r="G1" s="2054" t="s">
        <v>3065</v>
      </c>
      <c r="H1" s="2110" t="str">
        <f>IF(G1="现房","——","估价对象范围")</f>
        <v>——</v>
      </c>
      <c r="I1" s="2087" t="s">
        <v>3086</v>
      </c>
    </row>
    <row r="2" spans="1:12" ht="21.75" customHeight="1" thickBot="1">
      <c r="A2" s="3495" t="str">
        <f>项目基本情况!S2</f>
        <v>北京市怀柔区北房镇龙云路9号房地产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28" t="s">
        <v>11</v>
      </c>
      <c r="B4" s="429" t="s">
        <v>12</v>
      </c>
      <c r="C4" s="430" t="s">
        <v>3087</v>
      </c>
      <c r="D4" s="430" t="s">
        <v>3080</v>
      </c>
      <c r="E4" s="3501" t="s">
        <v>759</v>
      </c>
      <c r="F4" s="3502"/>
      <c r="G4" s="3502"/>
      <c r="H4" s="3502"/>
      <c r="I4" s="3503"/>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74" t="s">
        <v>13</v>
      </c>
      <c r="B5" s="3461">
        <v>25</v>
      </c>
      <c r="C5" s="3477">
        <v>18</v>
      </c>
      <c r="D5" s="3498">
        <v>20</v>
      </c>
      <c r="E5" s="470" t="s">
        <v>803</v>
      </c>
      <c r="F5" s="431"/>
      <c r="G5" s="431"/>
      <c r="H5" s="431"/>
      <c r="I5" s="432"/>
    </row>
    <row r="6" spans="1:12" ht="12.75">
      <c r="A6" s="3474"/>
      <c r="B6" s="3461"/>
      <c r="C6" s="3478"/>
      <c r="D6" s="3498"/>
      <c r="E6" s="470" t="s">
        <v>804</v>
      </c>
      <c r="F6" s="431"/>
      <c r="G6" s="431"/>
      <c r="H6" s="431"/>
      <c r="I6" s="432"/>
    </row>
    <row r="7" spans="1:12" ht="12.75">
      <c r="A7" s="3474"/>
      <c r="B7" s="3461"/>
      <c r="C7" s="3479"/>
      <c r="D7" s="3498"/>
      <c r="E7" s="470" t="s">
        <v>805</v>
      </c>
      <c r="F7" s="431"/>
      <c r="G7" s="431"/>
      <c r="H7" s="431"/>
      <c r="I7" s="432"/>
    </row>
    <row r="8" spans="1:12" ht="12.75">
      <c r="A8" s="3474" t="s">
        <v>14</v>
      </c>
      <c r="B8" s="3461">
        <v>15</v>
      </c>
      <c r="C8" s="3477">
        <v>10</v>
      </c>
      <c r="D8" s="3498">
        <v>9</v>
      </c>
      <c r="E8" s="470" t="s">
        <v>806</v>
      </c>
      <c r="F8" s="431"/>
      <c r="G8" s="431"/>
      <c r="H8" s="431"/>
      <c r="I8" s="432"/>
    </row>
    <row r="9" spans="1:12" ht="12.75">
      <c r="A9" s="3474"/>
      <c r="B9" s="3461"/>
      <c r="C9" s="3479"/>
      <c r="D9" s="3498"/>
      <c r="E9" s="470" t="s">
        <v>807</v>
      </c>
      <c r="F9" s="431"/>
      <c r="G9" s="431"/>
      <c r="H9" s="431"/>
      <c r="I9" s="432"/>
    </row>
    <row r="10" spans="1:12" ht="12.75">
      <c r="A10" s="3474" t="s">
        <v>15</v>
      </c>
      <c r="B10" s="3461">
        <v>15</v>
      </c>
      <c r="C10" s="3477">
        <v>10</v>
      </c>
      <c r="D10" s="3498">
        <v>9</v>
      </c>
      <c r="E10" s="470" t="s">
        <v>808</v>
      </c>
      <c r="F10" s="431"/>
      <c r="G10" s="431"/>
      <c r="H10" s="431"/>
      <c r="I10" s="432"/>
    </row>
    <row r="11" spans="1:12" ht="12.75">
      <c r="A11" s="3474"/>
      <c r="B11" s="3461"/>
      <c r="C11" s="3479"/>
      <c r="D11" s="3498"/>
      <c r="E11" s="470" t="s">
        <v>809</v>
      </c>
      <c r="F11" s="431"/>
      <c r="G11" s="431"/>
      <c r="H11" s="431"/>
      <c r="I11" s="432"/>
    </row>
    <row r="12" spans="1:12" ht="12.75">
      <c r="A12" s="3474" t="s">
        <v>16</v>
      </c>
      <c r="B12" s="3461">
        <v>15</v>
      </c>
      <c r="C12" s="3477">
        <v>10</v>
      </c>
      <c r="D12" s="3498">
        <v>9</v>
      </c>
      <c r="E12" s="470" t="s">
        <v>810</v>
      </c>
      <c r="F12" s="431"/>
      <c r="G12" s="431"/>
      <c r="H12" s="431"/>
      <c r="I12" s="432"/>
    </row>
    <row r="13" spans="1:12" ht="12.75">
      <c r="A13" s="3474"/>
      <c r="B13" s="3461"/>
      <c r="C13" s="3479"/>
      <c r="D13" s="3498"/>
      <c r="E13" s="470" t="s">
        <v>811</v>
      </c>
      <c r="F13" s="431"/>
      <c r="G13" s="431"/>
      <c r="H13" s="431"/>
      <c r="I13" s="432"/>
    </row>
    <row r="14" spans="1:12" ht="12.75">
      <c r="A14" s="3474" t="s">
        <v>17</v>
      </c>
      <c r="B14" s="3461">
        <v>30</v>
      </c>
      <c r="C14" s="3477">
        <v>17</v>
      </c>
      <c r="D14" s="3498">
        <v>18</v>
      </c>
      <c r="E14" s="470" t="s">
        <v>812</v>
      </c>
      <c r="F14" s="431"/>
      <c r="G14" s="431"/>
      <c r="H14" s="431"/>
      <c r="I14" s="432"/>
    </row>
    <row r="15" spans="1:12" ht="12.75">
      <c r="A15" s="3474"/>
      <c r="B15" s="3461"/>
      <c r="C15" s="3478"/>
      <c r="D15" s="3498"/>
      <c r="E15" s="470" t="s">
        <v>813</v>
      </c>
      <c r="F15" s="431"/>
      <c r="G15" s="431"/>
      <c r="H15" s="431"/>
      <c r="I15" s="432"/>
    </row>
    <row r="16" spans="1:12" ht="12.75">
      <c r="A16" s="3474"/>
      <c r="B16" s="3461"/>
      <c r="C16" s="3479"/>
      <c r="D16" s="3498"/>
      <c r="E16" s="470" t="s">
        <v>814</v>
      </c>
      <c r="F16" s="431"/>
      <c r="G16" s="431"/>
      <c r="H16" s="431"/>
      <c r="I16" s="432"/>
    </row>
    <row r="17" spans="1:35" ht="14.25">
      <c r="A17" s="433" t="s">
        <v>18</v>
      </c>
      <c r="B17" s="38"/>
      <c r="C17" s="471">
        <f>SUM(C5:C16)</f>
        <v>65</v>
      </c>
      <c r="D17" s="471">
        <f>SUM(D5:D16)</f>
        <v>65</v>
      </c>
      <c r="E17" s="2275"/>
      <c r="F17" s="2275"/>
      <c r="G17" s="2275"/>
      <c r="H17" s="2275"/>
      <c r="I17" s="2275"/>
      <c r="K17" s="2182"/>
      <c r="L17" s="2183" t="s">
        <v>2309</v>
      </c>
      <c r="M17" s="2183" t="s">
        <v>2310</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1500</v>
      </c>
      <c r="D19" s="474">
        <f ca="1">SUMIF(INDIRECT("'"&amp;D4&amp;"'"&amp;"!A:A"),结果表!B19,INDIRECT("'"&amp;D4&amp;"'"&amp;"!B:B"))</f>
        <v>1889</v>
      </c>
      <c r="E19" s="435" t="s">
        <v>179</v>
      </c>
      <c r="F19" s="436" t="s">
        <v>20</v>
      </c>
      <c r="G19" s="475">
        <f ca="1">ROUND(C19*$C$18+D19*$D$18,0)</f>
        <v>1695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7056</v>
      </c>
      <c r="D20" s="477">
        <f ca="1">SUMIF(INDIRECT("'"&amp;D4&amp;"'"&amp;"!A:A"),结果表!B20,INDIRECT("'"&amp;D4&amp;"'"&amp;"!B:B"))</f>
        <v>8885</v>
      </c>
      <c r="E20" s="438"/>
      <c r="F20" s="439" t="s">
        <v>21</v>
      </c>
      <c r="G20" s="478">
        <f ca="1">ROUND(C20*$C$18+D20*$D$18,0)</f>
        <v>7971</v>
      </c>
      <c r="H20" s="440" t="s">
        <v>227</v>
      </c>
      <c r="I20" s="2275"/>
    </row>
    <row r="21" spans="1:35" ht="15" customHeight="1" thickBot="1">
      <c r="A21" s="442"/>
      <c r="B21" s="443" t="s">
        <v>22</v>
      </c>
      <c r="C21" s="1421">
        <f ca="1">ROUND(C19*10000/L19,0)</f>
        <v>1618</v>
      </c>
      <c r="D21" s="1422">
        <f ca="1">ROUND(D19*10000/L19,0)</f>
        <v>2038</v>
      </c>
      <c r="E21" s="442"/>
      <c r="F21" s="443" t="s">
        <v>22</v>
      </c>
      <c r="G21" s="479">
        <f ca="1">ROUND(G19*10000/L19,0)</f>
        <v>1828</v>
      </c>
      <c r="H21" s="444" t="s">
        <v>227</v>
      </c>
      <c r="I21" s="2275"/>
    </row>
    <row r="22" spans="1:35" ht="15" thickBot="1">
      <c r="A22" s="275" t="s">
        <v>181</v>
      </c>
      <c r="B22" s="1423"/>
      <c r="C22" s="1424"/>
      <c r="D22" s="1425">
        <f ca="1">IF(C19&lt;D19,D19/C19-1,C19/D19-1)</f>
        <v>0.25933333333333342</v>
      </c>
      <c r="E22" s="2275"/>
      <c r="F22" s="2275"/>
      <c r="G22" s="2275"/>
      <c r="H22" s="2275"/>
      <c r="I22" s="2275"/>
    </row>
    <row r="23" spans="1:35" ht="12.75" thickBot="1">
      <c r="A23" s="1242"/>
      <c r="B23" s="1242"/>
      <c r="C23" s="1242"/>
      <c r="D23" s="1242"/>
      <c r="E23" s="2275"/>
      <c r="F23" s="2275"/>
      <c r="G23" s="2275"/>
      <c r="H23" s="2275"/>
      <c r="I23" s="2275"/>
    </row>
    <row r="24" spans="1:35" ht="14.25">
      <c r="A24" s="3468" t="s">
        <v>177</v>
      </c>
      <c r="B24" s="436" t="s">
        <v>20</v>
      </c>
      <c r="C24" s="475">
        <f>IF(B30=0,0,D30)</f>
        <v>0</v>
      </c>
      <c r="D24" s="445"/>
      <c r="E24" s="2275"/>
      <c r="F24" s="2275"/>
      <c r="G24" s="2275"/>
      <c r="H24" s="2275"/>
      <c r="I24" s="2275"/>
    </row>
    <row r="25" spans="1:35" ht="14.25">
      <c r="A25" s="3469"/>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1695</v>
      </c>
      <c r="D32" s="2091" t="s">
        <v>210</v>
      </c>
      <c r="E32" s="2275"/>
      <c r="F32" s="2275"/>
      <c r="G32" s="2275"/>
      <c r="H32" s="2275"/>
      <c r="I32" s="2275"/>
    </row>
    <row r="33" spans="1:15" ht="13.5">
      <c r="A33" s="456" t="s">
        <v>760</v>
      </c>
      <c r="B33" s="2090"/>
      <c r="C33" s="2872" t="s">
        <v>3104</v>
      </c>
      <c r="D33" s="2875" t="s">
        <v>3087</v>
      </c>
      <c r="E33" s="2088" t="s">
        <v>2104</v>
      </c>
      <c r="F33" s="2089" t="str">
        <f>IF(D32="楼面单价","取值（单价）","取值（总价）")</f>
        <v>取值（总价）</v>
      </c>
      <c r="G33" s="2275"/>
      <c r="H33" s="2275"/>
      <c r="I33" s="2275"/>
    </row>
    <row r="34" spans="1:15" ht="15">
      <c r="A34" s="457"/>
      <c r="B34" s="458" t="s">
        <v>763</v>
      </c>
      <c r="C34" s="488">
        <f ca="1">IF(C33="自定义",F34,C32-C35)</f>
        <v>1205</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490</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487" t="s">
        <v>761</v>
      </c>
      <c r="B36" s="454" t="s">
        <v>762</v>
      </c>
      <c r="C36" s="485"/>
      <c r="D36" s="455"/>
      <c r="E36" s="1245"/>
      <c r="F36" s="2276"/>
      <c r="G36" s="2275"/>
      <c r="H36" s="2275"/>
      <c r="I36" s="2275"/>
    </row>
    <row r="37" spans="1:15" ht="15.75" thickBot="1">
      <c r="A37" s="3488"/>
      <c r="B37" s="13" t="s">
        <v>764</v>
      </c>
      <c r="C37" s="487"/>
      <c r="D37" s="2224"/>
      <c r="E37" s="2224"/>
      <c r="F37" s="2276"/>
      <c r="G37" s="2275"/>
      <c r="H37" s="2275"/>
      <c r="I37" s="2275"/>
    </row>
    <row r="38" spans="1:15" ht="15.75" thickBot="1">
      <c r="A38" s="3489"/>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465" t="s">
        <v>795</v>
      </c>
      <c r="B45" s="3466"/>
      <c r="C45" s="3467"/>
      <c r="D45" s="495">
        <f ca="1">ROUND(H101*F45,0)</f>
        <v>1695</v>
      </c>
      <c r="E45" s="496" t="s">
        <v>796</v>
      </c>
      <c r="F45" s="497">
        <v>1</v>
      </c>
      <c r="G45" s="498" t="s">
        <v>797</v>
      </c>
      <c r="H45" s="2275"/>
      <c r="I45" s="2275"/>
      <c r="J45" s="3529" t="s">
        <v>215</v>
      </c>
      <c r="K45" s="3529"/>
      <c r="L45" s="3529"/>
      <c r="M45" s="3529"/>
      <c r="N45" s="3529"/>
      <c r="O45" s="3529"/>
    </row>
    <row r="46" spans="1:15" ht="14.25" customHeight="1">
      <c r="A46" s="3462" t="s">
        <v>287</v>
      </c>
      <c r="B46" s="3463"/>
      <c r="C46" s="3463"/>
      <c r="D46" s="3463"/>
      <c r="E46" s="3463"/>
      <c r="F46" s="3463"/>
      <c r="G46" s="3464"/>
      <c r="H46" s="2277"/>
      <c r="I46" s="2230"/>
      <c r="J46" s="1500">
        <v>1</v>
      </c>
      <c r="K46" s="3529" t="s">
        <v>216</v>
      </c>
      <c r="L46" s="3529"/>
      <c r="M46" s="3553"/>
      <c r="N46" s="3553"/>
      <c r="O46" s="3553"/>
    </row>
    <row r="47" spans="1:15" ht="12" customHeight="1">
      <c r="A47" s="500" t="s">
        <v>288</v>
      </c>
      <c r="B47" s="501"/>
      <c r="C47" s="502"/>
      <c r="D47" s="503" t="s">
        <v>289</v>
      </c>
      <c r="E47" s="313" t="s">
        <v>290</v>
      </c>
      <c r="F47" s="504" t="s">
        <v>798</v>
      </c>
      <c r="G47" s="505" t="s">
        <v>799</v>
      </c>
      <c r="H47" s="2277"/>
      <c r="I47" s="2230"/>
      <c r="J47" s="1500">
        <v>2</v>
      </c>
      <c r="K47" s="3529" t="s">
        <v>217</v>
      </c>
      <c r="L47" s="3529"/>
      <c r="M47" s="3554">
        <f>'数据-取费表'!B2</f>
        <v>42982</v>
      </c>
      <c r="N47" s="3554"/>
      <c r="O47" s="3554"/>
    </row>
    <row r="48" spans="1:15" ht="25.5">
      <c r="A48" s="3494" t="s">
        <v>291</v>
      </c>
      <c r="B48" s="3476"/>
      <c r="C48" s="3476"/>
      <c r="D48" s="470">
        <f ca="1">IF(H48="情况1",0,IF(H48="情况2",D52,IF(H48="情况3",D53,IF(H48="情况4",D54))))</f>
        <v>89</v>
      </c>
      <c r="E48" s="1922" t="str">
        <f>IF(H48="情况4","(销售额-原购置价)×税（费）率","销售额×税（费）率")</f>
        <v>销售额×税（费）率</v>
      </c>
      <c r="F48" s="506">
        <f>IF(H48="情况1","免征",'数据-取费表'!B41)</f>
        <v>5.5000000000000007E-2</v>
      </c>
      <c r="G48" s="464" t="s">
        <v>776</v>
      </c>
      <c r="H48" s="1431" t="s">
        <v>3105</v>
      </c>
      <c r="I48" s="2277"/>
      <c r="J48" s="1500">
        <v>3</v>
      </c>
      <c r="K48" s="3529" t="s">
        <v>777</v>
      </c>
      <c r="L48" s="3529"/>
      <c r="M48" s="3555">
        <f ca="1">H101</f>
        <v>1695</v>
      </c>
      <c r="N48" s="3555"/>
      <c r="O48" s="3555"/>
    </row>
    <row r="49" spans="1:35" ht="25.5" customHeight="1">
      <c r="A49" s="507" t="s">
        <v>800</v>
      </c>
      <c r="B49" s="3460" t="s">
        <v>801</v>
      </c>
      <c r="C49" s="3460"/>
      <c r="D49" s="508">
        <v>0</v>
      </c>
      <c r="E49" s="312" t="s">
        <v>802</v>
      </c>
      <c r="F49" s="317" t="s">
        <v>171</v>
      </c>
      <c r="G49" s="3535"/>
      <c r="H49" s="2275"/>
      <c r="I49" s="2278"/>
      <c r="J49" s="1500">
        <v>4</v>
      </c>
      <c r="K49" s="3529" t="str">
        <f>IF(项目基本情况!E8="房地产抵押价值","房地产抵押价值","抵押担保权已注销时的房地产抵押价值")</f>
        <v>房地产抵押价值</v>
      </c>
      <c r="L49" s="3529"/>
      <c r="M49" s="3555">
        <f ca="1">IF(项目基本情况!E8="房地产抵押价值",H107,H109)</f>
        <v>1695</v>
      </c>
      <c r="N49" s="3555"/>
      <c r="O49" s="3555"/>
    </row>
    <row r="50" spans="1:35" ht="25.5" customHeight="1">
      <c r="A50" s="509"/>
      <c r="B50" s="3460" t="s">
        <v>294</v>
      </c>
      <c r="C50" s="3460"/>
      <c r="D50" s="510"/>
      <c r="E50" s="320"/>
      <c r="F50" s="511"/>
      <c r="G50" s="3536"/>
      <c r="H50" s="2275"/>
      <c r="I50" s="2278"/>
      <c r="J50" s="3529" t="s">
        <v>218</v>
      </c>
      <c r="K50" s="3529"/>
      <c r="L50" s="3529"/>
      <c r="M50" s="3529"/>
      <c r="N50" s="3529"/>
      <c r="O50" s="3529"/>
    </row>
    <row r="51" spans="1:35" ht="12" customHeight="1">
      <c r="A51" s="512"/>
      <c r="B51" s="3460" t="s">
        <v>295</v>
      </c>
      <c r="C51" s="3460"/>
      <c r="D51" s="513"/>
      <c r="E51" s="319"/>
      <c r="F51" s="511"/>
      <c r="G51" s="3537"/>
      <c r="H51" s="2275"/>
      <c r="I51" s="2278"/>
      <c r="J51" s="3266" t="s">
        <v>219</v>
      </c>
      <c r="K51" s="3529" t="s">
        <v>220</v>
      </c>
      <c r="L51" s="3529"/>
      <c r="M51" s="3266" t="s">
        <v>2985</v>
      </c>
      <c r="N51" s="3266" t="s">
        <v>221</v>
      </c>
      <c r="O51" s="3266" t="s">
        <v>222</v>
      </c>
    </row>
    <row r="52" spans="1:35" ht="24" customHeight="1">
      <c r="A52" s="514" t="s">
        <v>296</v>
      </c>
      <c r="B52" s="3460" t="s">
        <v>297</v>
      </c>
      <c r="C52" s="3460"/>
      <c r="D52" s="513">
        <f ca="1">ROUND(D45*'数据-取费表'!B41/(1+'数据-取费表'!C42),0)</f>
        <v>89</v>
      </c>
      <c r="E52" s="299" t="s">
        <v>298</v>
      </c>
      <c r="F52" s="515">
        <f>'数据-取费表'!B41</f>
        <v>5.5000000000000007E-2</v>
      </c>
      <c r="G52" s="465"/>
      <c r="H52" s="2275"/>
      <c r="I52" s="2278"/>
      <c r="J52" s="1500">
        <v>1</v>
      </c>
      <c r="K52" s="3530" t="s">
        <v>778</v>
      </c>
      <c r="L52" s="3530"/>
      <c r="M52" s="3267">
        <f ca="1">D48</f>
        <v>89</v>
      </c>
      <c r="N52" s="1499" t="str">
        <f>E48</f>
        <v>销售额×税（费）率</v>
      </c>
      <c r="O52" s="3268">
        <f>F48</f>
        <v>5.5000000000000007E-2</v>
      </c>
    </row>
    <row r="53" spans="1:35" ht="12" customHeight="1">
      <c r="A53" s="514" t="s">
        <v>299</v>
      </c>
      <c r="B53" s="3485" t="s">
        <v>300</v>
      </c>
      <c r="C53" s="3486"/>
      <c r="D53" s="513">
        <f ca="1">ROUND(D45*'数据-取费表'!B41/(1+'数据-取费表'!C42),0)</f>
        <v>89</v>
      </c>
      <c r="E53" s="299" t="s">
        <v>298</v>
      </c>
      <c r="F53" s="515">
        <f>'数据-取费表'!B41</f>
        <v>5.5000000000000007E-2</v>
      </c>
      <c r="G53" s="465"/>
      <c r="H53" s="2275"/>
      <c r="I53" s="2278"/>
      <c r="J53" s="1500">
        <v>2</v>
      </c>
      <c r="K53" s="3530" t="s">
        <v>779</v>
      </c>
      <c r="L53" s="3530"/>
      <c r="M53" s="3267">
        <f t="shared" ref="M53:O54" ca="1" si="0">D55</f>
        <v>1</v>
      </c>
      <c r="N53" s="1499" t="str">
        <f t="shared" si="0"/>
        <v>销售额×税（费）率</v>
      </c>
      <c r="O53" s="3268">
        <f t="shared" si="0"/>
        <v>5.0000000000000001E-4</v>
      </c>
    </row>
    <row r="54" spans="1:35" ht="12" customHeight="1">
      <c r="A54" s="514" t="s">
        <v>301</v>
      </c>
      <c r="B54" s="3485" t="s">
        <v>302</v>
      </c>
      <c r="C54" s="3486"/>
      <c r="D54" s="513">
        <f ca="1">C68</f>
        <v>89</v>
      </c>
      <c r="E54" s="319" t="s">
        <v>303</v>
      </c>
      <c r="F54" s="515">
        <f>'数据-取费表'!B41</f>
        <v>5.5000000000000007E-2</v>
      </c>
      <c r="G54" s="465"/>
      <c r="H54" s="2279"/>
      <c r="I54" s="2278"/>
      <c r="J54" s="1500">
        <v>3</v>
      </c>
      <c r="K54" s="3530" t="s">
        <v>780</v>
      </c>
      <c r="L54" s="3530"/>
      <c r="M54" s="3267">
        <f t="shared" ca="1" si="0"/>
        <v>279</v>
      </c>
      <c r="N54" s="1499" t="str">
        <f t="shared" si="0"/>
        <v>增值额×税（费）率</v>
      </c>
      <c r="O54" s="3269" t="str">
        <f t="shared" si="0"/>
        <v>——</v>
      </c>
    </row>
    <row r="55" spans="1:35" ht="24" customHeight="1">
      <c r="A55" s="3475" t="s">
        <v>304</v>
      </c>
      <c r="B55" s="3476"/>
      <c r="C55" s="3476"/>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530" t="str">
        <f>IF(H59="非个人房产","——","个人所得税")</f>
        <v>——</v>
      </c>
      <c r="L55" s="3530"/>
      <c r="M55" s="3270" t="str">
        <f>D59</f>
        <v>——</v>
      </c>
      <c r="N55" s="3271" t="str">
        <f>E59</f>
        <v>——</v>
      </c>
      <c r="O55" s="3272" t="str">
        <f>F59</f>
        <v>——</v>
      </c>
    </row>
    <row r="56" spans="1:35" ht="24.75">
      <c r="A56" s="3475" t="s">
        <v>306</v>
      </c>
      <c r="B56" s="3476"/>
      <c r="C56" s="3476"/>
      <c r="D56" s="516">
        <f ca="1">IF(H56="个人住宅",D57,D58)</f>
        <v>279</v>
      </c>
      <c r="E56" s="299" t="s">
        <v>307</v>
      </c>
      <c r="F56" s="515" t="str">
        <f>IF(H56="正常",F58,"免征")</f>
        <v>——</v>
      </c>
      <c r="G56" s="1255" t="s">
        <v>781</v>
      </c>
      <c r="H56" s="1430" t="s">
        <v>155</v>
      </c>
      <c r="I56" s="2280"/>
      <c r="J56" s="1500" t="str">
        <f>IF(项目基本情况!K6="上海银行",IF(J55="",4,J55+1),"")</f>
        <v/>
      </c>
      <c r="K56" s="3557" t="str">
        <f>IF(项目基本情况!K6="上海银行","其他处置费用","")</f>
        <v/>
      </c>
      <c r="L56" s="3558"/>
      <c r="M56" s="3267" t="str">
        <f>IF(项目基本情况!K6="上海银行",M69,"")</f>
        <v/>
      </c>
      <c r="N56" s="3560" t="str">
        <f>IF(项目基本情况!K6="上海银行","包含处置中涉及的律师、诉讼、拍卖、评估等费用","")</f>
        <v/>
      </c>
      <c r="O56" s="3561"/>
    </row>
    <row r="57" spans="1:35" ht="12.75">
      <c r="A57" s="514" t="s">
        <v>292</v>
      </c>
      <c r="B57" s="3492" t="s">
        <v>308</v>
      </c>
      <c r="C57" s="3515"/>
      <c r="D57" s="518">
        <v>0</v>
      </c>
      <c r="E57" s="312" t="s">
        <v>293</v>
      </c>
      <c r="F57" s="486"/>
      <c r="G57" s="465"/>
      <c r="H57" s="2280"/>
      <c r="I57" s="2280"/>
      <c r="J57" s="3540">
        <f>IF(AND(J55="",J56=""),4,IF(项目基本情况!K6="上海银行",结果表!J56+1,结果表!J55+1))</f>
        <v>4</v>
      </c>
      <c r="K57" s="3530" t="s">
        <v>782</v>
      </c>
      <c r="L57" s="3273" t="s">
        <v>223</v>
      </c>
      <c r="M57" s="3274"/>
      <c r="N57" s="3275">
        <f ca="1">SUMIF(M52:M56,"&lt;9e307")</f>
        <v>369</v>
      </c>
      <c r="O57" s="3276"/>
      <c r="P57" s="3263">
        <f ca="1">N57/M49</f>
        <v>0.2176991150442478</v>
      </c>
    </row>
    <row r="58" spans="1:35" ht="24.75">
      <c r="A58" s="514" t="s">
        <v>296</v>
      </c>
      <c r="B58" s="3492" t="s">
        <v>309</v>
      </c>
      <c r="C58" s="3493"/>
      <c r="D58" s="516">
        <f ca="1">IF(H58="转让取得",C81,C97)</f>
        <v>279</v>
      </c>
      <c r="E58" s="299" t="s">
        <v>307</v>
      </c>
      <c r="F58" s="313" t="s">
        <v>171</v>
      </c>
      <c r="G58" s="465"/>
      <c r="H58" s="1430" t="s">
        <v>1133</v>
      </c>
      <c r="I58" s="2280"/>
      <c r="J58" s="3540"/>
      <c r="K58" s="3530"/>
      <c r="L58" s="3273" t="s">
        <v>224</v>
      </c>
      <c r="M58" s="3277"/>
      <c r="N58" s="3278" t="str">
        <f ca="1">NUMBERSTRING(INT(N57*10000),2)&amp;"元整"</f>
        <v>叁佰陆拾玖万元整</v>
      </c>
      <c r="O58" s="3279"/>
    </row>
    <row r="59" spans="1:35" ht="24.75" thickBot="1">
      <c r="A59" s="3533" t="s">
        <v>310</v>
      </c>
      <c r="B59" s="3534"/>
      <c r="C59" s="3534"/>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531">
        <f>J57+1</f>
        <v>5</v>
      </c>
      <c r="K59" s="3530" t="s">
        <v>172</v>
      </c>
      <c r="L59" s="1499" t="s">
        <v>223</v>
      </c>
      <c r="M59" s="3280"/>
      <c r="N59" s="3281">
        <f ca="1">M49-N57</f>
        <v>1326</v>
      </c>
      <c r="O59" s="3282"/>
    </row>
    <row r="60" spans="1:35" ht="12" customHeight="1">
      <c r="A60" s="1257"/>
      <c r="B60" s="1242"/>
      <c r="C60" s="1242"/>
      <c r="D60" s="1242"/>
      <c r="E60" s="229"/>
      <c r="F60" s="2280"/>
      <c r="G60" s="2280"/>
      <c r="H60" s="2281"/>
      <c r="I60" s="2275"/>
      <c r="J60" s="3532"/>
      <c r="K60" s="3530"/>
      <c r="L60" s="3273" t="s">
        <v>224</v>
      </c>
      <c r="M60" s="3277"/>
      <c r="N60" s="3278" t="str">
        <f ca="1">NUMBERSTRING(INT(N59*10000),2)&amp;"元整"</f>
        <v>壹仟叁佰贰拾陆万元整</v>
      </c>
      <c r="O60" s="3279"/>
    </row>
    <row r="61" spans="1:35" ht="13.5" thickBot="1">
      <c r="A61" s="3473" t="s">
        <v>311</v>
      </c>
      <c r="B61" s="3473"/>
      <c r="C61" s="3473"/>
      <c r="D61" s="3473"/>
      <c r="E61" s="3473"/>
      <c r="F61" s="2280"/>
      <c r="G61" s="2280"/>
      <c r="H61" s="2281"/>
      <c r="I61" s="2275"/>
      <c r="J61" s="1500">
        <f>J59+1</f>
        <v>6</v>
      </c>
      <c r="K61" s="3530" t="s">
        <v>225</v>
      </c>
      <c r="L61" s="3530"/>
      <c r="M61" s="3283"/>
      <c r="N61" s="3284">
        <f ca="1">ROUND(N59*10000/'数据-汇总表'!E3,0)</f>
        <v>6237</v>
      </c>
      <c r="O61" s="3285"/>
    </row>
    <row r="62" spans="1:35" ht="12.75">
      <c r="A62" s="3490" t="s">
        <v>312</v>
      </c>
      <c r="B62" s="3491"/>
      <c r="C62" s="1916"/>
      <c r="D62" s="1916" t="s">
        <v>320</v>
      </c>
      <c r="E62" s="523" t="s">
        <v>321</v>
      </c>
      <c r="F62" s="2280"/>
      <c r="G62" s="2280"/>
      <c r="H62" s="2281"/>
      <c r="I62" s="2275"/>
    </row>
    <row r="63" spans="1:35" ht="12.75">
      <c r="A63" s="534" t="s">
        <v>1895</v>
      </c>
      <c r="B63" s="524" t="s">
        <v>313</v>
      </c>
      <c r="C63" s="525">
        <f ca="1">ROUND((C64+C65)/(1+'数据-取费表'!C42),0)</f>
        <v>1614</v>
      </c>
      <c r="D63" s="526"/>
      <c r="E63" s="527"/>
      <c r="F63" s="2280"/>
      <c r="G63" s="2280"/>
      <c r="H63" s="2281"/>
      <c r="I63" s="2275"/>
      <c r="J63" s="3559" t="s">
        <v>2978</v>
      </c>
      <c r="K63" s="3262" t="s">
        <v>2979</v>
      </c>
      <c r="L63" s="3260">
        <f ca="1">IF(M49&gt;10000,M49*0.5%,IF(AND(M49&gt;1000,M49&lt;=10000),M49*1%,IF(AND(M49&gt;100,M49&lt;=1000),M49*3%,IF(AND(M49&gt;10,M49&lt;=100),M49*5%,M49*8%))))</f>
        <v>16.95</v>
      </c>
      <c r="M63" s="313">
        <f ca="1">ROUND(L63,1)</f>
        <v>17</v>
      </c>
      <c r="Z63" s="1433"/>
      <c r="AI63" s="1243"/>
    </row>
    <row r="64" spans="1:35" ht="14.25" customHeight="1">
      <c r="A64" s="528" t="s">
        <v>1890</v>
      </c>
      <c r="B64" s="529" t="s">
        <v>314</v>
      </c>
      <c r="C64" s="530">
        <f ca="1">D45</f>
        <v>1695</v>
      </c>
      <c r="D64" s="531" t="s">
        <v>167</v>
      </c>
      <c r="E64" s="532"/>
      <c r="F64" s="2280"/>
      <c r="G64" s="2280"/>
      <c r="H64" s="2281"/>
      <c r="I64" s="2275"/>
      <c r="J64" s="3559"/>
      <c r="K64" s="3262" t="s">
        <v>2980</v>
      </c>
      <c r="L64" s="3260">
        <f ca="1">IF(M49&gt;2000,M49*0.5%,IF(AND(M49&gt;1000,M49&lt;=2000),M49*0.6%,IF(AND(M49&gt;500,M49&lt;=1000),M49*0.7%,IF(AND(M49&gt;200,M49&lt;=500),M49*0.8%,IF(AND(M49&gt;100,M49&lt;=200),M49*0.9%,IF(AND(M49&gt;50,M49&lt;=100),M49*1%,IF(AND(M49&gt;20,M49&lt;=50),M49*1.5%,IF(AND(M49&gt;10,M49&lt;=20),M49*2%,IF(AND(M49&gt;1,M49&lt;=10),M49*2.5%)))))))))</f>
        <v>10.17</v>
      </c>
      <c r="M64" s="313">
        <f t="shared" ref="M64:M65" ca="1" si="1">ROUND(L64,1)</f>
        <v>10.199999999999999</v>
      </c>
      <c r="N64" s="468" t="s">
        <v>2986</v>
      </c>
      <c r="Z64" s="1433"/>
      <c r="AI64" s="1243"/>
    </row>
    <row r="65" spans="1:35" ht="14.25" customHeight="1">
      <c r="A65" s="528" t="s">
        <v>1891</v>
      </c>
      <c r="B65" s="529" t="s">
        <v>315</v>
      </c>
      <c r="C65" s="533"/>
      <c r="D65" s="531"/>
      <c r="E65" s="532"/>
      <c r="F65" s="2280"/>
      <c r="G65" s="2280"/>
      <c r="H65" s="2281"/>
      <c r="I65" s="2275"/>
      <c r="J65" s="3559"/>
      <c r="K65" s="3262" t="s">
        <v>2981</v>
      </c>
      <c r="L65" s="3260">
        <f ca="1">IF(M49&gt;1000,M49*0.1%,IF(AND(M49&gt;500,M49&lt;=1000),M49*0.5%,IF(AND(M49&gt;50,M49&lt;=500),M49*1%,IF(AND(M49&gt;1,M49&lt;=50),M49*1.5%))))</f>
        <v>1.6950000000000001</v>
      </c>
      <c r="M65" s="313">
        <f t="shared" ca="1" si="1"/>
        <v>1.7</v>
      </c>
      <c r="N65" s="468" t="s">
        <v>2987</v>
      </c>
      <c r="Z65" s="1433"/>
      <c r="AI65" s="1243"/>
    </row>
    <row r="66" spans="1:35" ht="14.25" customHeight="1">
      <c r="A66" s="534" t="s">
        <v>1892</v>
      </c>
      <c r="B66" s="535" t="s">
        <v>316</v>
      </c>
      <c r="C66" s="536"/>
      <c r="D66" s="537" t="s">
        <v>167</v>
      </c>
      <c r="E66" s="3314" t="s">
        <v>3023</v>
      </c>
      <c r="F66" s="2280"/>
      <c r="G66" s="2280"/>
      <c r="H66" s="2281"/>
      <c r="I66" s="2275"/>
      <c r="J66" s="3559"/>
      <c r="K66" s="3262" t="s">
        <v>2982</v>
      </c>
      <c r="L66" s="3260">
        <f ca="1">M49*0.5%</f>
        <v>8.4749999999999996</v>
      </c>
      <c r="M66" s="313">
        <f ca="1">IF(L66&gt;0.5,0.5,ROUND(L66,0))</f>
        <v>0.5</v>
      </c>
      <c r="N66" s="468" t="s">
        <v>2988</v>
      </c>
      <c r="Z66" s="1433"/>
      <c r="AI66" s="1243"/>
    </row>
    <row r="67" spans="1:35" ht="14.25" customHeight="1">
      <c r="A67" s="534" t="s">
        <v>1893</v>
      </c>
      <c r="B67" s="535" t="s">
        <v>317</v>
      </c>
      <c r="C67" s="538">
        <f ca="1">C63-C66</f>
        <v>1614</v>
      </c>
      <c r="D67" s="531" t="s">
        <v>167</v>
      </c>
      <c r="E67" s="532"/>
      <c r="F67" s="2280"/>
      <c r="G67" s="2280"/>
      <c r="H67" s="2281"/>
      <c r="I67" s="2275"/>
      <c r="J67" s="3559"/>
      <c r="K67" s="3262" t="s">
        <v>2983</v>
      </c>
      <c r="L67" s="3260">
        <f ca="1">IF(M49&gt;=10000,(8.25+(M49-10000)*0.01%),IF(AND(M49&gt;=8000,M49&lt;10000),(7.85+(M49-8000)*0.02%),IF(AND(M49&gt;=5000,M49&lt;8000),(6.65+(M49-5000)*0.04%),IF(AND(M49&gt;=2000,M49&lt;5000),(4.25+(PM49-2000)*0.08%),IF(AND(M49&gt;=1000,M49&lt;2000),(2.75+(M49-1000)*0.15%),IF(AND(M49&gt;=100,M49&lt;1000),(0.5+(M49-100)*0.25%),IF(AND(M49&gt;0,M49&lt;100),M49*0.5%)))))))</f>
        <v>3.7925</v>
      </c>
      <c r="M67" s="313">
        <f ca="1">ROUND(L67*0.9,1)</f>
        <v>3.4</v>
      </c>
      <c r="Z67" s="1433"/>
      <c r="AI67" s="1243"/>
    </row>
    <row r="68" spans="1:35" ht="14.25" customHeight="1" thickBot="1">
      <c r="A68" s="539" t="s">
        <v>1894</v>
      </c>
      <c r="B68" s="540" t="s">
        <v>318</v>
      </c>
      <c r="C68" s="541">
        <f ca="1">IF(C67&lt;=0,0,ROUND(C67*D68,0))</f>
        <v>89</v>
      </c>
      <c r="D68" s="542">
        <f>'数据-取费表'!B41</f>
        <v>5.5000000000000007E-2</v>
      </c>
      <c r="E68" s="543"/>
      <c r="F68" s="2280"/>
      <c r="G68" s="2280"/>
      <c r="H68" s="2281"/>
      <c r="I68" s="2275"/>
      <c r="J68" s="3559"/>
      <c r="K68" s="3262" t="s">
        <v>2984</v>
      </c>
      <c r="L68" s="3260">
        <f ca="1">IF(M49&gt;10000,M49*0.5%,IF(AND(M49&gt;5000,M49&lt;=10000),M49*1%,IF(AND(M49&gt;1000,M49&lt;=5000),M49*2%,IF(AND(M49&gt;200,M49&lt;=1000),M49*3%,M49*5%))))</f>
        <v>33.9</v>
      </c>
      <c r="M68" s="313">
        <f ca="1">ROUND(L68,1)</f>
        <v>33.9</v>
      </c>
      <c r="Z68" s="1433"/>
      <c r="AI68" s="1243"/>
    </row>
    <row r="69" spans="1:35" s="1244" customFormat="1" ht="16.5" customHeight="1">
      <c r="A69" s="1258"/>
      <c r="B69" s="1259"/>
      <c r="C69" s="1260"/>
      <c r="D69" s="1261"/>
      <c r="E69" s="1262"/>
      <c r="F69" s="229"/>
      <c r="G69" s="229"/>
      <c r="H69" s="241"/>
      <c r="I69" s="1242"/>
      <c r="J69" s="3559"/>
      <c r="K69" s="3262" t="s">
        <v>187</v>
      </c>
      <c r="L69" s="3261"/>
      <c r="M69" s="313">
        <f ca="1">ROUND(SUM(M63:M68),0)</f>
        <v>67</v>
      </c>
      <c r="N69" s="3263">
        <f ca="1">M69/M49</f>
        <v>3.9528023598820058E-2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3" t="s">
        <v>319</v>
      </c>
      <c r="B70" s="3514"/>
      <c r="C70" s="3514"/>
      <c r="D70" s="3514"/>
      <c r="E70" s="3514"/>
      <c r="F70" s="3514"/>
      <c r="G70" s="3514"/>
      <c r="H70" s="3514"/>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90" t="s">
        <v>312</v>
      </c>
      <c r="B71" s="3491"/>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1614</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8</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2406</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485" t="s">
        <v>328</v>
      </c>
      <c r="F76" s="3460"/>
      <c r="G76" s="3460"/>
      <c r="H76" s="3512"/>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2495</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8</v>
      </c>
      <c r="D78" s="557">
        <f>'数据-取费表'!B43</f>
        <v>5.000000000000001E-3</v>
      </c>
      <c r="E78" s="3480" t="s">
        <v>2496</v>
      </c>
      <c r="F78" s="3471"/>
      <c r="G78" s="3471"/>
      <c r="H78" s="3481"/>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1606</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200.75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961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3" t="s">
        <v>334</v>
      </c>
      <c r="B83" s="3514"/>
      <c r="C83" s="3514"/>
      <c r="D83" s="3514"/>
      <c r="E83" s="3514"/>
      <c r="F83" s="3514"/>
      <c r="G83" s="3514"/>
      <c r="H83" s="3514"/>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90" t="s">
        <v>312</v>
      </c>
      <c r="B84" s="3491"/>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1614</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815.13</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365">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 ca="1">IF(H91="——",成本法!C33,I91)</f>
        <v>492</v>
      </c>
      <c r="D91" s="557"/>
      <c r="E91" s="3470" t="s">
        <v>794</v>
      </c>
      <c r="F91" s="3471"/>
      <c r="G91" s="3471"/>
      <c r="H91" s="1429" t="s">
        <v>531</v>
      </c>
      <c r="I91" s="3364">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 ca="1">ROUND((C87+C90+C91)*D92,0)</f>
        <v>62</v>
      </c>
      <c r="D92" s="557">
        <v>0.1</v>
      </c>
      <c r="E92" s="3470" t="s">
        <v>343</v>
      </c>
      <c r="F92" s="3471"/>
      <c r="G92" s="3471"/>
      <c r="H92" s="3481"/>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8</v>
      </c>
      <c r="D93" s="557">
        <f>'数据-取费表'!B43</f>
        <v>5.000000000000001E-3</v>
      </c>
      <c r="E93" s="3480" t="s">
        <v>2496</v>
      </c>
      <c r="F93" s="3471"/>
      <c r="G93" s="3471"/>
      <c r="H93" s="3481"/>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 ca="1">ROUND((C87+C90+C91)*D94,0)</f>
        <v>124</v>
      </c>
      <c r="D94" s="557">
        <v>0.2</v>
      </c>
      <c r="E94" s="3482" t="s">
        <v>3038</v>
      </c>
      <c r="F94" s="3483"/>
      <c r="G94" s="3483"/>
      <c r="H94" s="3484"/>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799</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0.98021174536576994</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279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54" t="s">
        <v>230</v>
      </c>
      <c r="B100" s="3455"/>
      <c r="C100" s="3455"/>
      <c r="D100" s="3472"/>
      <c r="E100" s="3455" t="s">
        <v>2892</v>
      </c>
      <c r="F100" s="3455"/>
      <c r="G100" s="3455"/>
      <c r="H100" s="3472"/>
      <c r="I100" s="2275"/>
    </row>
    <row r="101" spans="1:35" ht="18.75" customHeight="1">
      <c r="A101" s="3538" t="s">
        <v>208</v>
      </c>
      <c r="B101" s="3539"/>
      <c r="C101" s="1265" t="str">
        <f>C4</f>
        <v>成本法</v>
      </c>
      <c r="D101" s="1266" t="str">
        <f>D4</f>
        <v>收益法</v>
      </c>
      <c r="E101" s="3556" t="s">
        <v>1909</v>
      </c>
      <c r="F101" s="3505"/>
      <c r="G101" s="1267" t="s">
        <v>210</v>
      </c>
      <c r="H101" s="1984">
        <f ca="1">H118</f>
        <v>1695</v>
      </c>
      <c r="I101" s="2275"/>
    </row>
    <row r="102" spans="1:35" ht="18.75" customHeight="1">
      <c r="A102" s="3507" t="s">
        <v>209</v>
      </c>
      <c r="B102" s="1267" t="s">
        <v>210</v>
      </c>
      <c r="C102" s="1234">
        <f ca="1">C19</f>
        <v>1500</v>
      </c>
      <c r="D102" s="1235">
        <f ca="1">D19</f>
        <v>1889</v>
      </c>
      <c r="E102" s="3556"/>
      <c r="F102" s="3505"/>
      <c r="G102" s="1267" t="s">
        <v>211</v>
      </c>
      <c r="H102" s="710">
        <f ca="1">I118</f>
        <v>7973</v>
      </c>
      <c r="I102" s="2275"/>
    </row>
    <row r="103" spans="1:35" ht="42.75" customHeight="1">
      <c r="A103" s="3507"/>
      <c r="B103" s="1267" t="s">
        <v>211</v>
      </c>
      <c r="C103" s="1236">
        <f ca="1">C20</f>
        <v>7056</v>
      </c>
      <c r="D103" s="1237">
        <f ca="1">D20</f>
        <v>8885</v>
      </c>
      <c r="E103" s="3551" t="s">
        <v>3001</v>
      </c>
      <c r="F103" s="3552"/>
      <c r="G103" s="1268" t="s">
        <v>213</v>
      </c>
      <c r="H103" s="1984">
        <f>IF(D36="正常操作",H104+H105+H106,H105+H106)</f>
        <v>0</v>
      </c>
      <c r="I103" s="2275"/>
    </row>
    <row r="104" spans="1:35" ht="18.75" customHeight="1">
      <c r="A104" s="3507" t="s">
        <v>212</v>
      </c>
      <c r="B104" s="1269" t="s">
        <v>210</v>
      </c>
      <c r="C104" s="1238">
        <f ca="1">H118</f>
        <v>1695</v>
      </c>
      <c r="D104" s="1239"/>
      <c r="E104" s="13" t="s">
        <v>1908</v>
      </c>
      <c r="F104" s="6"/>
      <c r="G104" s="1268" t="s">
        <v>213</v>
      </c>
      <c r="H104" s="1985">
        <f>IF(D36="同一抵押权人同一抵押物续贷",C36&amp;"（未扣减，详见特别提示）",C36)</f>
        <v>0</v>
      </c>
      <c r="I104" s="2275"/>
    </row>
    <row r="105" spans="1:35" ht="18.75" customHeight="1" thickBot="1">
      <c r="A105" s="3508"/>
      <c r="B105" s="1270" t="s">
        <v>211</v>
      </c>
      <c r="C105" s="1240">
        <f ca="1">I118</f>
        <v>7973</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504" t="str">
        <f>IF(项目基本情况!E8="已注销","——","3.房地产抵押价值")</f>
        <v>3.房地产抵押价值</v>
      </c>
      <c r="F107" s="3505"/>
      <c r="G107" s="1267" t="s">
        <v>210</v>
      </c>
      <c r="H107" s="1984">
        <f ca="1">IF(E107="——","——",H101-H103)</f>
        <v>1695</v>
      </c>
      <c r="I107" s="2275"/>
    </row>
    <row r="108" spans="1:35" ht="18.75" customHeight="1">
      <c r="A108" s="2275"/>
      <c r="B108" s="2275"/>
      <c r="C108" s="2275"/>
      <c r="D108" s="2275"/>
      <c r="E108" s="3504"/>
      <c r="F108" s="3505"/>
      <c r="G108" s="1267" t="s">
        <v>211</v>
      </c>
      <c r="H108" s="710">
        <f ca="1">ROUND(H107*10000/'数据-汇总表'!E3,0)</f>
        <v>7973</v>
      </c>
      <c r="I108" s="2275"/>
    </row>
    <row r="109" spans="1:35" ht="18.75" customHeight="1">
      <c r="A109" s="2275"/>
      <c r="B109" s="2275"/>
      <c r="C109" s="2275"/>
      <c r="D109" s="2275"/>
      <c r="E109" s="3504" t="str">
        <f>IF(项目基本情况!E8="已注销及未注销","4.抵押担保权已注销时的房地产抵押价值",IF(项目基本情况!E8="已注销","3.抵押担保权已注销时的房地产抵押价值","——"))</f>
        <v>——</v>
      </c>
      <c r="F109" s="3505"/>
      <c r="G109" s="1267" t="s">
        <v>210</v>
      </c>
      <c r="H109" s="684" t="str">
        <f>IF(E109="——","——",H101-H105-H106)</f>
        <v>——</v>
      </c>
      <c r="I109" s="2275"/>
    </row>
    <row r="110" spans="1:35" ht="18.75" customHeight="1">
      <c r="A110" s="2275"/>
      <c r="B110" s="2275"/>
      <c r="C110" s="2275"/>
      <c r="D110" s="2275"/>
      <c r="E110" s="3504"/>
      <c r="F110" s="3505"/>
      <c r="G110" s="1267" t="s">
        <v>211</v>
      </c>
      <c r="H110" s="710" t="str">
        <f>IF(H109="——","——",ROUND(H109*10000/'数据-汇总表'!E3,0))</f>
        <v>——</v>
      </c>
      <c r="I110" s="2275"/>
    </row>
    <row r="111" spans="1:35" ht="18.75" customHeight="1">
      <c r="A111" s="2275"/>
      <c r="B111" s="2275"/>
      <c r="C111" s="2275"/>
      <c r="D111" s="2275"/>
      <c r="E111" s="3541" t="str">
        <f>IF(项目基本情况!E9="抵押净值",IF(OR(项目基本情况!E8="已注销",项目基本情况!E8="房地产抵押价值"),"4.抵押净值","5.抵押净值"),"——")</f>
        <v>——</v>
      </c>
      <c r="F111" s="3542"/>
      <c r="G111" s="1267" t="s">
        <v>210</v>
      </c>
      <c r="H111" s="1984" t="str">
        <f>IF(E111="——","——",N59)</f>
        <v>——</v>
      </c>
      <c r="I111" s="2275"/>
    </row>
    <row r="112" spans="1:35" ht="18.75" customHeight="1" thickBot="1">
      <c r="A112" s="2275"/>
      <c r="B112" s="2275"/>
      <c r="C112" s="2275"/>
      <c r="D112" s="2275"/>
      <c r="E112" s="3543"/>
      <c r="F112" s="3544"/>
      <c r="G112" s="1271" t="s">
        <v>211</v>
      </c>
      <c r="H112" s="1422" t="str">
        <f>IF(E111="——","——",N61)</f>
        <v>——</v>
      </c>
      <c r="I112" s="2275"/>
    </row>
    <row r="113" spans="1:11" ht="18.75" customHeight="1">
      <c r="A113" s="2275"/>
      <c r="B113" s="2275"/>
      <c r="C113" s="2275"/>
      <c r="D113" s="2275"/>
      <c r="E113" s="3509" t="s">
        <v>2002</v>
      </c>
      <c r="F113" s="3509"/>
      <c r="G113" s="3509"/>
      <c r="H113" s="3509"/>
      <c r="I113" s="2275"/>
    </row>
    <row r="114" spans="1:11" ht="3.75" customHeight="1">
      <c r="A114" s="1242"/>
      <c r="B114" s="1242"/>
      <c r="C114" s="1242"/>
      <c r="D114" s="1242"/>
      <c r="E114" s="1257"/>
      <c r="F114" s="1257"/>
      <c r="G114" s="1257"/>
      <c r="H114" s="1257"/>
      <c r="I114" s="1242"/>
    </row>
    <row r="115" spans="1:11" ht="18.75" customHeight="1">
      <c r="A115" s="3523" t="s">
        <v>226</v>
      </c>
      <c r="B115" s="3524"/>
      <c r="C115" s="3524"/>
      <c r="D115" s="3524"/>
      <c r="E115" s="3524"/>
      <c r="F115" s="3524"/>
      <c r="G115" s="3524"/>
      <c r="H115" s="3524"/>
      <c r="I115" s="3525"/>
    </row>
    <row r="116" spans="1:11" ht="27" customHeight="1">
      <c r="A116" s="3412" t="s">
        <v>5</v>
      </c>
      <c r="B116" s="3510" t="s">
        <v>783</v>
      </c>
      <c r="C116" s="3510" t="s">
        <v>784</v>
      </c>
      <c r="D116" s="3527" t="s">
        <v>206</v>
      </c>
      <c r="E116" s="3528"/>
      <c r="F116" s="3519" t="s">
        <v>2376</v>
      </c>
      <c r="G116" s="3519"/>
      <c r="H116" s="3412" t="s">
        <v>6</v>
      </c>
      <c r="I116" s="3412"/>
    </row>
    <row r="117" spans="1:11" ht="18.75" customHeight="1">
      <c r="A117" s="3412"/>
      <c r="B117" s="3511"/>
      <c r="C117" s="3511"/>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1205</v>
      </c>
      <c r="E118" s="1918">
        <f ca="1">ROUND(IF(C33="自定义",IF(D32="楼面单价",C34,D118*10000/B118),I118-G118),0)</f>
        <v>5668</v>
      </c>
      <c r="F118" s="1918">
        <f ca="1">ROUND(IF(D32="总价",C35,G118*B118/10000),0)</f>
        <v>490</v>
      </c>
      <c r="G118" s="1918">
        <f ca="1">ROUND(IF(D32="楼面单价",C35,F118*10000/B118),0)</f>
        <v>2305</v>
      </c>
      <c r="H118" s="1918">
        <f ca="1">ROUND(IF(D32="总价",C32,I118*B118/10000),0)</f>
        <v>1695</v>
      </c>
      <c r="I118" s="1918">
        <f ca="1">ROUND(IF(D32="楼面单价",C32,H118*10000/B118),0)</f>
        <v>7973</v>
      </c>
    </row>
    <row r="119" spans="1:11" ht="18.75" customHeight="1">
      <c r="A119" s="3412" t="s">
        <v>9</v>
      </c>
      <c r="B119" s="3412"/>
      <c r="C119" s="3412"/>
      <c r="D119" s="3516" t="str">
        <f ca="1">NUMBERSTRING(INT(D118*10000),2)&amp;"元整"</f>
        <v>壹仟贰佰零伍万元整</v>
      </c>
      <c r="E119" s="3518"/>
      <c r="F119" s="3516" t="str">
        <f ca="1">NUMBERSTRING(INT(F118*10000),2)&amp;"元整"</f>
        <v>肆佰玖拾万元整</v>
      </c>
      <c r="G119" s="3518"/>
      <c r="H119" s="3516" t="str">
        <f ca="1">NUMBERSTRING(INT(H118*10000),2)&amp;"元整"</f>
        <v>壹仟陆佰玖拾伍万元整</v>
      </c>
      <c r="I119" s="3518"/>
    </row>
    <row r="120" spans="1:11" ht="18.75" customHeight="1">
      <c r="A120" s="3548" t="str">
        <f>IF(项目基本情况!B9="房地产市场价值","",MID(E103,3,LEN(E103)-2))</f>
        <v>估价师知悉的法定优先受偿款</v>
      </c>
      <c r="B120" s="3549"/>
      <c r="C120" s="3550"/>
      <c r="D120" s="3545">
        <f>H103</f>
        <v>0</v>
      </c>
      <c r="E120" s="3546"/>
      <c r="F120" s="3546"/>
      <c r="G120" s="3546"/>
      <c r="H120" s="3546"/>
      <c r="I120" s="3547"/>
      <c r="K120" s="1433" t="str">
        <f>IF(D120=0,"故，本次评估不存在"&amp;A120,"故，本次评估"&amp;A120&amp;"为人民币"&amp;D120&amp;"万元整。")</f>
        <v>故，本次评估不存在估价师知悉的法定优先受偿款</v>
      </c>
    </row>
    <row r="121" spans="1:11" ht="18.75" customHeight="1">
      <c r="A121" s="3520" t="s">
        <v>9</v>
      </c>
      <c r="B121" s="3521"/>
      <c r="C121" s="3522"/>
      <c r="D121" s="3516" t="str">
        <f>IF(D120=0,"零元整",NUMBERSTRING(INT(D120*10000),2)&amp;"元整")</f>
        <v>零元整</v>
      </c>
      <c r="E121" s="3517"/>
      <c r="F121" s="3517"/>
      <c r="G121" s="3517"/>
      <c r="H121" s="3517"/>
      <c r="I121" s="3518"/>
    </row>
    <row r="122" spans="1:11" ht="18.75" customHeight="1">
      <c r="A122" s="3506" t="str">
        <f>IF(项目基本情况!B9="房地产市场价值","",MID(E107,3,LEN(E107)-2))</f>
        <v>房地产抵押价值</v>
      </c>
      <c r="B122" s="3506"/>
      <c r="C122" s="3506"/>
      <c r="D122" s="3545">
        <f ca="1">H107</f>
        <v>1695</v>
      </c>
      <c r="E122" s="3546"/>
      <c r="F122" s="3546"/>
      <c r="G122" s="3546"/>
      <c r="H122" s="3546"/>
      <c r="I122" s="3547"/>
    </row>
    <row r="123" spans="1:11" ht="18.75" customHeight="1">
      <c r="A123" s="3412" t="s">
        <v>9</v>
      </c>
      <c r="B123" s="3412"/>
      <c r="C123" s="3412"/>
      <c r="D123" s="3516" t="str">
        <f ca="1">NUMBERSTRING(INT(D122*10000),2)&amp;"元整"</f>
        <v>壹仟陆佰玖拾伍万元整</v>
      </c>
      <c r="E123" s="3517"/>
      <c r="F123" s="3517"/>
      <c r="G123" s="3517"/>
      <c r="H123" s="3517"/>
      <c r="I123" s="3518"/>
    </row>
    <row r="124" spans="1:11" ht="18.75" customHeight="1">
      <c r="A124" s="3506" t="str">
        <f>IF(项目基本情况!B9="房地产市场价值","",MID(E109,3,LEN(E109)-2))</f>
        <v/>
      </c>
      <c r="B124" s="3506"/>
      <c r="C124" s="3506"/>
      <c r="D124" s="3545" t="str">
        <f>H109</f>
        <v>——</v>
      </c>
      <c r="E124" s="3546"/>
      <c r="F124" s="3546"/>
      <c r="G124" s="3546"/>
      <c r="H124" s="3546"/>
      <c r="I124" s="3547"/>
    </row>
    <row r="125" spans="1:11" ht="18.75" customHeight="1">
      <c r="A125" s="3412" t="s">
        <v>9</v>
      </c>
      <c r="B125" s="3412"/>
      <c r="C125" s="3412"/>
      <c r="D125" s="3516" t="e">
        <f>NUMBERSTRING(INT(D124*10000),2)&amp;"元整"</f>
        <v>#VALUE!</v>
      </c>
      <c r="E125" s="3517"/>
      <c r="F125" s="3517"/>
      <c r="G125" s="3517"/>
      <c r="H125" s="3517"/>
      <c r="I125" s="3518"/>
    </row>
    <row r="126" spans="1:11" ht="18.75" customHeight="1">
      <c r="A126" s="3506" t="str">
        <f>IF(项目基本情况!B9="房地产市场价值","",MID(E111,3,LEN(E111)-2))</f>
        <v/>
      </c>
      <c r="B126" s="3506"/>
      <c r="C126" s="3506"/>
      <c r="D126" s="3545" t="str">
        <f>H111</f>
        <v>——</v>
      </c>
      <c r="E126" s="3546"/>
      <c r="F126" s="3546"/>
      <c r="G126" s="3546"/>
      <c r="H126" s="3546"/>
      <c r="I126" s="3547"/>
    </row>
    <row r="127" spans="1:11" ht="18.75" customHeight="1">
      <c r="A127" s="3412" t="s">
        <v>9</v>
      </c>
      <c r="B127" s="3412"/>
      <c r="C127" s="3412"/>
      <c r="D127" s="3516" t="e">
        <f>NUMBERSTRING(INT(D126*10000),2)&amp;"元整"</f>
        <v>#VALUE!</v>
      </c>
      <c r="E127" s="3517"/>
      <c r="F127" s="3517"/>
      <c r="G127" s="3517"/>
      <c r="H127" s="3517"/>
      <c r="I127" s="3518"/>
    </row>
    <row r="128" spans="1:11" ht="21.75" customHeight="1">
      <c r="A128" s="3526" t="s">
        <v>2001</v>
      </c>
      <c r="B128" s="3526"/>
      <c r="C128" s="3526"/>
      <c r="D128" s="3526"/>
      <c r="E128" s="3526"/>
      <c r="F128" s="3526"/>
      <c r="G128" s="3526"/>
      <c r="H128" s="3526"/>
      <c r="I128" s="3526"/>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3074</v>
      </c>
      <c r="C1" s="573"/>
      <c r="D1" s="573"/>
      <c r="E1" s="573"/>
      <c r="F1" s="573"/>
      <c r="G1" s="2751">
        <f>MATCH(B1,'数据-取费表'!A6:A16,0)+5</f>
        <v>6</v>
      </c>
    </row>
    <row r="2" spans="1:9" s="575" customFormat="1" ht="18" customHeight="1">
      <c r="A2" s="576" t="s">
        <v>446</v>
      </c>
      <c r="B2" s="577">
        <f ca="1">IF(D2="——",C52,C52-E2)</f>
        <v>1500</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7056</v>
      </c>
      <c r="C3" s="85" t="s">
        <v>866</v>
      </c>
      <c r="D3" s="574"/>
      <c r="E3" s="574"/>
      <c r="F3" s="574"/>
      <c r="G3" s="574"/>
    </row>
    <row r="4" spans="1:9" s="583" customFormat="1" ht="15.75">
      <c r="A4" s="580" t="s">
        <v>818</v>
      </c>
      <c r="B4" s="581"/>
      <c r="C4" s="581"/>
      <c r="D4" s="581"/>
      <c r="E4" s="581"/>
      <c r="F4" s="581"/>
      <c r="G4" s="582"/>
    </row>
    <row r="5" spans="1:9" s="589" customFormat="1" ht="13.5" customHeight="1">
      <c r="A5" s="630" t="s">
        <v>2497</v>
      </c>
      <c r="B5" s="585" t="s">
        <v>819</v>
      </c>
      <c r="C5" s="586">
        <f ca="1">C6+C7+C8</f>
        <v>856</v>
      </c>
      <c r="D5" s="586" t="s">
        <v>820</v>
      </c>
      <c r="E5" s="587" t="s">
        <v>821</v>
      </c>
      <c r="F5" s="587" t="s">
        <v>822</v>
      </c>
      <c r="G5" s="588"/>
    </row>
    <row r="6" spans="1:9" s="589" customFormat="1" ht="13.5" customHeight="1">
      <c r="A6" s="1802" t="s">
        <v>1921</v>
      </c>
      <c r="B6" s="590" t="s">
        <v>823</v>
      </c>
      <c r="C6" s="591">
        <f ca="1">基准地价修正!B2</f>
        <v>798</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3101</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2677</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t="str">
        <f>IF(G19="已包含在土地取得成本中","0",ROUND(D19*E19/10000,0))</f>
        <v>0</v>
      </c>
      <c r="D19" s="1911">
        <f ca="1">D9+D10</f>
        <v>2125.98</v>
      </c>
      <c r="E19" s="586">
        <f>'数据-取费表'!B31</f>
        <v>200</v>
      </c>
      <c r="F19" s="606"/>
      <c r="G19" s="84" t="s">
        <v>3102</v>
      </c>
    </row>
    <row r="20" spans="1:7" s="589" customFormat="1" ht="13.5" customHeight="1">
      <c r="A20" s="1801" t="s">
        <v>2500</v>
      </c>
      <c r="B20" s="585" t="s">
        <v>836</v>
      </c>
      <c r="C20" s="607">
        <f ca="1">ROUND((C5+C19)*F20,0)</f>
        <v>13</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698">
        <f ca="1">ROUND(IF('数据-取费表'!B22&lt;=1,C5*F22*'数据-取费表'!B23,C5*(POWER((1+F22),'数据-取费表'!B23)-1)),0)</f>
        <v>37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2501</v>
      </c>
      <c r="C25" s="2698">
        <f ca="1">ROUND(IF('数据-取费表'!B22&lt;=1,C20*F22*'数据-取费表'!B23/2,C20*(POWER((1+F22),'数据-取费表'!B23/2)-1)),0)</f>
        <v>0</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ROUND((C5+C19+C20)*F27*'数据-取费表'!B21/'数据-取费表'!B20,0)</f>
        <v>87</v>
      </c>
      <c r="D28" s="610"/>
      <c r="E28" s="611"/>
      <c r="F28" s="621"/>
      <c r="G28" s="622"/>
    </row>
    <row r="29" spans="1:7" s="589" customFormat="1" ht="13.5" customHeight="1">
      <c r="A29" s="1804" t="s">
        <v>1922</v>
      </c>
      <c r="B29" s="623" t="s">
        <v>2506</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2929</v>
      </c>
      <c r="E30" s="616"/>
      <c r="F30" s="612">
        <f>'数据-取费表'!B41</f>
        <v>5.5000000000000007E-2</v>
      </c>
      <c r="G30" s="2618" t="s">
        <v>2930</v>
      </c>
    </row>
    <row r="31" spans="1:7" ht="16.5" customHeight="1">
      <c r="A31" s="584">
        <v>1</v>
      </c>
      <c r="B31" s="585" t="s">
        <v>860</v>
      </c>
      <c r="C31" s="586">
        <f ca="1">ROUND((C5+C19+C20+C22+C27)/(1-C21-D22-D27-C30),0)</f>
        <v>1067</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ROUND(IF('数据-取费表'!B22&lt;=1,C33*F22*'数据-取费表'!B21/2,C33*(POWER((1+F22),'数据-取费表'!B21/2)-1)),0)</f>
        <v>11</v>
      </c>
      <c r="D42" s="613"/>
      <c r="E42" s="613"/>
      <c r="F42" s="614"/>
      <c r="G42" s="3562" t="s">
        <v>853</v>
      </c>
    </row>
    <row r="43" spans="1:7" ht="13.5" customHeight="1">
      <c r="A43" s="1804" t="s">
        <v>1922</v>
      </c>
      <c r="B43" s="590" t="s">
        <v>2507</v>
      </c>
      <c r="C43" s="613">
        <f ca="1">ROUND(IF('数据-取费表'!B22&lt;=1,C39*F22*'数据-取费表'!B21/2,C39*(POWER((1+F22),'数据-取费表'!B21/2)-1)),0)</f>
        <v>0</v>
      </c>
      <c r="D43" s="613"/>
      <c r="E43" s="613"/>
      <c r="F43" s="614"/>
      <c r="G43" s="3563"/>
    </row>
    <row r="44" spans="1:7" ht="13.5" customHeight="1">
      <c r="A44" s="1804" t="s">
        <v>1923</v>
      </c>
      <c r="B44" s="590" t="s">
        <v>2509</v>
      </c>
      <c r="C44" s="613">
        <f ca="1">ROUND(IF('数据-取费表'!B22&lt;=1,C40*F22*'数据-取费表'!B21/2,C40*(POWER((1+F22),'数据-取费表'!B21/2)-1)),4)</f>
        <v>2.9999999999999997E-4</v>
      </c>
      <c r="D44" s="613"/>
      <c r="E44" s="613"/>
      <c r="F44" s="614"/>
      <c r="G44" s="3564"/>
    </row>
    <row r="45" spans="1:7" s="589" customFormat="1" ht="13.5" customHeight="1">
      <c r="A45" s="1801" t="s">
        <v>1916</v>
      </c>
      <c r="B45" s="619" t="s">
        <v>844</v>
      </c>
      <c r="C45" s="620">
        <f ca="1">C46</f>
        <v>50</v>
      </c>
      <c r="D45" s="610">
        <f ca="1">C47</f>
        <v>1.5E-3</v>
      </c>
      <c r="E45" s="611" t="s">
        <v>861</v>
      </c>
      <c r="F45" s="621"/>
      <c r="G45" s="622" t="s">
        <v>2515</v>
      </c>
    </row>
    <row r="46" spans="1:7" s="589" customFormat="1" ht="13.5" customHeight="1">
      <c r="A46" s="1804" t="s">
        <v>1921</v>
      </c>
      <c r="B46" s="623" t="s">
        <v>2508</v>
      </c>
      <c r="C46" s="624">
        <f ca="1">ROUND((C33+C39)*F27,0)</f>
        <v>50</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2931</v>
      </c>
      <c r="E48" s="607"/>
      <c r="F48" s="612"/>
      <c r="G48" s="2618" t="s">
        <v>2932</v>
      </c>
    </row>
    <row r="49" spans="1:7" ht="16.5" customHeight="1">
      <c r="A49" s="1801" t="s">
        <v>1918</v>
      </c>
      <c r="B49" s="585" t="s">
        <v>863</v>
      </c>
      <c r="C49" s="607">
        <f ca="1">ROUND((C33+C39+C41+C45)/(1-C40-D41-D45-C48),0)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1500</v>
      </c>
      <c r="D52" s="641"/>
      <c r="E52" s="641"/>
      <c r="F52" s="641"/>
      <c r="G52" s="643"/>
    </row>
    <row r="55" spans="1:7" ht="15">
      <c r="B55" s="645" t="s">
        <v>356</v>
      </c>
      <c r="C55" s="646"/>
    </row>
    <row r="56" spans="1:7">
      <c r="B56" s="2870" t="s">
        <v>2689</v>
      </c>
      <c r="C56" s="650">
        <f ca="1">1-C57</f>
        <v>0.71100000000000008</v>
      </c>
    </row>
    <row r="57" spans="1:7">
      <c r="B57" s="2870" t="s">
        <v>2688</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69" t="str">
        <f>项目基本情况!B1</f>
        <v>北京市怀柔区北房镇龙云路9号房地产抵押价值预评估</v>
      </c>
      <c r="C37" s="3369"/>
      <c r="D37" s="3369"/>
      <c r="E37" s="3369"/>
      <c r="F37" s="3369"/>
      <c r="G37" s="3369"/>
      <c r="H37" s="3369"/>
      <c r="I37" s="3369"/>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2621</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2511</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753">
        <f ca="1">ROUND(IF('数据-取费表'!B22&lt;=1,C5*F22*'数据-取费表'!B22,C5*(POWER((1+F22),'数据-取费表'!B22)-1)),0)</f>
        <v>14797</v>
      </c>
      <c r="D23" s="613"/>
      <c r="E23" s="613"/>
      <c r="F23" s="614"/>
      <c r="G23" s="615" t="s">
        <v>840</v>
      </c>
    </row>
    <row r="24" spans="1:7" s="589" customFormat="1" ht="13.5" customHeight="1">
      <c r="A24" s="1804" t="s">
        <v>1922</v>
      </c>
      <c r="B24" s="590" t="s">
        <v>2499</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2501</v>
      </c>
      <c r="C25" s="2753">
        <f ca="1">ROUND(IF('数据-取费表'!B22&lt;=1,C20*F22*'数据-取费表'!B22/2,C20*(POWER((1+F22),'数据-取费表'!B22/2)-1)),0)</f>
        <v>250</v>
      </c>
      <c r="D25" s="613"/>
      <c r="E25" s="616"/>
      <c r="F25" s="614"/>
      <c r="G25" s="617" t="s">
        <v>842</v>
      </c>
    </row>
    <row r="26" spans="1:7" s="589" customFormat="1">
      <c r="A26" s="1804" t="s">
        <v>1925</v>
      </c>
      <c r="B26" s="590" t="s">
        <v>2503</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ROUND((C5+C19+C20)*F27,0)</f>
        <v>77683</v>
      </c>
      <c r="D28" s="610"/>
      <c r="E28" s="611"/>
      <c r="F28" s="621"/>
      <c r="G28" s="622"/>
    </row>
    <row r="29" spans="1:7" s="589" customFormat="1" ht="13.5" customHeight="1">
      <c r="A29" s="1804" t="s">
        <v>1922</v>
      </c>
      <c r="B29" s="623" t="s">
        <v>2506</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2933</v>
      </c>
      <c r="E30" s="616"/>
      <c r="F30" s="612">
        <f>'数据-取费表'!B41</f>
        <v>5.5000000000000007E-2</v>
      </c>
      <c r="G30" s="2618" t="s">
        <v>2934</v>
      </c>
    </row>
    <row r="31" spans="1:7" ht="16.5" customHeight="1">
      <c r="A31" s="584">
        <v>1</v>
      </c>
      <c r="B31" s="585" t="s">
        <v>860</v>
      </c>
      <c r="C31" s="586">
        <f ca="1">ROUND((C5+C19+C20+C22+C27)/(1-C21-D22-D27-C30),0)</f>
        <v>954081</v>
      </c>
      <c r="D31" s="605"/>
      <c r="E31" s="586"/>
      <c r="F31" s="625"/>
      <c r="G31" s="609" t="s">
        <v>2513</v>
      </c>
    </row>
    <row r="32" spans="1:7" s="583" customFormat="1" ht="15.75">
      <c r="A32" s="627" t="s">
        <v>2616</v>
      </c>
      <c r="B32" s="628"/>
      <c r="C32" s="628"/>
      <c r="D32" s="628"/>
      <c r="E32" s="628"/>
      <c r="F32" s="628"/>
      <c r="G32" s="629"/>
    </row>
    <row r="33" spans="1:7" s="589" customFormat="1" ht="13.5" customHeight="1">
      <c r="A33" s="630" t="s">
        <v>1912</v>
      </c>
      <c r="B33" s="2754" t="s">
        <v>2617</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ROUND(IF('数据-取费表'!B22&lt;=1,C33*F22*'数据-取费表'!B20/2,C33*(POWER((1+F22),'数据-取费表'!B20/2)-1)),0)</f>
        <v>107001</v>
      </c>
      <c r="D42" s="613"/>
      <c r="E42" s="613"/>
      <c r="F42" s="614"/>
      <c r="G42" s="3565" t="s">
        <v>2620</v>
      </c>
    </row>
    <row r="43" spans="1:7" ht="13.5" customHeight="1">
      <c r="A43" s="1804" t="s">
        <v>1922</v>
      </c>
      <c r="B43" s="590" t="s">
        <v>2499</v>
      </c>
      <c r="C43" s="613">
        <f ca="1">ROUND(IF('数据-取费表'!B22&lt;=1,C39*F22*'数据-取费表'!B20/2,C39*(POWER((1+F22),'数据-取费表'!B20/2)-1)),0)</f>
        <v>1605</v>
      </c>
      <c r="D43" s="613"/>
      <c r="E43" s="613"/>
      <c r="F43" s="614"/>
      <c r="G43" s="3563"/>
    </row>
    <row r="44" spans="1:7" ht="13.5" customHeight="1">
      <c r="A44" s="1804" t="s">
        <v>1923</v>
      </c>
      <c r="B44" s="590" t="s">
        <v>2501</v>
      </c>
      <c r="C44" s="613">
        <f ca="1">ROUND(IF('数据-取费表'!B22&lt;=1,C40*F22*'数据-取费表'!B20/2,C40*(POWER((1+F22),'数据-取费表'!B20/2)-1)),4)</f>
        <v>2.9999999999999997E-4</v>
      </c>
      <c r="D44" s="613"/>
      <c r="E44" s="613"/>
      <c r="F44" s="614"/>
      <c r="G44" s="3564"/>
    </row>
    <row r="45" spans="1:7" s="589" customFormat="1" ht="13.5" customHeight="1">
      <c r="A45" s="1801" t="s">
        <v>1916</v>
      </c>
      <c r="B45" s="619" t="s">
        <v>844</v>
      </c>
      <c r="C45" s="620">
        <f ca="1">C46</f>
        <v>499339</v>
      </c>
      <c r="D45" s="610">
        <f ca="1">C47</f>
        <v>1.5E-3</v>
      </c>
      <c r="E45" s="611" t="s">
        <v>861</v>
      </c>
      <c r="F45" s="621"/>
      <c r="G45" s="622" t="s">
        <v>2515</v>
      </c>
    </row>
    <row r="46" spans="1:7" s="589" customFormat="1" ht="13.5" customHeight="1">
      <c r="A46" s="1804" t="s">
        <v>1921</v>
      </c>
      <c r="B46" s="623" t="s">
        <v>2508</v>
      </c>
      <c r="C46" s="624">
        <f ca="1">ROUND((C33+C39)*F27,0)</f>
        <v>499339</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2931</v>
      </c>
      <c r="E48" s="607"/>
      <c r="F48" s="612"/>
      <c r="G48" s="2618" t="s">
        <v>2932</v>
      </c>
    </row>
    <row r="49" spans="1:7" ht="16.5" customHeight="1">
      <c r="A49" s="1801" t="s">
        <v>1918</v>
      </c>
      <c r="B49" s="585" t="s">
        <v>2618</v>
      </c>
      <c r="C49" s="607">
        <f ca="1">ROUND((C33+C39+C41+C45)/(1-C40-D41-D45-C48),0)</f>
        <v>6017761</v>
      </c>
      <c r="D49" s="607"/>
      <c r="E49" s="607"/>
      <c r="F49" s="639"/>
      <c r="G49" s="609" t="s">
        <v>2516</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2619</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2689</v>
      </c>
      <c r="C56" s="650">
        <f ca="1">1-C57</f>
        <v>0.18000000000000005</v>
      </c>
    </row>
    <row r="57" spans="1:7">
      <c r="B57" s="2870" t="s">
        <v>2688</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2937</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2938</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2939</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2940</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2941</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2942</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2943</v>
      </c>
      <c r="B18" s="1826" t="s">
        <v>888</v>
      </c>
      <c r="C18" s="313">
        <f ca="1">C19+C20-IF(C1="",'数据-取费表'!B29,IF(G18="已全部缴纳",C19+C20,H18))</f>
        <v>0</v>
      </c>
      <c r="D18" s="1908"/>
      <c r="E18" s="313"/>
      <c r="F18" s="1830"/>
      <c r="G18" s="3044"/>
      <c r="H18" s="3042"/>
      <c r="I18" s="3043" t="s">
        <v>2788</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2517</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2935</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2607</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2944</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2608</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2936</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E51" sqref="E5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3074</v>
      </c>
      <c r="D1" s="1273"/>
      <c r="E1" s="2583" t="s">
        <v>2437</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1889</v>
      </c>
      <c r="C2" s="1299" t="s">
        <v>1100</v>
      </c>
      <c r="D2" s="1275"/>
      <c r="E2" s="2573"/>
      <c r="F2" s="1276"/>
      <c r="G2" s="2285"/>
      <c r="H2" s="1274"/>
      <c r="I2" s="1274"/>
      <c r="J2" s="1274"/>
      <c r="K2" s="1298"/>
      <c r="L2" s="1274"/>
      <c r="M2" s="1274"/>
    </row>
    <row r="3" spans="1:37" ht="18" customHeight="1" thickBot="1">
      <c r="A3" s="674" t="s">
        <v>817</v>
      </c>
      <c r="B3" s="1407">
        <f ca="1">IF(ISERROR(B2*10000/F43),0,ROUND(B2*10000/F43,0))</f>
        <v>8885</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2525</v>
      </c>
      <c r="C5" s="2624">
        <f ca="1">C6+C10+C12</f>
        <v>119</v>
      </c>
      <c r="D5" s="2634" t="s">
        <v>2527</v>
      </c>
      <c r="E5" s="2625"/>
      <c r="F5" s="2626"/>
      <c r="G5" s="2286"/>
      <c r="H5" s="680">
        <v>1</v>
      </c>
      <c r="I5" s="681" t="s">
        <v>2525</v>
      </c>
      <c r="J5" s="2624">
        <f ca="1">J6+J10+J12</f>
        <v>0</v>
      </c>
      <c r="K5" s="2627" t="s">
        <v>2527</v>
      </c>
      <c r="L5" s="2625"/>
      <c r="M5" s="2626"/>
    </row>
    <row r="6" spans="1:37" ht="18" customHeight="1">
      <c r="A6" s="2620" t="s">
        <v>2532</v>
      </c>
      <c r="B6" s="3568" t="s">
        <v>2526</v>
      </c>
      <c r="C6" s="2629">
        <f ca="1">ROUND(F6*F8*F7*(1-F9)/10000,0)</f>
        <v>119</v>
      </c>
      <c r="D6" s="2623" t="s">
        <v>2528</v>
      </c>
      <c r="E6" s="683" t="s">
        <v>913</v>
      </c>
      <c r="F6" s="684">
        <f ca="1">INDIRECT("'数据-取费表'!u"&amp;$G$1)</f>
        <v>1.7</v>
      </c>
      <c r="G6" s="2286"/>
      <c r="H6" s="2620" t="s">
        <v>2535</v>
      </c>
      <c r="I6" s="3568" t="s">
        <v>2526</v>
      </c>
      <c r="J6" s="682">
        <f ca="1">ROUND(M6*M8*M7*(1-M9)/10000,0)</f>
        <v>0</v>
      </c>
      <c r="K6" s="2623" t="s">
        <v>2528</v>
      </c>
      <c r="L6" s="683" t="s">
        <v>913</v>
      </c>
      <c r="M6" s="684">
        <f ca="1">INDIRECT("'数据-取费表'!z"&amp;$G$1)</f>
        <v>0</v>
      </c>
    </row>
    <row r="7" spans="1:37" ht="18" customHeight="1">
      <c r="A7" s="2628"/>
      <c r="B7" s="3569"/>
      <c r="C7" s="2630"/>
      <c r="D7" s="2060"/>
      <c r="E7" s="2631" t="s">
        <v>914</v>
      </c>
      <c r="F7" s="684">
        <f ca="1">IF(INDIRECT("'数据-取费表'!ah"&amp;$G$1)="",INDIRECT("'数据-取费表'!k"&amp;$G$1),INDIRECT("'数据-取费表'!ah"&amp;$G$1))</f>
        <v>2125.98</v>
      </c>
      <c r="G7" s="2286"/>
      <c r="H7" s="685"/>
      <c r="I7" s="3569"/>
      <c r="J7" s="687"/>
      <c r="K7" s="688"/>
      <c r="L7" s="683" t="s">
        <v>914</v>
      </c>
      <c r="M7" s="684">
        <f ca="1">F7</f>
        <v>2125.98</v>
      </c>
    </row>
    <row r="8" spans="1:37" ht="18" customHeight="1">
      <c r="A8" s="685"/>
      <c r="B8" s="3569"/>
      <c r="C8" s="687"/>
      <c r="D8" s="688"/>
      <c r="E8" s="683" t="s">
        <v>915</v>
      </c>
      <c r="F8" s="684">
        <f ca="1">INDIRECT("'数据-取费表'!ai"&amp;$G$1)</f>
        <v>365</v>
      </c>
      <c r="G8" s="2286"/>
      <c r="H8" s="685"/>
      <c r="I8" s="3569"/>
      <c r="J8" s="687"/>
      <c r="K8" s="688"/>
      <c r="L8" s="683" t="s">
        <v>915</v>
      </c>
      <c r="M8" s="684">
        <f ca="1">INDIRECT("'数据-取费表'!ai"&amp;$G$1)</f>
        <v>365</v>
      </c>
    </row>
    <row r="9" spans="1:37" ht="18" customHeight="1">
      <c r="A9" s="685"/>
      <c r="B9" s="3570"/>
      <c r="C9" s="687"/>
      <c r="D9" s="688"/>
      <c r="E9" s="683" t="s">
        <v>916</v>
      </c>
      <c r="F9" s="693">
        <f ca="1">INDIRECT("'数据-取费表'!w"&amp;$G$1)</f>
        <v>0.1</v>
      </c>
      <c r="G9" s="2286"/>
      <c r="H9" s="685"/>
      <c r="I9" s="3570"/>
      <c r="J9" s="687"/>
      <c r="K9" s="688"/>
      <c r="L9" s="694" t="s">
        <v>916</v>
      </c>
      <c r="M9" s="695">
        <f ca="1">INDIRECT("'数据-取费表'!ab"&amp;$G$1)</f>
        <v>0</v>
      </c>
    </row>
    <row r="10" spans="1:37" ht="18" customHeight="1">
      <c r="A10" s="2620" t="s">
        <v>2533</v>
      </c>
      <c r="B10" s="2621" t="s">
        <v>2521</v>
      </c>
      <c r="C10" s="697">
        <f ca="1">ROUND(IF(F10="押一",F6*F8*F7/12*F11,IF(F10="押二",F6*F8*F7/12*2*F11,IF(F10="押三",F6*F8*F7/12*3*F11,C11*F11)))/10000,0)</f>
        <v>0</v>
      </c>
      <c r="D10" s="2632" t="s">
        <v>2529</v>
      </c>
      <c r="E10" s="2096" t="s">
        <v>2523</v>
      </c>
      <c r="F10" s="2826" t="s">
        <v>3088</v>
      </c>
      <c r="G10" s="2286"/>
      <c r="H10" s="2620" t="s">
        <v>2536</v>
      </c>
      <c r="I10" s="2621" t="s">
        <v>2521</v>
      </c>
      <c r="J10" s="682">
        <f ca="1">ROUND(IF(M10="押一",M6*M8*M7/12*M11,IF(M10="押二",M6*M8*M7/12*2*M11,IF(M10="押三",M6*M8*M7/12*3*M11,J11*M11)))/10000,0)</f>
        <v>0</v>
      </c>
      <c r="K10" s="2632" t="s">
        <v>2529</v>
      </c>
      <c r="L10" s="2096" t="s">
        <v>2523</v>
      </c>
      <c r="M10" s="2727" t="s">
        <v>2615</v>
      </c>
    </row>
    <row r="11" spans="1:37" ht="18" customHeight="1">
      <c r="A11" s="689"/>
      <c r="B11" s="2622" t="s">
        <v>2686</v>
      </c>
      <c r="C11" s="2413"/>
      <c r="D11" s="2865"/>
      <c r="E11" s="2096" t="s">
        <v>2524</v>
      </c>
      <c r="F11" s="695">
        <f ca="1">'数据-取费表'!B39</f>
        <v>1.4999999999999999E-2</v>
      </c>
      <c r="G11" s="2286"/>
      <c r="H11" s="2633"/>
      <c r="I11" s="2622" t="s">
        <v>2686</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2537</v>
      </c>
      <c r="I12" s="2669" t="s">
        <v>2522</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2365</v>
      </c>
      <c r="B14" s="683" t="s">
        <v>359</v>
      </c>
      <c r="C14" s="701">
        <f ca="1">INDIRECT("'数据-取费表'!m"&amp;$G$1)+INDIRECT("'数据-取费表'!t"&amp;$G$1)</f>
        <v>430</v>
      </c>
      <c r="D14" s="2213" t="s">
        <v>920</v>
      </c>
      <c r="E14" s="2212"/>
      <c r="F14" s="702"/>
      <c r="G14" s="2286"/>
      <c r="H14" s="2436" t="s">
        <v>2368</v>
      </c>
      <c r="I14" s="683" t="s">
        <v>921</v>
      </c>
      <c r="J14" s="313">
        <f ca="1">C29</f>
        <v>602</v>
      </c>
      <c r="K14" s="303"/>
      <c r="L14" s="699"/>
      <c r="M14" s="700"/>
    </row>
    <row r="15" spans="1:37" s="705" customFormat="1" ht="18" customHeight="1" thickBot="1">
      <c r="A15" s="2436" t="s">
        <v>2598</v>
      </c>
      <c r="B15" s="683" t="s">
        <v>360</v>
      </c>
      <c r="C15" s="313">
        <f ca="1">ROUND(C14*F15,0)</f>
        <v>13</v>
      </c>
      <c r="D15" s="703" t="s">
        <v>922</v>
      </c>
      <c r="E15" s="703" t="s">
        <v>923</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ROUND(INDIRECT("'数据-取费表'!m"&amp;$G$1)*F16,0)</f>
        <v>0</v>
      </c>
      <c r="D16" s="683" t="s">
        <v>922</v>
      </c>
      <c r="E16" s="683" t="s">
        <v>923</v>
      </c>
      <c r="F16" s="706">
        <f ca="1">IF(INDIRECT("'数据-取费表'!c"&amp;$G$1)="住宅",'数据-取费表'!B34,0)</f>
        <v>0</v>
      </c>
      <c r="G16" s="2286"/>
      <c r="H16" s="2664" t="s">
        <v>2333</v>
      </c>
      <c r="I16" s="2665" t="s">
        <v>924</v>
      </c>
      <c r="J16" s="691">
        <f ca="1">ROUND(J17+J22+J23+J24,0)</f>
        <v>16</v>
      </c>
      <c r="K16" s="2674" t="s">
        <v>925</v>
      </c>
      <c r="L16" s="2675"/>
      <c r="M16" s="2626"/>
    </row>
    <row r="17" spans="1:37" s="705" customFormat="1" ht="18" customHeight="1">
      <c r="A17" s="2436" t="s">
        <v>2600</v>
      </c>
      <c r="B17" s="683" t="s">
        <v>362</v>
      </c>
      <c r="C17" s="313">
        <f ca="1">ROUND(F17*(F43+INDIRECT("'数据-取费表'!S"&amp;$G$1))/10000,0)</f>
        <v>43</v>
      </c>
      <c r="D17" s="683" t="s">
        <v>926</v>
      </c>
      <c r="E17" s="683" t="s">
        <v>927</v>
      </c>
      <c r="F17" s="315">
        <f>'数据-取费表'!B35</f>
        <v>200</v>
      </c>
      <c r="G17" s="2287"/>
      <c r="H17" s="2436" t="s">
        <v>2368</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6</v>
      </c>
      <c r="D18" s="683" t="s">
        <v>922</v>
      </c>
      <c r="E18" s="683" t="s">
        <v>923</v>
      </c>
      <c r="F18" s="706">
        <f>'数据-取费表'!B36</f>
        <v>1.4999999999999999E-2</v>
      </c>
      <c r="G18" s="2287"/>
      <c r="H18" s="2436" t="s">
        <v>2365</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2532</v>
      </c>
      <c r="B19" s="683" t="s">
        <v>366</v>
      </c>
      <c r="C19" s="313">
        <f ca="1">SUM(C14:C18)</f>
        <v>492</v>
      </c>
      <c r="D19" s="470" t="s">
        <v>932</v>
      </c>
      <c r="E19" s="2221"/>
      <c r="F19" s="315"/>
      <c r="G19" s="2286"/>
      <c r="H19" s="2436" t="s">
        <v>2598</v>
      </c>
      <c r="I19" s="683" t="s">
        <v>933</v>
      </c>
      <c r="J19" s="313">
        <f ca="1">IF(K19="按租金收入计税",ROUND(J5*M19,2),ROUND(C29*M19*0.7,2))</f>
        <v>5.0599999999999996</v>
      </c>
      <c r="K19" s="1300" t="s">
        <v>2407</v>
      </c>
      <c r="L19" s="683" t="s">
        <v>923</v>
      </c>
      <c r="M19" s="706">
        <f>IF(K19="按租金收入计税",'数据-取费表'!B51,'数据-取费表'!B50)</f>
        <v>1.2E-2</v>
      </c>
    </row>
    <row r="20" spans="1:37" s="705" customFormat="1" ht="18" customHeight="1">
      <c r="A20" s="2436" t="s">
        <v>2602</v>
      </c>
      <c r="B20" s="683" t="s">
        <v>367</v>
      </c>
      <c r="C20" s="313">
        <f ca="1">ROUND(C19*F20,0)</f>
        <v>7</v>
      </c>
      <c r="D20" s="708" t="s">
        <v>934</v>
      </c>
      <c r="E20" s="683" t="s">
        <v>923</v>
      </c>
      <c r="F20" s="706">
        <f>'数据-取费表'!B37</f>
        <v>1.4999999999999999E-2</v>
      </c>
      <c r="G20" s="2287"/>
      <c r="H20" s="2436" t="s">
        <v>2599</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221"/>
      <c r="F22" s="315"/>
      <c r="G22" s="2286"/>
      <c r="H22" s="2436" t="s">
        <v>2375</v>
      </c>
      <c r="I22" s="683" t="s">
        <v>943</v>
      </c>
      <c r="J22" s="313">
        <f ca="1">ROUND(J14*M22,1)</f>
        <v>9</v>
      </c>
      <c r="K22" s="2211" t="s">
        <v>944</v>
      </c>
      <c r="L22" s="683" t="s">
        <v>923</v>
      </c>
      <c r="M22" s="713">
        <f ca="1">INDIRECT("'数据-取费表'!Ak"&amp;$G$1)</f>
        <v>1.4999999999999999E-2</v>
      </c>
    </row>
    <row r="23" spans="1:37" s="705" customFormat="1" ht="18" customHeight="1">
      <c r="A23" s="2436" t="s">
        <v>2365</v>
      </c>
      <c r="B23" s="683" t="s">
        <v>2518</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221"/>
      <c r="F25" s="315"/>
      <c r="G25" s="2286"/>
      <c r="H25" s="2664" t="s">
        <v>2348</v>
      </c>
      <c r="I25" s="2681" t="s">
        <v>951</v>
      </c>
      <c r="J25" s="691">
        <f ca="1">J5-J16</f>
        <v>-16</v>
      </c>
      <c r="K25" s="2682" t="s">
        <v>952</v>
      </c>
      <c r="L25" s="2683"/>
      <c r="M25" s="2684"/>
    </row>
    <row r="26" spans="1:37" ht="18" customHeight="1">
      <c r="A26" s="2436" t="s">
        <v>2365</v>
      </c>
      <c r="B26" s="683" t="s">
        <v>2519</v>
      </c>
      <c r="C26" s="313">
        <f ca="1">ROUND((C19+C20)*F26,0)</f>
        <v>50</v>
      </c>
      <c r="D26" s="708" t="s">
        <v>953</v>
      </c>
      <c r="E26" s="694" t="s">
        <v>954</v>
      </c>
      <c r="F26" s="693">
        <f ca="1">INDIRECT("'数据-取费表'!q"&amp;$G$1)</f>
        <v>0.1</v>
      </c>
      <c r="G26" s="2286"/>
      <c r="H26" s="680" t="s">
        <v>2351</v>
      </c>
      <c r="I26" s="681" t="s">
        <v>955</v>
      </c>
      <c r="J26" s="682">
        <f ca="1">IF(J5&lt;&gt;0,ROUND(J25*(1-((1+M28)/(1+M26))^M27)/(M26-M28),0),0)</f>
        <v>0</v>
      </c>
      <c r="K26" s="709" t="s">
        <v>956</v>
      </c>
      <c r="L26" s="683" t="s">
        <v>962</v>
      </c>
      <c r="M26" s="693">
        <f ca="1">INDIRECT("'数据-取费表'!I"&amp;$G$1)</f>
        <v>0.05</v>
      </c>
    </row>
    <row r="27" spans="1:37" ht="18" customHeight="1">
      <c r="A27" s="2436" t="s">
        <v>2371</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2373</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602</v>
      </c>
      <c r="D29" s="2679"/>
      <c r="E29" s="2677"/>
      <c r="F29" s="2680"/>
      <c r="G29" s="2287"/>
      <c r="H29" s="719" t="s">
        <v>2358</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24</v>
      </c>
      <c r="D30" s="2674" t="s">
        <v>925</v>
      </c>
      <c r="E30" s="2675"/>
      <c r="F30" s="2626"/>
      <c r="G30" s="2286"/>
      <c r="H30" s="1277"/>
      <c r="I30" s="1278"/>
      <c r="J30" s="1279"/>
      <c r="K30" s="1280"/>
      <c r="L30" s="1281"/>
      <c r="M30" s="1282"/>
    </row>
    <row r="31" spans="1:37" ht="18" customHeight="1">
      <c r="A31" s="2436" t="s">
        <v>2532</v>
      </c>
      <c r="B31" s="683" t="s">
        <v>363</v>
      </c>
      <c r="C31" s="313">
        <f ca="1">ROUND(IF(项目基本情况!B11="自然人",C5*F31,C32+C33+C34),1)</f>
        <v>12.7</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2597</v>
      </c>
      <c r="B32" s="683" t="s">
        <v>930</v>
      </c>
      <c r="C32" s="313">
        <f ca="1">IF(项目基本情况!B11="自然人","——",ROUND(C5*F32/(1+'数据-取费表'!C42),2))</f>
        <v>6.23</v>
      </c>
      <c r="D32" s="2211" t="s">
        <v>931</v>
      </c>
      <c r="E32" s="683" t="s">
        <v>923</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IF(项目基本情况!B11="自然人","——",IF(D33="按租金收入计税",ROUND(C5*F33,2),IF(D33="按房产原值计税",ROUND(C29*F33*0.7,2),INDIRECT("'数据-取费表'!Aj"&amp;$G$1))))</f>
        <v>5.0599999999999996</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2375</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2603</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2604</v>
      </c>
      <c r="B38" s="2677" t="s">
        <v>367</v>
      </c>
      <c r="C38" s="2678">
        <f ca="1">ROUND(C5*F38,1)</f>
        <v>1.8</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2348</v>
      </c>
      <c r="B39" s="2681" t="s">
        <v>377</v>
      </c>
      <c r="C39" s="691">
        <f ca="1">C5-C30</f>
        <v>95</v>
      </c>
      <c r="D39" s="2682" t="s">
        <v>378</v>
      </c>
      <c r="E39" s="2683"/>
      <c r="F39" s="2684"/>
      <c r="G39" s="2286"/>
      <c r="H39" s="1289"/>
      <c r="I39" s="2879"/>
      <c r="J39" s="2880"/>
      <c r="K39" s="1294"/>
      <c r="L39" s="1289"/>
      <c r="M39" s="1289"/>
    </row>
    <row r="40" spans="1:18" ht="18" customHeight="1">
      <c r="A40" s="680" t="s">
        <v>2351</v>
      </c>
      <c r="B40" s="681" t="s">
        <v>379</v>
      </c>
      <c r="C40" s="682">
        <f ca="1">ROUND(C39*(1-((1+F42)/(1+F40))^F41)/(F40-F42),0)</f>
        <v>1889</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2358</v>
      </c>
      <c r="B43" s="720" t="s">
        <v>383</v>
      </c>
      <c r="C43" s="721">
        <f ca="1">ROUND(C40*10000/F43,0)</f>
        <v>8885</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2480</v>
      </c>
      <c r="P45" s="1295"/>
      <c r="Q45" s="1295"/>
      <c r="R45" s="1295"/>
    </row>
    <row r="46" spans="1:18" s="1454" customFormat="1" ht="21" thickBot="1">
      <c r="A46" s="2394" t="s">
        <v>2320</v>
      </c>
      <c r="B46" s="2395"/>
      <c r="C46" s="2723">
        <f ca="1">C68-C40</f>
        <v>-2140</v>
      </c>
      <c r="D46" s="2724" t="str">
        <f>C2</f>
        <v>万元</v>
      </c>
      <c r="E46" s="1432"/>
      <c r="F46" s="1432"/>
      <c r="I46" s="2576" t="s">
        <v>2415</v>
      </c>
      <c r="J46" s="2577"/>
      <c r="K46" s="2578"/>
      <c r="L46" s="2580" t="str">
        <f ca="1">IF(M47="住宅",0,IF(L48&gt;J51,L60,J60))</f>
        <v>0</v>
      </c>
      <c r="O46" s="2592" t="s">
        <v>2458</v>
      </c>
      <c r="P46" s="2593" t="s">
        <v>2459</v>
      </c>
      <c r="Q46" s="2594" t="s">
        <v>2457</v>
      </c>
      <c r="R46" s="2594" t="s">
        <v>2460</v>
      </c>
    </row>
    <row r="47" spans="1:18" s="1454" customFormat="1" ht="15.75" thickBot="1">
      <c r="A47" s="2396" t="s">
        <v>2322</v>
      </c>
      <c r="B47" s="2432" t="s">
        <v>2323</v>
      </c>
      <c r="C47" s="2728" t="s">
        <v>2324</v>
      </c>
      <c r="D47" s="2432" t="s">
        <v>2325</v>
      </c>
      <c r="E47" s="2535" t="s">
        <v>2326</v>
      </c>
      <c r="F47" s="2536"/>
      <c r="G47" s="1456"/>
      <c r="I47" s="2551" t="s">
        <v>2408</v>
      </c>
      <c r="J47" s="2552" t="s">
        <v>3089</v>
      </c>
      <c r="K47" s="2561" t="s">
        <v>2431</v>
      </c>
      <c r="L47" s="2562">
        <f ca="1">INDIRECT("'数据-取费表'!d"&amp;$G$1)</f>
        <v>50</v>
      </c>
      <c r="M47" s="2582" t="str">
        <f>IF(ISNUMBER(FIND("住宅",C1)),"住宅","非住宅")</f>
        <v>非住宅</v>
      </c>
      <c r="O47" s="2585" t="s">
        <v>2443</v>
      </c>
      <c r="P47" s="2595" t="s">
        <v>2461</v>
      </c>
      <c r="Q47" s="2586">
        <f ca="1">C40+J29</f>
        <v>1889</v>
      </c>
      <c r="R47" s="2586" t="s">
        <v>2462</v>
      </c>
    </row>
    <row r="48" spans="1:18" s="1454" customFormat="1" ht="47.25" thickBot="1">
      <c r="A48" s="2709" t="s">
        <v>2609</v>
      </c>
      <c r="B48" s="681" t="s">
        <v>2327</v>
      </c>
      <c r="C48" s="2719">
        <f ca="1">C49+C53+C55</f>
        <v>0</v>
      </c>
      <c r="D48" s="2713"/>
      <c r="E48" s="2714"/>
      <c r="F48" s="2416"/>
      <c r="G48" s="1456"/>
      <c r="H48" s="1457"/>
      <c r="I48" s="2542" t="s">
        <v>2409</v>
      </c>
      <c r="J48" s="2553" t="s">
        <v>2413</v>
      </c>
      <c r="K48" s="2563" t="s">
        <v>2432</v>
      </c>
      <c r="L48" s="2167">
        <f ca="1">INDIRECT("'数据-取费表'!f"&amp;$G$1)</f>
        <v>31.32</v>
      </c>
      <c r="O48" s="2585" t="s">
        <v>2444</v>
      </c>
      <c r="P48" s="2595" t="s">
        <v>2463</v>
      </c>
      <c r="Q48" s="2586" t="str">
        <f ca="1">J60</f>
        <v>0</v>
      </c>
      <c r="R48" s="2586" t="s">
        <v>2471</v>
      </c>
    </row>
    <row r="49" spans="1:18" s="1454" customFormat="1" ht="15.75" thickBot="1">
      <c r="A49" s="2429" t="s">
        <v>2610</v>
      </c>
      <c r="B49" s="2712" t="s">
        <v>2612</v>
      </c>
      <c r="C49" s="2721">
        <f ca="1">ROUND(F49*F51*F50*(1-F52)/10000,0)</f>
        <v>0</v>
      </c>
      <c r="D49" s="2531" t="s">
        <v>2328</v>
      </c>
      <c r="E49" s="2534" t="s">
        <v>2321</v>
      </c>
      <c r="F49" s="2537"/>
      <c r="G49" s="1458"/>
      <c r="H49" s="1457"/>
      <c r="I49" s="2542" t="s">
        <v>2429</v>
      </c>
      <c r="J49" s="2554">
        <v>2003</v>
      </c>
      <c r="K49" s="2564" t="s">
        <v>2434</v>
      </c>
      <c r="L49" s="2565"/>
      <c r="O49" s="2587" t="s">
        <v>2445</v>
      </c>
      <c r="P49" s="2595" t="s">
        <v>2464</v>
      </c>
      <c r="Q49" s="2586">
        <f ca="1">C29</f>
        <v>602</v>
      </c>
      <c r="R49" s="2586" t="s">
        <v>2462</v>
      </c>
    </row>
    <row r="50" spans="1:18" s="1454" customFormat="1" ht="15.75" thickBot="1">
      <c r="A50" s="2430"/>
      <c r="B50" s="2433"/>
      <c r="C50" s="2729"/>
      <c r="D50" s="2403"/>
      <c r="E50" s="2532" t="s">
        <v>2329</v>
      </c>
      <c r="F50" s="2533">
        <f ca="1">F7</f>
        <v>2125.98</v>
      </c>
      <c r="H50" s="1457"/>
      <c r="I50" s="2542" t="s">
        <v>2411</v>
      </c>
      <c r="J50" s="2555">
        <f>SUMPRODUCT((I63:I65=J47)*(J62:L62=J48)*(J63:L65))</f>
        <v>50</v>
      </c>
      <c r="K50" s="2564" t="s">
        <v>2435</v>
      </c>
      <c r="L50" s="2565"/>
      <c r="M50" s="2559"/>
      <c r="O50" s="2587" t="s">
        <v>2446</v>
      </c>
      <c r="P50" s="2595" t="s">
        <v>2472</v>
      </c>
      <c r="Q50" s="2588" t="e">
        <f ca="1">J58</f>
        <v>#VALUE!</v>
      </c>
      <c r="R50" s="2586"/>
    </row>
    <row r="51" spans="1:18" s="1454" customFormat="1" ht="15.75" thickBot="1">
      <c r="A51" s="2431"/>
      <c r="B51" s="2433"/>
      <c r="C51" s="2434"/>
      <c r="D51" s="2403"/>
      <c r="E51" s="2435" t="s">
        <v>2330</v>
      </c>
      <c r="F51" s="684">
        <f ca="1">F8</f>
        <v>365</v>
      </c>
      <c r="I51" s="2556" t="s">
        <v>2416</v>
      </c>
      <c r="J51" s="2557">
        <f>IF(J49="",J50,J49+J50-YEAR('数据-取费表'!B2))</f>
        <v>36</v>
      </c>
      <c r="K51" s="2566" t="s">
        <v>2436</v>
      </c>
      <c r="L51" s="2579">
        <f ca="1">ROUND(-PV(INDIRECT("'数据-取费表'!h"&amp;$G$1),L48,(C39-C13*C76),0),0)</f>
        <v>967</v>
      </c>
      <c r="M51" s="2560"/>
      <c r="O51" s="2587" t="s">
        <v>2447</v>
      </c>
      <c r="P51" s="2595" t="s">
        <v>2473</v>
      </c>
      <c r="Q51" s="2588">
        <f>J52</f>
        <v>0</v>
      </c>
      <c r="R51" s="2586"/>
    </row>
    <row r="52" spans="1:18" s="1454" customFormat="1" ht="15.75" thickBot="1">
      <c r="A52" s="2431"/>
      <c r="B52" s="2433"/>
      <c r="C52" s="2434"/>
      <c r="D52" s="2403"/>
      <c r="E52" s="2435" t="s">
        <v>2331</v>
      </c>
      <c r="F52" s="2530"/>
      <c r="I52" s="2558" t="s">
        <v>2439</v>
      </c>
      <c r="J52" s="2572"/>
      <c r="K52" s="2558" t="s">
        <v>2424</v>
      </c>
      <c r="L52" s="2572"/>
      <c r="M52" s="2395"/>
      <c r="O52" s="2587" t="s">
        <v>2448</v>
      </c>
      <c r="P52" s="2595" t="s">
        <v>2465</v>
      </c>
      <c r="Q52" s="2586">
        <f ca="1">J53</f>
        <v>31.32</v>
      </c>
      <c r="R52" s="2586" t="s">
        <v>2466</v>
      </c>
    </row>
    <row r="53" spans="1:18" s="1454" customFormat="1" ht="43.5" thickBot="1">
      <c r="A53" s="2824" t="s">
        <v>2611</v>
      </c>
      <c r="B53" s="432" t="s">
        <v>2521</v>
      </c>
      <c r="C53" s="697">
        <f ca="1">ROUND(IF(F53="押一",F49*F51*F50/12*F11,IF(F53="押二",F49*F51*F50/12*2*F11,IF(F53="押三",F49*F51*F50/12*3*F11,C54*F11)))/10000,0)</f>
        <v>0</v>
      </c>
      <c r="D53" s="2632" t="s">
        <v>2529</v>
      </c>
      <c r="E53" s="2096" t="s">
        <v>2523</v>
      </c>
      <c r="F53" s="2826"/>
      <c r="I53" s="2568" t="s">
        <v>2441</v>
      </c>
      <c r="J53" s="2569">
        <f ca="1">IF(M47="住宅",J51,MIN(J51,L48))</f>
        <v>31.32</v>
      </c>
      <c r="K53" s="3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7"/>
      <c r="O53" s="2585" t="s">
        <v>2449</v>
      </c>
      <c r="P53" s="2595" t="s">
        <v>2467</v>
      </c>
      <c r="Q53" s="2586">
        <f ca="1">Q47+Q48</f>
        <v>1889</v>
      </c>
      <c r="R53" s="2586" t="s">
        <v>2450</v>
      </c>
    </row>
    <row r="54" spans="1:18" s="1454" customFormat="1" ht="16.5" thickBot="1">
      <c r="A54" s="2825"/>
      <c r="B54" s="2622" t="s">
        <v>2686</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08"/>
      <c r="F55" s="2538"/>
      <c r="I55" s="3316" t="s">
        <v>2417</v>
      </c>
      <c r="J55" s="3315" t="e">
        <f ca="1">ROUND(IF(J47="钢混",J57/J50,1-(1-2%)*(J50-J57)/J50),3)</f>
        <v>#VALUE!</v>
      </c>
      <c r="K55" s="2549" t="s">
        <v>2418</v>
      </c>
      <c r="L55" s="2571"/>
      <c r="O55" s="2592" t="s">
        <v>2458</v>
      </c>
      <c r="P55" s="2593" t="s">
        <v>2459</v>
      </c>
      <c r="Q55" s="2594" t="s">
        <v>2457</v>
      </c>
      <c r="R55" s="2594" t="s">
        <v>2460</v>
      </c>
    </row>
    <row r="56" spans="1:18" s="1454" customFormat="1" ht="44.25" thickTop="1" thickBot="1">
      <c r="A56" s="2407">
        <v>2</v>
      </c>
      <c r="B56" s="2408" t="s">
        <v>2332</v>
      </c>
      <c r="C56" s="607">
        <f ca="1">C13</f>
        <v>433</v>
      </c>
      <c r="D56" s="2696"/>
      <c r="E56" s="2409"/>
      <c r="F56" s="2538"/>
      <c r="I56" s="2541" t="s">
        <v>2419</v>
      </c>
      <c r="J56" s="2570" t="s">
        <v>3041</v>
      </c>
      <c r="K56" s="2542" t="s">
        <v>2423</v>
      </c>
      <c r="L56" s="2167" t="str">
        <f ca="1">IF(L48&lt;J51,"——",L48-J51)</f>
        <v>——</v>
      </c>
      <c r="O56" s="2585" t="s">
        <v>2443</v>
      </c>
      <c r="P56" s="2595" t="s">
        <v>2461</v>
      </c>
      <c r="Q56" s="2586">
        <f ca="1">C40+J29</f>
        <v>1889</v>
      </c>
      <c r="R56" s="2586" t="s">
        <v>2462</v>
      </c>
    </row>
    <row r="57" spans="1:18" s="1454" customFormat="1" ht="29.25" thickBot="1">
      <c r="A57" s="2539"/>
      <c r="B57" s="2400" t="s">
        <v>2362</v>
      </c>
      <c r="C57" s="613">
        <f ca="1">C29</f>
        <v>602</v>
      </c>
      <c r="D57" s="2411"/>
      <c r="E57" s="2412"/>
      <c r="F57" s="2540"/>
      <c r="I57" s="2543" t="s">
        <v>2440</v>
      </c>
      <c r="J57" s="2547" t="str">
        <f ca="1">IF(OR(M47="住宅",J51&lt;L48,J56="是"),"——",J51-L48)</f>
        <v>——</v>
      </c>
      <c r="K57" s="2542" t="s">
        <v>2889</v>
      </c>
      <c r="L57" s="2167" t="str">
        <f ca="1">IF(L48&lt;J51,"——",IF(L55="比较法",L49,IF(L55="基准地价",L50,L51)))</f>
        <v>——</v>
      </c>
      <c r="O57" s="2585" t="s">
        <v>2444</v>
      </c>
      <c r="P57" s="2595" t="s">
        <v>2468</v>
      </c>
      <c r="Q57" s="2586">
        <f ca="1">L60</f>
        <v>0</v>
      </c>
      <c r="R57" s="2586" t="s">
        <v>2483</v>
      </c>
    </row>
    <row r="58" spans="1:18" s="1454" customFormat="1" ht="29.25" thickBot="1">
      <c r="A58" s="696" t="s">
        <v>2333</v>
      </c>
      <c r="B58" s="2408" t="s">
        <v>2363</v>
      </c>
      <c r="C58" s="697">
        <f ca="1">ROUND(C59+C64+C65+C66,0)</f>
        <v>16</v>
      </c>
      <c r="D58" s="2414" t="s">
        <v>2364</v>
      </c>
      <c r="E58" s="2415"/>
      <c r="F58" s="2416"/>
      <c r="I58" s="2543" t="s">
        <v>2420</v>
      </c>
      <c r="J58" s="3317" t="e">
        <f ca="1">IF(J55&lt;0.4,0.4,J55)</f>
        <v>#VALUE!</v>
      </c>
      <c r="K58" s="2566" t="s">
        <v>2890</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ROUND(IF(项目基本情况!B11="自然人",C48*F59,C60+C61+C62),1)</f>
        <v>6.5</v>
      </c>
      <c r="D59" s="2417" t="s">
        <v>2334</v>
      </c>
      <c r="E59" s="2418" t="s">
        <v>2335</v>
      </c>
      <c r="F59" s="707" t="str">
        <f ca="1">IF(项目基本情况!B11="企业","",IF(INDIRECT("'数据-取费表'!c"&amp;$G$1)="住宅",5%,IF(F49*F50*F51/12/(1+'数据-取费表'!C42)&gt;20000,12%,7%)))</f>
        <v/>
      </c>
      <c r="I59" s="2543" t="s">
        <v>2421</v>
      </c>
      <c r="J59" s="2547" t="str">
        <f ca="1">IF(OR(M47="住宅",J51&lt;L48,J56="是"),"——",ROUND(C29*J58,0))</f>
        <v>——</v>
      </c>
      <c r="K59" s="2566" t="s">
        <v>2891</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2336</v>
      </c>
      <c r="C60" s="313">
        <f ca="1">IF(项目基本情况!B11="自然人","——",ROUND(C48*F60/(1+'数据-取费表'!C42),2))</f>
        <v>0</v>
      </c>
      <c r="D60" s="2418" t="s">
        <v>2337</v>
      </c>
      <c r="E60" s="2400" t="s">
        <v>2338</v>
      </c>
      <c r="F60" s="716">
        <f t="shared" ref="F60:F66" si="0">F32</f>
        <v>5.5000000000000007E-2</v>
      </c>
      <c r="I60" s="2544" t="s">
        <v>2422</v>
      </c>
      <c r="J60" s="2548" t="str">
        <f ca="1">IF(OR(M47="住宅",J51&lt;L48,J56="是"),"0",ROUND(J59/(1+J52)^J53,0))</f>
        <v>0</v>
      </c>
      <c r="K60" s="2550" t="s">
        <v>2425</v>
      </c>
      <c r="L60" s="2548">
        <f ca="1">IF(OR(M47="住宅",L48&lt;J51),0,ROUND(L57*(L58/L59-1),0))</f>
        <v>0</v>
      </c>
      <c r="O60" s="2587" t="s">
        <v>2447</v>
      </c>
      <c r="P60" s="2595" t="s">
        <v>2477</v>
      </c>
      <c r="Q60" s="2586">
        <f ca="1">L58</f>
        <v>0</v>
      </c>
      <c r="R60" s="2586" t="s">
        <v>2452</v>
      </c>
    </row>
    <row r="61" spans="1:18" s="1454" customFormat="1" ht="20.25" thickBot="1">
      <c r="A61" s="2436" t="s">
        <v>2366</v>
      </c>
      <c r="B61" s="2400" t="s">
        <v>2339</v>
      </c>
      <c r="C61" s="313">
        <f ca="1">IF(项目基本情况!B11="自然人","——",IF(D61="按租金收入计税",ROUND(C48*F61,2),IF(D61="按房产原值计税",ROUND(C57*F61*0.7,2),INDIRECT("'数据-取费表'!Aj"&amp;$G$1))))</f>
        <v>5.0599999999999996</v>
      </c>
      <c r="D61" s="1300" t="s">
        <v>2407</v>
      </c>
      <c r="E61" s="2400" t="s">
        <v>2338</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2340</v>
      </c>
      <c r="C62" s="314">
        <f ca="1">IF(项目基本情况!B11="自然人","——",ROUND(F62*F63/10000,2))</f>
        <v>1.39</v>
      </c>
      <c r="D62" s="2419" t="s">
        <v>2341</v>
      </c>
      <c r="E62" s="2400" t="s">
        <v>2342</v>
      </c>
      <c r="F62" s="710">
        <f t="shared" si="0"/>
        <v>1.5</v>
      </c>
      <c r="I62" s="2545" t="s">
        <v>2412</v>
      </c>
      <c r="J62" s="2546" t="s">
        <v>2413</v>
      </c>
      <c r="K62" s="2546" t="s">
        <v>2414</v>
      </c>
      <c r="L62" s="2546" t="s">
        <v>2410</v>
      </c>
      <c r="M62" s="3318" t="s">
        <v>3024</v>
      </c>
      <c r="O62" s="2585" t="s">
        <v>2449</v>
      </c>
      <c r="P62" s="2595" t="s">
        <v>2467</v>
      </c>
      <c r="Q62" s="2586">
        <f ca="1">Q56+Q57</f>
        <v>1889</v>
      </c>
      <c r="R62" s="2586" t="s">
        <v>2450</v>
      </c>
    </row>
    <row r="63" spans="1:18" s="1454" customFormat="1" ht="16.5" thickBot="1">
      <c r="A63" s="711"/>
      <c r="B63" s="2406"/>
      <c r="C63" s="318"/>
      <c r="D63" s="2420"/>
      <c r="E63" s="2400" t="s">
        <v>2343</v>
      </c>
      <c r="F63" s="684">
        <f t="shared" ca="1" si="0"/>
        <v>9270.09</v>
      </c>
      <c r="I63" s="2545" t="s">
        <v>2426</v>
      </c>
      <c r="J63" s="3321">
        <v>70</v>
      </c>
      <c r="K63" s="3321">
        <v>50</v>
      </c>
      <c r="L63" s="3321">
        <v>80</v>
      </c>
      <c r="M63" s="3319">
        <v>0.02</v>
      </c>
      <c r="O63" s="2589" t="s">
        <v>2481</v>
      </c>
      <c r="P63" s="1295"/>
      <c r="Q63" s="1295"/>
      <c r="R63" s="1295"/>
    </row>
    <row r="64" spans="1:18" s="1454" customFormat="1" ht="15.75" thickBot="1">
      <c r="A64" s="2436" t="s">
        <v>2375</v>
      </c>
      <c r="B64" s="2400" t="s">
        <v>2344</v>
      </c>
      <c r="C64" s="313">
        <f ca="1">ROUND(C57*F64,1)</f>
        <v>9</v>
      </c>
      <c r="D64" s="2418" t="s">
        <v>2345</v>
      </c>
      <c r="E64" s="2400" t="s">
        <v>2338</v>
      </c>
      <c r="F64" s="713">
        <f t="shared" ca="1" si="0"/>
        <v>1.4999999999999999E-2</v>
      </c>
      <c r="I64" s="2545" t="s">
        <v>2427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ROUND(C56*F65,1)</f>
        <v>0.6</v>
      </c>
      <c r="D65" s="2418" t="s">
        <v>2346</v>
      </c>
      <c r="E65" s="2400" t="s">
        <v>2338</v>
      </c>
      <c r="F65" s="715">
        <f t="shared" ca="1" si="0"/>
        <v>1.5E-3</v>
      </c>
      <c r="I65" s="2545" t="s">
        <v>2428</v>
      </c>
      <c r="J65" s="3321">
        <v>40</v>
      </c>
      <c r="K65" s="3321">
        <v>30</v>
      </c>
      <c r="L65" s="3321">
        <v>50</v>
      </c>
      <c r="M65" s="3319">
        <v>0.02</v>
      </c>
      <c r="O65" s="2585" t="s">
        <v>2443</v>
      </c>
      <c r="P65" s="2595" t="s">
        <v>2461</v>
      </c>
      <c r="Q65" s="2586">
        <f ca="1">C40+J29</f>
        <v>1889</v>
      </c>
      <c r="R65" s="2586" t="s">
        <v>2462</v>
      </c>
    </row>
    <row r="66" spans="1:18" s="1454" customFormat="1" ht="20.25" thickBot="1">
      <c r="A66" s="2436" t="s">
        <v>2370</v>
      </c>
      <c r="B66" s="2400" t="s">
        <v>367</v>
      </c>
      <c r="C66" s="313">
        <f ca="1">ROUND(C48*F66,1)</f>
        <v>0</v>
      </c>
      <c r="D66" s="2418" t="s">
        <v>2347</v>
      </c>
      <c r="E66" s="2400" t="s">
        <v>2338</v>
      </c>
      <c r="F66" s="693">
        <f t="shared" ca="1" si="0"/>
        <v>1.4999999999999999E-2</v>
      </c>
      <c r="O66" s="2585" t="s">
        <v>2444</v>
      </c>
      <c r="P66" s="2595" t="s">
        <v>2468</v>
      </c>
      <c r="Q66" s="2586">
        <f ca="1">L60</f>
        <v>0</v>
      </c>
      <c r="R66" s="2586" t="s">
        <v>2451</v>
      </c>
    </row>
    <row r="67" spans="1:18" s="1454" customFormat="1" ht="24.75" thickBot="1">
      <c r="A67" s="2407" t="s">
        <v>2348</v>
      </c>
      <c r="B67" s="2421" t="s">
        <v>2349</v>
      </c>
      <c r="C67" s="697">
        <f ca="1">C48-C58</f>
        <v>-16</v>
      </c>
      <c r="D67" s="2417" t="s">
        <v>2350</v>
      </c>
      <c r="E67" s="2422"/>
      <c r="F67" s="2423"/>
      <c r="O67" s="2587" t="s">
        <v>2445</v>
      </c>
      <c r="P67" s="2595" t="s">
        <v>2475</v>
      </c>
      <c r="Q67" s="2590">
        <f ca="1">L51</f>
        <v>967</v>
      </c>
      <c r="R67" s="2591" t="s">
        <v>2485</v>
      </c>
    </row>
    <row r="68" spans="1:18" s="1454" customFormat="1" ht="20.25" thickBot="1">
      <c r="A68" s="2397" t="s">
        <v>2351</v>
      </c>
      <c r="B68" s="2398" t="s">
        <v>2352</v>
      </c>
      <c r="C68" s="682">
        <f ca="1">ROUND(C67*(1-((1+F70)/(1+F68))^F69)/(F68-F70),0)</f>
        <v>-251</v>
      </c>
      <c r="D68" s="2419" t="s">
        <v>2353</v>
      </c>
      <c r="E68" s="2400" t="s">
        <v>2354</v>
      </c>
      <c r="F68" s="693">
        <f ca="1">F40</f>
        <v>0.05</v>
      </c>
      <c r="O68" s="2587" t="s">
        <v>2446</v>
      </c>
      <c r="P68" s="2596" t="s">
        <v>2479</v>
      </c>
      <c r="Q68" s="2586">
        <f ca="1">ROUND(Q69-Q70*Q71,0)</f>
        <v>58</v>
      </c>
      <c r="R68" s="2586" t="s">
        <v>2484</v>
      </c>
    </row>
    <row r="69" spans="1:18" s="1454" customFormat="1" ht="15.75" thickBot="1">
      <c r="A69" s="2401"/>
      <c r="B69" s="2402"/>
      <c r="C69" s="687"/>
      <c r="D69" s="2424" t="s">
        <v>2355</v>
      </c>
      <c r="E69" s="2400" t="s">
        <v>2356</v>
      </c>
      <c r="F69" s="718">
        <f ca="1">F41</f>
        <v>31.32</v>
      </c>
      <c r="O69" s="2587" t="s">
        <v>2454</v>
      </c>
      <c r="P69" s="2596" t="s">
        <v>2469</v>
      </c>
      <c r="Q69" s="2586">
        <f ca="1">C39</f>
        <v>95</v>
      </c>
      <c r="R69" s="2586" t="s">
        <v>2462</v>
      </c>
    </row>
    <row r="70" spans="1:18" s="1454" customFormat="1" ht="15.75" thickBot="1">
      <c r="A70" s="2404"/>
      <c r="B70" s="2405"/>
      <c r="C70" s="691"/>
      <c r="D70" s="2420"/>
      <c r="E70" s="2400" t="s">
        <v>2357</v>
      </c>
      <c r="F70" s="2530"/>
      <c r="O70" s="2587" t="s">
        <v>2455</v>
      </c>
      <c r="P70" s="2596" t="s">
        <v>2470</v>
      </c>
      <c r="Q70" s="2586">
        <f ca="1">C13</f>
        <v>433</v>
      </c>
      <c r="R70" s="2586" t="s">
        <v>2462</v>
      </c>
    </row>
    <row r="71" spans="1:18" s="1454" customFormat="1" ht="15.75" thickBot="1">
      <c r="A71" s="2425" t="s">
        <v>2358</v>
      </c>
      <c r="B71" s="2426" t="s">
        <v>2359</v>
      </c>
      <c r="C71" s="721">
        <f ca="1">ROUND(C68*10000/F71,0)</f>
        <v>-1181</v>
      </c>
      <c r="D71" s="2427" t="s">
        <v>2360</v>
      </c>
      <c r="E71" s="2428" t="s">
        <v>2361</v>
      </c>
      <c r="F71" s="724">
        <f ca="1">F43</f>
        <v>2125.98</v>
      </c>
      <c r="I71" s="2395"/>
      <c r="K71" s="2395"/>
      <c r="O71" s="2587" t="s">
        <v>2456</v>
      </c>
      <c r="P71" s="2596" t="s">
        <v>2482</v>
      </c>
      <c r="Q71" s="2588">
        <f ca="1">C76</f>
        <v>8.5000000000000006E-2</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37</v>
      </c>
      <c r="D75" s="1454"/>
      <c r="E75" s="1454"/>
      <c r="F75" s="1454"/>
      <c r="K75" s="1455"/>
      <c r="L75" s="1454"/>
      <c r="O75" s="2585" t="s">
        <v>2449</v>
      </c>
      <c r="P75" s="2595" t="s">
        <v>2467</v>
      </c>
      <c r="Q75" s="2586">
        <f ca="1">Q65+Q66</f>
        <v>1889</v>
      </c>
      <c r="R75" s="2586" t="s">
        <v>2450</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2687</v>
      </c>
      <c r="C78" s="734"/>
    </row>
    <row r="79" spans="1:18">
      <c r="B79" s="2871" t="s">
        <v>2691</v>
      </c>
      <c r="C79" s="649">
        <f ca="1">1-C80</f>
        <v>0.61099999999999999</v>
      </c>
    </row>
    <row r="80" spans="1:18">
      <c r="B80" s="2871" t="s">
        <v>2690</v>
      </c>
      <c r="C80" s="649">
        <f ca="1">ROUND(C75/C39,3)</f>
        <v>0.38900000000000001</v>
      </c>
    </row>
    <row r="81" spans="2:3">
      <c r="B81" s="645" t="s">
        <v>387</v>
      </c>
      <c r="C81" s="646"/>
    </row>
    <row r="82" spans="2:3">
      <c r="B82" s="2870" t="s">
        <v>2689</v>
      </c>
      <c r="C82" s="650">
        <f ca="1">1-C83</f>
        <v>0.77100000000000002</v>
      </c>
    </row>
    <row r="83" spans="2:3">
      <c r="B83" s="2870" t="s">
        <v>2688</v>
      </c>
      <c r="C83" s="649">
        <f ca="1">ROUND(C13/C40,3)</f>
        <v>0.22900000000000001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2613</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2327</v>
      </c>
      <c r="C5" s="2624">
        <f ca="1">C6+C10+C12</f>
        <v>0</v>
      </c>
      <c r="D5" s="2634" t="s">
        <v>2527</v>
      </c>
      <c r="E5" s="2625"/>
      <c r="F5" s="2626"/>
      <c r="G5" s="2286"/>
      <c r="H5" s="680">
        <v>1</v>
      </c>
      <c r="I5" s="681" t="s">
        <v>2327</v>
      </c>
      <c r="J5" s="2624">
        <f ca="1">J6+J10+J12</f>
        <v>0</v>
      </c>
      <c r="K5" s="2627" t="s">
        <v>2527</v>
      </c>
      <c r="L5" s="2625"/>
      <c r="M5" s="2626"/>
    </row>
    <row r="6" spans="1:37" ht="18" customHeight="1">
      <c r="A6" s="2620" t="s">
        <v>2368</v>
      </c>
      <c r="B6" s="3568" t="s">
        <v>2526</v>
      </c>
      <c r="C6" s="2629">
        <f ca="1">ROUND(F6*F8*F7*(1-F9),0)</f>
        <v>0</v>
      </c>
      <c r="D6" s="2623" t="s">
        <v>2528</v>
      </c>
      <c r="E6" s="683" t="s">
        <v>913</v>
      </c>
      <c r="F6" s="684">
        <f ca="1">INDIRECT("'数据-取费表'!u"&amp;$G$1)</f>
        <v>0</v>
      </c>
      <c r="G6" s="2286"/>
      <c r="H6" s="2620" t="s">
        <v>2368</v>
      </c>
      <c r="I6" s="3568" t="s">
        <v>2526</v>
      </c>
      <c r="J6" s="682">
        <f ca="1">ROUND(M6*M8*M7*(1-M9),0)</f>
        <v>0</v>
      </c>
      <c r="K6" s="2623" t="s">
        <v>2528</v>
      </c>
      <c r="L6" s="683" t="s">
        <v>913</v>
      </c>
      <c r="M6" s="684">
        <f ca="1">INDIRECT("'数据-取费表'!z"&amp;$G$1)</f>
        <v>0</v>
      </c>
    </row>
    <row r="7" spans="1:37" ht="18" customHeight="1">
      <c r="A7" s="2628"/>
      <c r="B7" s="3569"/>
      <c r="C7" s="2630"/>
      <c r="D7" s="2060"/>
      <c r="E7" s="2631" t="s">
        <v>914</v>
      </c>
      <c r="F7" s="684">
        <f ca="1">IF(INDIRECT("'数据-取费表'!ah"&amp;$G$1)="",INDIRECT("'数据-取费表'!k"&amp;$G$1),INDIRECT("'数据-取费表'!ah"&amp;$G$1))</f>
        <v>0</v>
      </c>
      <c r="G7" s="2286"/>
      <c r="H7" s="685"/>
      <c r="I7" s="3569"/>
      <c r="J7" s="687"/>
      <c r="K7" s="688"/>
      <c r="L7" s="683" t="s">
        <v>914</v>
      </c>
      <c r="M7" s="684">
        <f ca="1">F7</f>
        <v>0</v>
      </c>
    </row>
    <row r="8" spans="1:37" ht="18" customHeight="1">
      <c r="A8" s="685"/>
      <c r="B8" s="3569"/>
      <c r="C8" s="687"/>
      <c r="D8" s="688"/>
      <c r="E8" s="683" t="s">
        <v>915</v>
      </c>
      <c r="F8" s="684">
        <f ca="1">INDIRECT("'数据-取费表'!ai"&amp;$G$1)</f>
        <v>0</v>
      </c>
      <c r="G8" s="2286"/>
      <c r="H8" s="685"/>
      <c r="I8" s="3569"/>
      <c r="J8" s="687"/>
      <c r="K8" s="688"/>
      <c r="L8" s="683" t="s">
        <v>915</v>
      </c>
      <c r="M8" s="684">
        <f ca="1">INDIRECT("'数据-取费表'!ai"&amp;$G$1)</f>
        <v>0</v>
      </c>
    </row>
    <row r="9" spans="1:37" ht="18" customHeight="1">
      <c r="A9" s="685"/>
      <c r="B9" s="3570"/>
      <c r="C9" s="687"/>
      <c r="D9" s="688"/>
      <c r="E9" s="683" t="s">
        <v>916</v>
      </c>
      <c r="F9" s="693">
        <f ca="1">INDIRECT("'数据-取费表'!w"&amp;$G$1)</f>
        <v>0</v>
      </c>
      <c r="G9" s="2286"/>
      <c r="H9" s="685"/>
      <c r="I9" s="3570"/>
      <c r="J9" s="687"/>
      <c r="K9" s="688"/>
      <c r="L9" s="694" t="s">
        <v>916</v>
      </c>
      <c r="M9" s="695">
        <f ca="1">INDIRECT("'数据-取费表'!ab"&amp;$G$1)</f>
        <v>0</v>
      </c>
    </row>
    <row r="10" spans="1:37" ht="18" customHeight="1">
      <c r="A10" s="2620" t="s">
        <v>2375</v>
      </c>
      <c r="B10" s="2621" t="s">
        <v>2521</v>
      </c>
      <c r="C10" s="697">
        <f ca="1">ROUND(IF(F10="押一",F6*F8*F7/12*F11,IF(F10="押二",F6*F8*F7/12*2*F11,IF(F10="押三",F6*F8*F7/12*3*F11,C11*F11))),0)</f>
        <v>0</v>
      </c>
      <c r="D10" s="2632" t="s">
        <v>2529</v>
      </c>
      <c r="E10" s="2096" t="s">
        <v>2523</v>
      </c>
      <c r="F10" s="2826"/>
      <c r="G10" s="2286"/>
      <c r="H10" s="2620" t="s">
        <v>2375</v>
      </c>
      <c r="I10" s="2621" t="s">
        <v>2521</v>
      </c>
      <c r="J10" s="682">
        <f ca="1">ROUND(IF(M10="押一",M6*M8*M7/12*M11,IF(M10="押二",M6*M8*M7/12*2*M11,IF(M10="押三",M6*M8*M7/12*3*M11,J11*M11))),0)</f>
        <v>0</v>
      </c>
      <c r="K10" s="2632" t="s">
        <v>2529</v>
      </c>
      <c r="L10" s="2096" t="s">
        <v>2523</v>
      </c>
      <c r="M10" s="2826" t="s">
        <v>2683</v>
      </c>
    </row>
    <row r="11" spans="1:37" ht="18" customHeight="1">
      <c r="A11" s="689"/>
      <c r="B11" s="2622" t="s">
        <v>2531</v>
      </c>
      <c r="C11" s="2413"/>
      <c r="D11" s="688"/>
      <c r="E11" s="2096" t="s">
        <v>2524</v>
      </c>
      <c r="F11" s="695">
        <f ca="1">'数据-取费表'!B39</f>
        <v>1.4999999999999999E-2</v>
      </c>
      <c r="G11" s="2286"/>
      <c r="H11" s="2633"/>
      <c r="I11" s="2622" t="s">
        <v>2684</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2534</v>
      </c>
      <c r="I12" s="2669" t="s">
        <v>2522</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2365</v>
      </c>
      <c r="B14" s="683" t="s">
        <v>359</v>
      </c>
      <c r="C14" s="701">
        <f ca="1">ROUND(INDIRECT("'数据-取费表'!l"&amp;$G$1)*F43+'数据-取费表'!L14*INDIRECT("'数据-取费表'!S"&amp;$G$1),0)</f>
        <v>0</v>
      </c>
      <c r="D14" s="2717" t="s">
        <v>920</v>
      </c>
      <c r="E14" s="2716"/>
      <c r="F14" s="702"/>
      <c r="G14" s="2286"/>
      <c r="H14" s="2436" t="s">
        <v>2368</v>
      </c>
      <c r="I14" s="683" t="s">
        <v>921</v>
      </c>
      <c r="J14" s="313">
        <f ca="1">C29</f>
        <v>0</v>
      </c>
      <c r="K14" s="303"/>
      <c r="L14" s="699"/>
      <c r="M14" s="700"/>
    </row>
    <row r="15" spans="1:37" s="705" customFormat="1" ht="18" customHeight="1" thickBot="1">
      <c r="A15" s="2436" t="s">
        <v>2598</v>
      </c>
      <c r="B15" s="683" t="s">
        <v>360</v>
      </c>
      <c r="C15" s="313">
        <f ca="1">ROUND(C14*F15,0)</f>
        <v>0</v>
      </c>
      <c r="D15" s="703" t="s">
        <v>922</v>
      </c>
      <c r="E15" s="703" t="s">
        <v>365</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ROUND(INDIRECT("'数据-取费表'!l"&amp;$G$1)*F43*F16,0)</f>
        <v>0</v>
      </c>
      <c r="D16" s="683" t="s">
        <v>922</v>
      </c>
      <c r="E16" s="683" t="s">
        <v>365</v>
      </c>
      <c r="F16" s="706">
        <f ca="1">IF(INDIRECT("'数据-取费表'!c"&amp;$G$1)="住宅",'数据-取费表'!B34,0)</f>
        <v>0</v>
      </c>
      <c r="G16" s="2286"/>
      <c r="H16" s="2664" t="s">
        <v>2333</v>
      </c>
      <c r="I16" s="2665" t="s">
        <v>924</v>
      </c>
      <c r="J16" s="691">
        <f ca="1">ROUND(J17+J22+J23+J24,0)</f>
        <v>0</v>
      </c>
      <c r="K16" s="2674" t="s">
        <v>925</v>
      </c>
      <c r="L16" s="2675"/>
      <c r="M16" s="2626"/>
    </row>
    <row r="17" spans="1:37" s="705" customFormat="1" ht="18" customHeight="1">
      <c r="A17" s="2436" t="s">
        <v>2600</v>
      </c>
      <c r="B17" s="683" t="s">
        <v>362</v>
      </c>
      <c r="C17" s="313">
        <f ca="1">ROUND(F17*(F43+INDIRECT("'数据-取费表'!S"&amp;$G$1)),0)</f>
        <v>0</v>
      </c>
      <c r="D17" s="683" t="s">
        <v>926</v>
      </c>
      <c r="E17" s="683" t="s">
        <v>927</v>
      </c>
      <c r="F17" s="315">
        <f>'数据-取费表'!B35</f>
        <v>200</v>
      </c>
      <c r="G17" s="2287"/>
      <c r="H17" s="2436" t="s">
        <v>2368</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0</v>
      </c>
      <c r="D18" s="683" t="s">
        <v>922</v>
      </c>
      <c r="E18" s="683" t="s">
        <v>365</v>
      </c>
      <c r="F18" s="706">
        <f>'数据-取费表'!B36</f>
        <v>1.4999999999999999E-2</v>
      </c>
      <c r="G18" s="2287"/>
      <c r="H18" s="2436" t="s">
        <v>2365</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2368</v>
      </c>
      <c r="B19" s="683" t="s">
        <v>366</v>
      </c>
      <c r="C19" s="313">
        <f ca="1">SUM(C14:C18)</f>
        <v>0</v>
      </c>
      <c r="D19" s="470" t="s">
        <v>932</v>
      </c>
      <c r="E19" s="2720"/>
      <c r="F19" s="315"/>
      <c r="G19" s="2286"/>
      <c r="H19" s="2436" t="s">
        <v>2598</v>
      </c>
      <c r="I19" s="683" t="s">
        <v>933</v>
      </c>
      <c r="J19" s="313">
        <f ca="1">IF(K19="按租金收入计税",ROUND(J5*M19,0),ROUND(C29*M19*0.7,0))</f>
        <v>0</v>
      </c>
      <c r="K19" s="1300" t="s">
        <v>2407</v>
      </c>
      <c r="L19" s="683" t="s">
        <v>365</v>
      </c>
      <c r="M19" s="706">
        <f>IF(K19="按租金收入计税",'数据-取费表'!B51,'数据-取费表'!B50)</f>
        <v>1.2E-2</v>
      </c>
    </row>
    <row r="20" spans="1:37" s="705" customFormat="1" ht="18" customHeight="1">
      <c r="A20" s="2436" t="s">
        <v>2602</v>
      </c>
      <c r="B20" s="683" t="s">
        <v>367</v>
      </c>
      <c r="C20" s="313">
        <f ca="1">ROUND(C19*F20,0)</f>
        <v>0</v>
      </c>
      <c r="D20" s="708" t="s">
        <v>934</v>
      </c>
      <c r="E20" s="683" t="s">
        <v>365</v>
      </c>
      <c r="F20" s="706">
        <f>'数据-取费表'!B37</f>
        <v>1.4999999999999999E-2</v>
      </c>
      <c r="G20" s="2287"/>
      <c r="H20" s="2436" t="s">
        <v>2599</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720"/>
      <c r="F22" s="315"/>
      <c r="G22" s="2286"/>
      <c r="H22" s="2436" t="s">
        <v>2375</v>
      </c>
      <c r="I22" s="683" t="s">
        <v>943</v>
      </c>
      <c r="J22" s="313">
        <f ca="1">ROUND(J14*M22,0)</f>
        <v>0</v>
      </c>
      <c r="K22" s="2718" t="s">
        <v>944</v>
      </c>
      <c r="L22" s="683" t="s">
        <v>365</v>
      </c>
      <c r="M22" s="713">
        <f ca="1">INDIRECT("'数据-取费表'!Ak"&amp;$G$1)</f>
        <v>0</v>
      </c>
    </row>
    <row r="23" spans="1:37" s="705" customFormat="1" ht="18" customHeight="1">
      <c r="A23" s="2436" t="s">
        <v>2365</v>
      </c>
      <c r="B23" s="683" t="s">
        <v>2518</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720"/>
      <c r="F25" s="315"/>
      <c r="G25" s="2286"/>
      <c r="H25" s="2664" t="s">
        <v>2348</v>
      </c>
      <c r="I25" s="2681" t="s">
        <v>377</v>
      </c>
      <c r="J25" s="691">
        <f ca="1">J5-J16</f>
        <v>0</v>
      </c>
      <c r="K25" s="2682" t="s">
        <v>378</v>
      </c>
      <c r="L25" s="2683"/>
      <c r="M25" s="2684"/>
    </row>
    <row r="26" spans="1:37" ht="18" customHeight="1">
      <c r="A26" s="2436" t="s">
        <v>2365</v>
      </c>
      <c r="B26" s="683" t="s">
        <v>2519</v>
      </c>
      <c r="C26" s="313">
        <f ca="1">ROUND((C19+C20)*F26,0)</f>
        <v>0</v>
      </c>
      <c r="D26" s="708" t="s">
        <v>953</v>
      </c>
      <c r="E26" s="694" t="s">
        <v>954</v>
      </c>
      <c r="F26" s="693">
        <f ca="1">INDIRECT("'数据-取费表'!q"&amp;$G$1)</f>
        <v>0</v>
      </c>
      <c r="G26" s="2286"/>
      <c r="H26" s="680" t="s">
        <v>2351</v>
      </c>
      <c r="I26" s="681" t="s">
        <v>955</v>
      </c>
      <c r="J26" s="682">
        <f ca="1">IF(J5&lt;&gt;0,ROUND(J25*(1-((1+M28)/(1+M26))^M27)/(M26-M28),0),0)</f>
        <v>0</v>
      </c>
      <c r="K26" s="709" t="s">
        <v>373</v>
      </c>
      <c r="L26" s="683" t="s">
        <v>374</v>
      </c>
      <c r="M26" s="693">
        <f ca="1">INDIRECT("'数据-取费表'!I"&amp;$G$1)</f>
        <v>0</v>
      </c>
    </row>
    <row r="27" spans="1:37" ht="18" customHeight="1">
      <c r="A27" s="2436" t="s">
        <v>2371</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2373</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0</v>
      </c>
      <c r="D29" s="2679"/>
      <c r="E29" s="2677"/>
      <c r="F29" s="2680"/>
      <c r="G29" s="2287"/>
      <c r="H29" s="719" t="s">
        <v>2358</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0</v>
      </c>
      <c r="D30" s="2674" t="s">
        <v>925</v>
      </c>
      <c r="E30" s="2675"/>
      <c r="F30" s="2626"/>
      <c r="G30" s="2286"/>
      <c r="H30" s="1277"/>
      <c r="I30" s="1278"/>
      <c r="J30" s="1279"/>
      <c r="K30" s="1280"/>
      <c r="L30" s="1281"/>
      <c r="M30" s="1282"/>
    </row>
    <row r="31" spans="1:37" ht="18" customHeight="1">
      <c r="A31" s="2436" t="s">
        <v>2368</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2365</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IF(项目基本情况!B11="自然人","——",IF(D33="按租金收入计税",ROUND(C5*F33,0),IF(D33="按房产原值计税",ROUND(C29*F33*0.7,0),INDIRECT("'数据-取费表'!Aj"&amp;$G$1))))</f>
        <v>0</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2375</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2603</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2604</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2348</v>
      </c>
      <c r="B39" s="2681" t="s">
        <v>377</v>
      </c>
      <c r="C39" s="691">
        <f ca="1">C5-C30</f>
        <v>0</v>
      </c>
      <c r="D39" s="2682" t="s">
        <v>378</v>
      </c>
      <c r="E39" s="2683"/>
      <c r="F39" s="2684"/>
      <c r="G39" s="2286"/>
      <c r="H39" s="1289"/>
      <c r="I39" s="2879"/>
      <c r="J39" s="2880"/>
      <c r="K39" s="1294"/>
      <c r="L39" s="1289"/>
      <c r="M39" s="1289"/>
    </row>
    <row r="40" spans="1:18" ht="18" customHeight="1">
      <c r="A40" s="680" t="s">
        <v>2351</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2358</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2614</v>
      </c>
      <c r="E45" s="1432"/>
      <c r="F45" s="1432"/>
      <c r="O45" s="2589" t="s">
        <v>2480</v>
      </c>
      <c r="P45" s="1295"/>
      <c r="Q45" s="1295"/>
      <c r="R45" s="1295"/>
    </row>
    <row r="46" spans="1:18" s="1454" customFormat="1" ht="21" thickBot="1">
      <c r="A46" s="2394" t="s">
        <v>2320</v>
      </c>
      <c r="B46" s="2395"/>
      <c r="C46" s="2723" t="e">
        <f ca="1">ROUND(C45/10000,0)</f>
        <v>#DIV/0!</v>
      </c>
      <c r="D46" s="2724" t="str">
        <f>C2</f>
        <v>万元</v>
      </c>
      <c r="I46" s="2576" t="s">
        <v>2415</v>
      </c>
      <c r="J46" s="2577"/>
      <c r="K46" s="2578"/>
      <c r="L46" s="2580" t="e">
        <f ca="1">IF(M47="住宅",0,IF(L48&gt;J51,L60,J60))</f>
        <v>#DIV/0!</v>
      </c>
      <c r="O46" s="2592" t="s">
        <v>2458</v>
      </c>
      <c r="P46" s="2593" t="s">
        <v>2459</v>
      </c>
      <c r="Q46" s="2594" t="s">
        <v>2457</v>
      </c>
      <c r="R46" s="2594" t="s">
        <v>2460</v>
      </c>
    </row>
    <row r="47" spans="1:18" s="1454" customFormat="1" ht="15.75" thickBot="1">
      <c r="A47" s="2396" t="s">
        <v>908</v>
      </c>
      <c r="B47" s="2432" t="s">
        <v>909</v>
      </c>
      <c r="C47" s="2432" t="s">
        <v>910</v>
      </c>
      <c r="D47" s="2432" t="s">
        <v>911</v>
      </c>
      <c r="E47" s="2535" t="s">
        <v>912</v>
      </c>
      <c r="F47" s="2536"/>
      <c r="G47" s="1456"/>
      <c r="I47" s="2551" t="s">
        <v>2408</v>
      </c>
      <c r="J47" s="2552"/>
      <c r="K47" s="2561" t="s">
        <v>2431</v>
      </c>
      <c r="L47" s="2562">
        <f ca="1">INDIRECT("'数据-取费表'!d"&amp;$G$1)</f>
        <v>0</v>
      </c>
      <c r="M47" s="2582" t="str">
        <f>IF(ISNUMBER(FIND("住宅",C1)),"住宅","非住宅")</f>
        <v>非住宅</v>
      </c>
      <c r="O47" s="2585" t="s">
        <v>2443</v>
      </c>
      <c r="P47" s="2595" t="s">
        <v>2461</v>
      </c>
      <c r="Q47" s="2586" t="e">
        <f ca="1">C40+J29</f>
        <v>#DIV/0!</v>
      </c>
      <c r="R47" s="2586" t="s">
        <v>2462</v>
      </c>
    </row>
    <row r="48" spans="1:18" s="1454" customFormat="1" ht="47.25" thickBot="1">
      <c r="A48" s="2709" t="s">
        <v>2609</v>
      </c>
      <c r="B48" s="681" t="s">
        <v>2327</v>
      </c>
      <c r="C48" s="2719">
        <f ca="1">C49+C53+C55</f>
        <v>0</v>
      </c>
      <c r="D48" s="2713"/>
      <c r="E48" s="2714"/>
      <c r="F48" s="2416"/>
      <c r="G48" s="1456"/>
      <c r="H48" s="1457"/>
      <c r="I48" s="2542" t="s">
        <v>2409</v>
      </c>
      <c r="J48" s="2553"/>
      <c r="K48" s="2563" t="s">
        <v>683</v>
      </c>
      <c r="L48" s="2167">
        <f ca="1">INDIRECT("'数据-取费表'!f"&amp;$G$1)</f>
        <v>0</v>
      </c>
      <c r="O48" s="2585" t="s">
        <v>2444</v>
      </c>
      <c r="P48" s="2595" t="s">
        <v>2463</v>
      </c>
      <c r="Q48" s="2586" t="e">
        <f ca="1">J60</f>
        <v>#DIV/0!</v>
      </c>
      <c r="R48" s="2586" t="s">
        <v>2471</v>
      </c>
    </row>
    <row r="49" spans="1:18" s="1454" customFormat="1" ht="15.75" thickBot="1">
      <c r="A49" s="2429" t="s">
        <v>2610</v>
      </c>
      <c r="B49" s="2712" t="s">
        <v>2612</v>
      </c>
      <c r="C49" s="2721">
        <f ca="1">ROUND(F49*F51*F50*(1-F52),0)</f>
        <v>0</v>
      </c>
      <c r="D49" s="2531" t="s">
        <v>2328</v>
      </c>
      <c r="E49" s="2534" t="s">
        <v>2321</v>
      </c>
      <c r="F49" s="2537"/>
      <c r="G49" s="1458"/>
      <c r="H49" s="1457"/>
      <c r="I49" s="2542" t="s">
        <v>2429</v>
      </c>
      <c r="J49" s="2554"/>
      <c r="K49" s="2564" t="s">
        <v>2434</v>
      </c>
      <c r="L49" s="2565"/>
      <c r="O49" s="2587" t="s">
        <v>2445</v>
      </c>
      <c r="P49" s="2595" t="s">
        <v>2464</v>
      </c>
      <c r="Q49" s="2586">
        <f ca="1">C29</f>
        <v>0</v>
      </c>
      <c r="R49" s="2586" t="s">
        <v>2462</v>
      </c>
    </row>
    <row r="50" spans="1:18" s="1454" customFormat="1" ht="15.75" thickBot="1">
      <c r="A50" s="2430"/>
      <c r="B50" s="2433"/>
      <c r="C50" s="2434"/>
      <c r="D50" s="2403"/>
      <c r="E50" s="2532" t="s">
        <v>914</v>
      </c>
      <c r="F50" s="2533">
        <f ca="1">F7</f>
        <v>0</v>
      </c>
      <c r="H50" s="1457"/>
      <c r="I50" s="2542" t="s">
        <v>2411</v>
      </c>
      <c r="J50" s="2555">
        <f>SUMPRODUCT((I63:I65=J47)*(J62:L62=J48)*(J63:L65))</f>
        <v>0</v>
      </c>
      <c r="K50" s="2564" t="s">
        <v>2435</v>
      </c>
      <c r="L50" s="2565"/>
      <c r="M50" s="2559"/>
      <c r="O50" s="2587" t="s">
        <v>2446</v>
      </c>
      <c r="P50" s="2595" t="s">
        <v>2472</v>
      </c>
      <c r="Q50" s="2588" t="e">
        <f ca="1">J58</f>
        <v>#DIV/0!</v>
      </c>
      <c r="R50" s="2586"/>
    </row>
    <row r="51" spans="1:18" s="1454" customFormat="1" ht="15.75" thickBot="1">
      <c r="A51" s="2431"/>
      <c r="B51" s="2433"/>
      <c r="C51" s="2434"/>
      <c r="D51" s="2403"/>
      <c r="E51" s="2435" t="s">
        <v>915</v>
      </c>
      <c r="F51" s="684">
        <f ca="1">F8</f>
        <v>0</v>
      </c>
      <c r="I51" s="2556" t="s">
        <v>2416</v>
      </c>
      <c r="J51" s="2557">
        <f>IF(J49="",J50,J49+J50-YEAR('数据-取费表'!B2))</f>
        <v>0</v>
      </c>
      <c r="K51" s="2566" t="s">
        <v>2436</v>
      </c>
      <c r="L51" s="2579">
        <f ca="1">ROUND(-PV(INDIRECT("'数据-取费表'!h"&amp;$G$1),L48,(C39-C13*C76),0),0)</f>
        <v>0</v>
      </c>
      <c r="M51" s="2560"/>
      <c r="O51" s="2587" t="s">
        <v>2447</v>
      </c>
      <c r="P51" s="2595" t="s">
        <v>2473</v>
      </c>
      <c r="Q51" s="2588">
        <f>J52</f>
        <v>0</v>
      </c>
      <c r="R51" s="2586"/>
    </row>
    <row r="52" spans="1:18" s="1454" customFormat="1" ht="15.75" thickBot="1">
      <c r="A52" s="2431"/>
      <c r="B52" s="2433"/>
      <c r="C52" s="2434"/>
      <c r="D52" s="2403"/>
      <c r="E52" s="2435" t="s">
        <v>916</v>
      </c>
      <c r="F52" s="2530"/>
      <c r="I52" s="2558" t="s">
        <v>2439</v>
      </c>
      <c r="J52" s="2572"/>
      <c r="K52" s="2558" t="s">
        <v>2424</v>
      </c>
      <c r="L52" s="2572"/>
      <c r="M52" s="2395"/>
      <c r="O52" s="2587" t="s">
        <v>2448</v>
      </c>
      <c r="P52" s="2595" t="s">
        <v>2465</v>
      </c>
      <c r="Q52" s="2586">
        <f ca="1">J53</f>
        <v>0</v>
      </c>
      <c r="R52" s="2586" t="s">
        <v>2466</v>
      </c>
    </row>
    <row r="53" spans="1:18" s="1454" customFormat="1" ht="43.5" thickBot="1">
      <c r="A53" s="2710" t="s">
        <v>2611</v>
      </c>
      <c r="B53" s="2711" t="s">
        <v>2521</v>
      </c>
      <c r="C53" s="697">
        <f ca="1">ROUND(IF(F53="押一",F49*F51*F50/12*F11,IF(F53="押二",F49*F51*F50/12*2*F11,IF(F53="押三",F49*F51*F50/12*3*F11,C54*F11))),0)</f>
        <v>0</v>
      </c>
      <c r="D53" s="2632" t="s">
        <v>2529</v>
      </c>
      <c r="E53" s="2096" t="s">
        <v>2523</v>
      </c>
      <c r="F53" s="2826"/>
      <c r="I53" s="2568" t="s">
        <v>2441</v>
      </c>
      <c r="J53" s="2569">
        <f ca="1">IF(M47="住宅",J51,MIN(J51,L48))</f>
        <v>0</v>
      </c>
      <c r="K53" s="3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7"/>
      <c r="O53" s="2585" t="s">
        <v>2449</v>
      </c>
      <c r="P53" s="2595" t="s">
        <v>2467</v>
      </c>
      <c r="Q53" s="2586" t="e">
        <f ca="1">Q47+Q48</f>
        <v>#DIV/0!</v>
      </c>
      <c r="R53" s="2586" t="s">
        <v>2450</v>
      </c>
    </row>
    <row r="54" spans="1:18" s="1454" customFormat="1" ht="16.5" thickBot="1">
      <c r="A54" s="2429"/>
      <c r="B54" s="2823" t="s">
        <v>2684</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15"/>
      <c r="F55" s="2538"/>
      <c r="I55" s="3316" t="s">
        <v>2417</v>
      </c>
      <c r="J55" s="3315" t="e">
        <f ca="1">ROUND(IF(J47="钢混",J57/J50,1-(1-2%)*(J50-J57)/J50),3)</f>
        <v>#DIV/0!</v>
      </c>
      <c r="K55" s="2549" t="s">
        <v>2418</v>
      </c>
      <c r="L55" s="2571"/>
      <c r="O55" s="2592" t="s">
        <v>2458</v>
      </c>
      <c r="P55" s="2593" t="s">
        <v>2459</v>
      </c>
      <c r="Q55" s="2594" t="s">
        <v>2457</v>
      </c>
      <c r="R55" s="2594" t="s">
        <v>2460</v>
      </c>
    </row>
    <row r="56" spans="1:18" s="1454" customFormat="1" ht="44.25" thickTop="1" thickBot="1">
      <c r="A56" s="2407">
        <v>2</v>
      </c>
      <c r="B56" s="2408" t="s">
        <v>917</v>
      </c>
      <c r="C56" s="607">
        <f ca="1">C13</f>
        <v>0</v>
      </c>
      <c r="D56" s="2696"/>
      <c r="E56" s="2409"/>
      <c r="F56" s="2538"/>
      <c r="I56" s="2541" t="s">
        <v>2419</v>
      </c>
      <c r="J56" s="2570"/>
      <c r="K56" s="2542" t="s">
        <v>2423</v>
      </c>
      <c r="L56" s="2167">
        <f ca="1">IF(L48&lt;J51,"——",L48-J51)</f>
        <v>0</v>
      </c>
      <c r="O56" s="2585" t="s">
        <v>2443</v>
      </c>
      <c r="P56" s="2595" t="s">
        <v>2461</v>
      </c>
      <c r="Q56" s="2586" t="e">
        <f ca="1">C40+J29</f>
        <v>#DIV/0!</v>
      </c>
      <c r="R56" s="2586" t="s">
        <v>2462</v>
      </c>
    </row>
    <row r="57" spans="1:18" s="1454" customFormat="1" ht="29.25" thickBot="1">
      <c r="A57" s="2539"/>
      <c r="B57" s="2400" t="s">
        <v>966</v>
      </c>
      <c r="C57" s="613">
        <f ca="1">C29</f>
        <v>0</v>
      </c>
      <c r="D57" s="2411"/>
      <c r="E57" s="2412"/>
      <c r="F57" s="2540"/>
      <c r="I57" s="2543" t="s">
        <v>2440</v>
      </c>
      <c r="J57" s="2547">
        <f ca="1">IF(OR(M47="住宅",J51&lt;L48,J56="是"),"——",J51-L48)</f>
        <v>0</v>
      </c>
      <c r="K57" s="2542" t="s">
        <v>2433</v>
      </c>
      <c r="L57" s="2167">
        <f ca="1">IF(L48&lt;J51,"——",IF(L55="比较法",L49,IF(L55="基准地价",L50,L51)))</f>
        <v>0</v>
      </c>
      <c r="O57" s="2585" t="s">
        <v>2444</v>
      </c>
      <c r="P57" s="2595" t="s">
        <v>2468</v>
      </c>
      <c r="Q57" s="2586" t="e">
        <f ca="1">L60</f>
        <v>#DIV/0!</v>
      </c>
      <c r="R57" s="2586" t="s">
        <v>2483</v>
      </c>
    </row>
    <row r="58" spans="1:18" s="1454" customFormat="1" ht="29.25" thickBot="1">
      <c r="A58" s="696" t="s">
        <v>2333</v>
      </c>
      <c r="B58" s="2408" t="s">
        <v>924</v>
      </c>
      <c r="C58" s="697">
        <f ca="1">ROUND(C59+C64+C65+C66,0)</f>
        <v>0</v>
      </c>
      <c r="D58" s="2414" t="s">
        <v>925</v>
      </c>
      <c r="E58" s="2415"/>
      <c r="F58" s="2416"/>
      <c r="I58" s="2543" t="s">
        <v>2420</v>
      </c>
      <c r="J58" s="3317" t="e">
        <f ca="1">IF(J55&lt;0.4,0.4,J55)</f>
        <v>#DIV/0!</v>
      </c>
      <c r="K58" s="2566" t="s">
        <v>2442</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2421</v>
      </c>
      <c r="J59" s="2547" t="e">
        <f ca="1">IF(OR(M47="住宅",J51&lt;L48,J56="是"),"——",ROUND(C29*J58,0))</f>
        <v>#DIV/0!</v>
      </c>
      <c r="K59" s="2566" t="s">
        <v>2430</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930</v>
      </c>
      <c r="C60" s="313">
        <f ca="1">IF(项目基本情况!B11="自然人","——",ROUND(C48*F60/(1+'数据-取费表'!C42),0))</f>
        <v>0</v>
      </c>
      <c r="D60" s="2418" t="s">
        <v>931</v>
      </c>
      <c r="E60" s="2400" t="s">
        <v>365</v>
      </c>
      <c r="F60" s="716">
        <f t="shared" ref="F60:F66" si="0">F32</f>
        <v>5.5000000000000007E-2</v>
      </c>
      <c r="I60" s="2544" t="s">
        <v>2422</v>
      </c>
      <c r="J60" s="2548" t="e">
        <f ca="1">IF(OR(M47="住宅",J51&lt;L48,J56="是"),"0",ROUND(J59/(1+J52)^J53,0))</f>
        <v>#DIV/0!</v>
      </c>
      <c r="K60" s="2550" t="s">
        <v>2425</v>
      </c>
      <c r="L60" s="2548" t="e">
        <f ca="1">IF(OR(M47="住宅",L48&lt;J51),0,ROUND(L57*(L58/L59-1),0))</f>
        <v>#DIV/0!</v>
      </c>
      <c r="O60" s="2587" t="s">
        <v>2447</v>
      </c>
      <c r="P60" s="2595" t="s">
        <v>2477</v>
      </c>
      <c r="Q60" s="2586">
        <f ca="1">L58</f>
        <v>0</v>
      </c>
      <c r="R60" s="2586" t="s">
        <v>2452</v>
      </c>
    </row>
    <row r="61" spans="1:18" s="1454" customFormat="1" ht="20.25" thickBot="1">
      <c r="A61" s="2436" t="s">
        <v>2366</v>
      </c>
      <c r="B61" s="2400" t="s">
        <v>933</v>
      </c>
      <c r="C61" s="313">
        <f ca="1">IF(项目基本情况!B11="自然人","——",IF(D61="按租金收入计税",ROUND(C48*F61,0),IF(D61="按房产原值计税",ROUND(C57*F61*0.7,0),INDIRECT("'数据-取费表'!Aj"&amp;$G$1))))</f>
        <v>0</v>
      </c>
      <c r="D61" s="1300" t="s">
        <v>2407</v>
      </c>
      <c r="E61" s="2400" t="s">
        <v>365</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935</v>
      </c>
      <c r="C62" s="314">
        <f ca="1">IF(项目基本情况!B11="自然人","——",ROUND(F62*F63,0))</f>
        <v>0</v>
      </c>
      <c r="D62" s="2419" t="s">
        <v>936</v>
      </c>
      <c r="E62" s="2400" t="s">
        <v>937</v>
      </c>
      <c r="F62" s="710">
        <f t="shared" si="0"/>
        <v>1.5</v>
      </c>
      <c r="I62" s="2545" t="s">
        <v>2412</v>
      </c>
      <c r="J62" s="2546" t="s">
        <v>2413</v>
      </c>
      <c r="K62" s="2546" t="s">
        <v>2414</v>
      </c>
      <c r="L62" s="2546" t="s">
        <v>2410</v>
      </c>
      <c r="M62" s="3318" t="s">
        <v>3024</v>
      </c>
      <c r="O62" s="2585" t="s">
        <v>2449</v>
      </c>
      <c r="P62" s="2595" t="s">
        <v>2467</v>
      </c>
      <c r="Q62" s="2586" t="e">
        <f ca="1">Q56+Q57</f>
        <v>#DIV/0!</v>
      </c>
      <c r="R62" s="2586" t="s">
        <v>2450</v>
      </c>
    </row>
    <row r="63" spans="1:18" s="1454" customFormat="1" ht="16.5" thickBot="1">
      <c r="A63" s="711"/>
      <c r="B63" s="2406"/>
      <c r="C63" s="318"/>
      <c r="D63" s="2420"/>
      <c r="E63" s="2400" t="s">
        <v>941</v>
      </c>
      <c r="F63" s="684">
        <f t="shared" ca="1" si="0"/>
        <v>0</v>
      </c>
      <c r="I63" s="2545" t="s">
        <v>2426</v>
      </c>
      <c r="J63" s="3321">
        <v>70</v>
      </c>
      <c r="K63" s="3321">
        <v>50</v>
      </c>
      <c r="L63" s="3321">
        <v>80</v>
      </c>
      <c r="M63" s="3319">
        <v>0.02</v>
      </c>
      <c r="O63" s="2589" t="s">
        <v>2481</v>
      </c>
      <c r="P63" s="1295"/>
      <c r="Q63" s="1295"/>
      <c r="R63" s="1295"/>
    </row>
    <row r="64" spans="1:18" s="1454" customFormat="1" ht="15.75" thickBot="1">
      <c r="A64" s="2436" t="s">
        <v>2375</v>
      </c>
      <c r="B64" s="2400" t="s">
        <v>943</v>
      </c>
      <c r="C64" s="313">
        <f ca="1">ROUND(C57*F64,0)</f>
        <v>0</v>
      </c>
      <c r="D64" s="2418" t="s">
        <v>973</v>
      </c>
      <c r="E64" s="2400" t="s">
        <v>365</v>
      </c>
      <c r="F64" s="713">
        <f t="shared" ca="1" si="0"/>
        <v>0</v>
      </c>
      <c r="I64" s="2545" t="s">
        <v>107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ROUND(C56*F65,0)</f>
        <v>0</v>
      </c>
      <c r="D65" s="2418" t="s">
        <v>369</v>
      </c>
      <c r="E65" s="2400" t="s">
        <v>365</v>
      </c>
      <c r="F65" s="715">
        <f t="shared" ca="1" si="0"/>
        <v>0</v>
      </c>
      <c r="I65" s="2545" t="s">
        <v>2428</v>
      </c>
      <c r="J65" s="3321">
        <v>40</v>
      </c>
      <c r="K65" s="3321">
        <v>30</v>
      </c>
      <c r="L65" s="3321">
        <v>50</v>
      </c>
      <c r="M65" s="3319">
        <v>0.02</v>
      </c>
      <c r="O65" s="2585" t="s">
        <v>2443</v>
      </c>
      <c r="P65" s="2595" t="s">
        <v>2461</v>
      </c>
      <c r="Q65" s="2586" t="e">
        <f ca="1">C40+J29</f>
        <v>#DIV/0!</v>
      </c>
      <c r="R65" s="2586" t="s">
        <v>2462</v>
      </c>
    </row>
    <row r="66" spans="1:18" s="1454" customFormat="1" ht="20.25" thickBot="1">
      <c r="A66" s="2436" t="s">
        <v>2370</v>
      </c>
      <c r="B66" s="2400" t="s">
        <v>367</v>
      </c>
      <c r="C66" s="313">
        <f ca="1">ROUND(C48*F66,0)</f>
        <v>0</v>
      </c>
      <c r="D66" s="2418" t="s">
        <v>371</v>
      </c>
      <c r="E66" s="2400" t="s">
        <v>365</v>
      </c>
      <c r="F66" s="693">
        <f t="shared" ca="1" si="0"/>
        <v>0</v>
      </c>
      <c r="O66" s="2585" t="s">
        <v>2444</v>
      </c>
      <c r="P66" s="2595" t="s">
        <v>2468</v>
      </c>
      <c r="Q66" s="2586" t="e">
        <f ca="1">L60</f>
        <v>#DIV/0!</v>
      </c>
      <c r="R66" s="2586" t="s">
        <v>2451</v>
      </c>
    </row>
    <row r="67" spans="1:18" s="1454" customFormat="1" ht="24.75" thickBot="1">
      <c r="A67" s="2407" t="s">
        <v>2348</v>
      </c>
      <c r="B67" s="2421" t="s">
        <v>377</v>
      </c>
      <c r="C67" s="697">
        <f ca="1">C48-C58</f>
        <v>0</v>
      </c>
      <c r="D67" s="2417" t="s">
        <v>378</v>
      </c>
      <c r="E67" s="2422"/>
      <c r="F67" s="2423"/>
      <c r="O67" s="2587" t="s">
        <v>2445</v>
      </c>
      <c r="P67" s="2595" t="s">
        <v>2475</v>
      </c>
      <c r="Q67" s="2590">
        <f ca="1">L51</f>
        <v>0</v>
      </c>
      <c r="R67" s="2591" t="s">
        <v>2485</v>
      </c>
    </row>
    <row r="68" spans="1:18" s="1454" customFormat="1" ht="20.25" thickBot="1">
      <c r="A68" s="2397" t="s">
        <v>2351</v>
      </c>
      <c r="B68" s="2398" t="s">
        <v>379</v>
      </c>
      <c r="C68" s="682" t="e">
        <f ca="1">ROUND(C67*(1-((1+F70)/(1+F68))^F69)/(F68-F70),0)</f>
        <v>#DIV/0!</v>
      </c>
      <c r="D68" s="2419" t="s">
        <v>373</v>
      </c>
      <c r="E68" s="2400" t="s">
        <v>374</v>
      </c>
      <c r="F68" s="693">
        <f ca="1">F40</f>
        <v>0</v>
      </c>
      <c r="O68" s="2587" t="s">
        <v>2446</v>
      </c>
      <c r="P68" s="2596" t="s">
        <v>2479</v>
      </c>
      <c r="Q68" s="2586">
        <f ca="1">ROUND(Q69-Q70*Q71,0)</f>
        <v>0</v>
      </c>
      <c r="R68" s="2586" t="s">
        <v>2484</v>
      </c>
    </row>
    <row r="69" spans="1:18" s="1454" customFormat="1" ht="15.75" thickBot="1">
      <c r="A69" s="2401"/>
      <c r="B69" s="2402"/>
      <c r="C69" s="687"/>
      <c r="D69" s="2424" t="s">
        <v>958</v>
      </c>
      <c r="E69" s="2400" t="s">
        <v>381</v>
      </c>
      <c r="F69" s="718">
        <f ca="1">F41</f>
        <v>0</v>
      </c>
      <c r="O69" s="2587" t="s">
        <v>2454</v>
      </c>
      <c r="P69" s="2596" t="s">
        <v>2469</v>
      </c>
      <c r="Q69" s="2586">
        <f ca="1">C39</f>
        <v>0</v>
      </c>
      <c r="R69" s="2586" t="s">
        <v>2462</v>
      </c>
    </row>
    <row r="70" spans="1:18" s="1454" customFormat="1" ht="15.75" thickBot="1">
      <c r="A70" s="2404"/>
      <c r="B70" s="2405"/>
      <c r="C70" s="691"/>
      <c r="D70" s="2420"/>
      <c r="E70" s="2400" t="s">
        <v>382</v>
      </c>
      <c r="F70" s="2530">
        <f ca="1">F42</f>
        <v>0</v>
      </c>
      <c r="O70" s="2587" t="s">
        <v>2455</v>
      </c>
      <c r="P70" s="2596" t="s">
        <v>2470</v>
      </c>
      <c r="Q70" s="2586">
        <f ca="1">C13</f>
        <v>0</v>
      </c>
      <c r="R70" s="2586" t="s">
        <v>2462</v>
      </c>
    </row>
    <row r="71" spans="1:18" s="1454" customFormat="1" ht="15.75" thickBot="1">
      <c r="A71" s="2425" t="s">
        <v>2358</v>
      </c>
      <c r="B71" s="2426" t="s">
        <v>383</v>
      </c>
      <c r="C71" s="721" t="e">
        <f ca="1">ROUND(C68/F71,0)</f>
        <v>#DIV/0!</v>
      </c>
      <c r="D71" s="2427" t="s">
        <v>384</v>
      </c>
      <c r="E71" s="2428" t="s">
        <v>385</v>
      </c>
      <c r="F71" s="724">
        <f ca="1">F43</f>
        <v>0</v>
      </c>
      <c r="I71" s="2395"/>
      <c r="K71" s="2395"/>
      <c r="O71" s="2587" t="s">
        <v>2456</v>
      </c>
      <c r="P71" s="2596" t="s">
        <v>2482</v>
      </c>
      <c r="Q71" s="2588">
        <f ca="1">C76</f>
        <v>0</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0</v>
      </c>
      <c r="D75" s="1454"/>
      <c r="E75" s="1454"/>
      <c r="F75" s="1454"/>
      <c r="K75" s="1455"/>
      <c r="L75" s="1454"/>
      <c r="O75" s="2585" t="s">
        <v>2449</v>
      </c>
      <c r="P75" s="2595" t="s">
        <v>2467</v>
      </c>
      <c r="Q75" s="2586" t="e">
        <f ca="1">Q65+Q66</f>
        <v>#DIV/0!</v>
      </c>
      <c r="R75" s="2586" t="s">
        <v>2450</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2691</v>
      </c>
      <c r="C79" s="649" t="e">
        <f ca="1">1-C80</f>
        <v>#DIV/0!</v>
      </c>
    </row>
    <row r="80" spans="1:18">
      <c r="B80" s="2871" t="s">
        <v>2692</v>
      </c>
      <c r="C80" s="649" t="e">
        <f ca="1">ROUND(C75/C39,3)</f>
        <v>#DIV/0!</v>
      </c>
    </row>
    <row r="81" spans="2:3">
      <c r="B81" s="645" t="s">
        <v>387</v>
      </c>
      <c r="C81" s="646"/>
    </row>
    <row r="82" spans="2:3">
      <c r="B82" s="2870" t="s">
        <v>2689</v>
      </c>
      <c r="C82" s="650" t="e">
        <f ca="1">1-C83</f>
        <v>#DIV/0!</v>
      </c>
    </row>
    <row r="83" spans="2:3">
      <c r="B83" s="2870" t="s">
        <v>2688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2662</v>
      </c>
      <c r="B1" s="2782"/>
      <c r="C1" s="2782"/>
      <c r="D1" s="2782"/>
      <c r="E1" s="2783"/>
    </row>
    <row r="2" spans="1:6" ht="14.25">
      <c r="A2" s="2784" t="s">
        <v>2663</v>
      </c>
      <c r="B2" s="2778">
        <f ca="1">SUMIF(B6:B13,"&lt;&gt;#ref!",B6:B13)</f>
        <v>1889</v>
      </c>
      <c r="C2" s="2779" t="s">
        <v>2660</v>
      </c>
      <c r="D2" s="2780" t="s">
        <v>2665</v>
      </c>
      <c r="E2" s="2788">
        <f>SUM(E6:E13)</f>
        <v>2125.98</v>
      </c>
    </row>
    <row r="3" spans="1:6" ht="14.25">
      <c r="A3" s="2784" t="s">
        <v>2664</v>
      </c>
      <c r="B3" s="2778">
        <f ca="1">ROUND(B2*10000/E2,0)</f>
        <v>8885</v>
      </c>
      <c r="C3" s="2779" t="s">
        <v>2661</v>
      </c>
      <c r="D3" s="2785"/>
      <c r="E3" s="2789"/>
    </row>
    <row r="4" spans="1:6" ht="14.25">
      <c r="A4" s="2790"/>
      <c r="B4" s="2785"/>
      <c r="C4" s="2785"/>
      <c r="D4" s="2785"/>
      <c r="E4" s="2789"/>
    </row>
    <row r="5" spans="1:6">
      <c r="A5" s="2794" t="s">
        <v>2667</v>
      </c>
      <c r="B5" s="3571" t="s">
        <v>2669</v>
      </c>
      <c r="C5" s="3571"/>
      <c r="D5" s="2793"/>
      <c r="E5" s="3335" t="s">
        <v>2668</v>
      </c>
      <c r="F5" s="3336" t="s">
        <v>3040</v>
      </c>
    </row>
    <row r="6" spans="1:6">
      <c r="A6" s="2791" t="str">
        <f>'数据-取费表'!AN6</f>
        <v>收益法</v>
      </c>
      <c r="B6" s="2787">
        <f ca="1">IF(F6="是",'数据-取费表'!AO6,0)</f>
        <v>1889</v>
      </c>
      <c r="C6" s="2779" t="s">
        <v>2660</v>
      </c>
      <c r="D6" s="2785"/>
      <c r="E6" s="1542">
        <f>IF(OR(A6=0,F6="否"),0,'数据-取费表'!K6+'数据-取费表'!S6)</f>
        <v>2125.98</v>
      </c>
      <c r="F6" s="3337" t="s">
        <v>3041</v>
      </c>
    </row>
    <row r="7" spans="1:6">
      <c r="A7" s="2791">
        <f>'数据-取费表'!AN7</f>
        <v>0</v>
      </c>
      <c r="B7" s="2787" t="e">
        <f ca="1">IF(F7="是",'数据-取费表'!AO7,0)</f>
        <v>#REF!</v>
      </c>
      <c r="C7" s="2779" t="s">
        <v>2660</v>
      </c>
      <c r="D7" s="2785"/>
      <c r="E7" s="1542">
        <f>IF(OR(A7=0,F7="否"),0,'数据-取费表'!K7+'数据-取费表'!S7)</f>
        <v>0</v>
      </c>
      <c r="F7" s="3337" t="s">
        <v>3041</v>
      </c>
    </row>
    <row r="8" spans="1:6">
      <c r="A8" s="2791">
        <f>'数据-取费表'!AN8</f>
        <v>0</v>
      </c>
      <c r="B8" s="2787" t="e">
        <f ca="1">IF(F8="是",'数据-取费表'!AO8,0)</f>
        <v>#REF!</v>
      </c>
      <c r="C8" s="2779" t="s">
        <v>2660</v>
      </c>
      <c r="D8" s="2785"/>
      <c r="E8" s="1542">
        <f>IF(OR(A8=0,F8="否"),0,'数据-取费表'!K8+'数据-取费表'!S8)</f>
        <v>0</v>
      </c>
      <c r="F8" s="3337" t="s">
        <v>3041</v>
      </c>
    </row>
    <row r="9" spans="1:6">
      <c r="A9" s="2791">
        <f>'数据-取费表'!AN9</f>
        <v>0</v>
      </c>
      <c r="B9" s="2787" t="e">
        <f ca="1">IF(F9="是",'数据-取费表'!AO9,0)</f>
        <v>#REF!</v>
      </c>
      <c r="C9" s="2779" t="s">
        <v>2660</v>
      </c>
      <c r="D9" s="2785"/>
      <c r="E9" s="1542">
        <f>IF(OR(A9=0,F9="否"),0,'数据-取费表'!K9+'数据-取费表'!S9)</f>
        <v>0</v>
      </c>
      <c r="F9" s="3337" t="s">
        <v>3041</v>
      </c>
    </row>
    <row r="10" spans="1:6">
      <c r="A10" s="2791">
        <f>'数据-取费表'!AN10</f>
        <v>0</v>
      </c>
      <c r="B10" s="2787" t="e">
        <f ca="1">IF(F10="是",'数据-取费表'!AO10,0)</f>
        <v>#REF!</v>
      </c>
      <c r="C10" s="2779" t="s">
        <v>2660</v>
      </c>
      <c r="D10" s="2785"/>
      <c r="E10" s="1542">
        <f>IF(OR(A10=0,F10="否"),0,'数据-取费表'!K10+'数据-取费表'!S10)</f>
        <v>0</v>
      </c>
      <c r="F10" s="3337" t="s">
        <v>3041</v>
      </c>
    </row>
    <row r="11" spans="1:6">
      <c r="A11" s="2791">
        <f>'数据-取费表'!AN11</f>
        <v>0</v>
      </c>
      <c r="B11" s="2787" t="e">
        <f ca="1">IF(F11="是",'数据-取费表'!AO11,0)</f>
        <v>#REF!</v>
      </c>
      <c r="C11" s="2779" t="s">
        <v>2660</v>
      </c>
      <c r="D11" s="2785"/>
      <c r="E11" s="1542">
        <f>IF(OR(A11=0,F11="否"),0,'数据-取费表'!K11+'数据-取费表'!S11)</f>
        <v>0</v>
      </c>
      <c r="F11" s="3337" t="s">
        <v>3041</v>
      </c>
    </row>
    <row r="12" spans="1:6">
      <c r="A12" s="2791">
        <f>'数据-取费表'!AN12</f>
        <v>0</v>
      </c>
      <c r="B12" s="2787" t="e">
        <f ca="1">IF(F12="是",'数据-取费表'!AO12,0)</f>
        <v>#REF!</v>
      </c>
      <c r="C12" s="2779" t="s">
        <v>2660</v>
      </c>
      <c r="D12" s="2785"/>
      <c r="E12" s="1542">
        <f>IF(OR(A12=0,F12="否"),0,'数据-取费表'!K12+'数据-取费表'!S12)</f>
        <v>0</v>
      </c>
      <c r="F12" s="3337" t="s">
        <v>3041</v>
      </c>
    </row>
    <row r="13" spans="1:6" ht="14.25" thickBot="1">
      <c r="A13" s="2792">
        <f>'数据-取费表'!AN13</f>
        <v>0</v>
      </c>
      <c r="B13" s="2787" t="e">
        <f ca="1">IF(F13="是",'数据-取费表'!AO13,0)</f>
        <v>#REF!</v>
      </c>
      <c r="C13" s="2795" t="s">
        <v>2660</v>
      </c>
      <c r="D13" s="2786"/>
      <c r="E13" s="1542">
        <f>IF(OR(A13=0,F13="否"),0,'数据-取费表'!K13+'数据-取费表'!S13)</f>
        <v>0</v>
      </c>
      <c r="F13" s="3337" t="s">
        <v>3041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88" t="s">
        <v>2538</v>
      </c>
      <c r="B1" s="3589"/>
      <c r="C1" s="3590"/>
      <c r="D1" s="3591">
        <f>SUM(I10,I15,I20,I21,I23)</f>
        <v>0</v>
      </c>
      <c r="E1" s="3591"/>
      <c r="F1" s="3591"/>
      <c r="G1" s="3591"/>
      <c r="H1" s="3591"/>
      <c r="I1" s="3592"/>
    </row>
    <row r="2" spans="1:9">
      <c r="A2" s="3578" t="s">
        <v>2539</v>
      </c>
      <c r="B2" s="3579" t="s">
        <v>2540</v>
      </c>
      <c r="C2" s="3579"/>
      <c r="D2" s="2636" t="s">
        <v>2541</v>
      </c>
      <c r="E2" s="2636" t="s">
        <v>2542</v>
      </c>
      <c r="F2" s="2636" t="s">
        <v>2543</v>
      </c>
      <c r="G2" s="2636" t="s">
        <v>2544</v>
      </c>
      <c r="H2" s="2636" t="s">
        <v>2545</v>
      </c>
      <c r="I2" s="2637" t="s">
        <v>2546</v>
      </c>
    </row>
    <row r="3" spans="1:9">
      <c r="A3" s="3578"/>
      <c r="B3" s="3579" t="s">
        <v>2547</v>
      </c>
      <c r="C3" s="3579"/>
      <c r="D3" s="2638"/>
      <c r="E3" s="2636"/>
      <c r="F3" s="2639"/>
      <c r="G3" s="2639"/>
      <c r="H3" s="2640"/>
      <c r="I3" s="2641">
        <f>ROUND(D3*E3*F3*G3*H3/10000,0)</f>
        <v>0</v>
      </c>
    </row>
    <row r="4" spans="1:9">
      <c r="A4" s="3578"/>
      <c r="B4" s="3579" t="s">
        <v>2548</v>
      </c>
      <c r="C4" s="3579"/>
      <c r="D4" s="2638"/>
      <c r="E4" s="2636"/>
      <c r="F4" s="2639"/>
      <c r="G4" s="2639"/>
      <c r="H4" s="2640"/>
      <c r="I4" s="2641">
        <f t="shared" ref="I4:I9" si="0">ROUND(D4*E4*F4*G4*H4/10000,0)</f>
        <v>0</v>
      </c>
    </row>
    <row r="5" spans="1:9">
      <c r="A5" s="3578"/>
      <c r="B5" s="3579" t="s">
        <v>2549</v>
      </c>
      <c r="C5" s="3579"/>
      <c r="D5" s="2638"/>
      <c r="E5" s="2636"/>
      <c r="F5" s="2639"/>
      <c r="G5" s="2639"/>
      <c r="H5" s="2640"/>
      <c r="I5" s="2641">
        <f t="shared" si="0"/>
        <v>0</v>
      </c>
    </row>
    <row r="6" spans="1:9">
      <c r="A6" s="3578"/>
      <c r="B6" s="3579" t="s">
        <v>2550</v>
      </c>
      <c r="C6" s="3579"/>
      <c r="D6" s="2638"/>
      <c r="E6" s="2636"/>
      <c r="F6" s="2639"/>
      <c r="G6" s="2639"/>
      <c r="H6" s="2640"/>
      <c r="I6" s="2641">
        <f t="shared" si="0"/>
        <v>0</v>
      </c>
    </row>
    <row r="7" spans="1:9">
      <c r="A7" s="3578"/>
      <c r="B7" s="3579" t="s">
        <v>2551</v>
      </c>
      <c r="C7" s="3579"/>
      <c r="D7" s="2638"/>
      <c r="E7" s="2636"/>
      <c r="F7" s="2639"/>
      <c r="G7" s="2639"/>
      <c r="H7" s="2640"/>
      <c r="I7" s="2641">
        <f t="shared" si="0"/>
        <v>0</v>
      </c>
    </row>
    <row r="8" spans="1:9">
      <c r="A8" s="3578"/>
      <c r="B8" s="3579" t="s">
        <v>2552</v>
      </c>
      <c r="C8" s="3579"/>
      <c r="D8" s="2638"/>
      <c r="E8" s="2636"/>
      <c r="F8" s="2639"/>
      <c r="G8" s="2639"/>
      <c r="H8" s="2640"/>
      <c r="I8" s="2641">
        <f t="shared" si="0"/>
        <v>0</v>
      </c>
    </row>
    <row r="9" spans="1:9">
      <c r="A9" s="3578"/>
      <c r="B9" s="3579" t="s">
        <v>2553</v>
      </c>
      <c r="C9" s="3579"/>
      <c r="D9" s="2638"/>
      <c r="E9" s="2636"/>
      <c r="F9" s="2639"/>
      <c r="G9" s="2639"/>
      <c r="H9" s="2640"/>
      <c r="I9" s="2641">
        <f t="shared" si="0"/>
        <v>0</v>
      </c>
    </row>
    <row r="10" spans="1:9">
      <c r="A10" s="3578"/>
      <c r="B10" s="3580" t="s">
        <v>2554</v>
      </c>
      <c r="C10" s="3580"/>
      <c r="D10" s="2642"/>
      <c r="E10" s="2642" t="e">
        <f>ROUND(D1*10000/D10/H9,0)</f>
        <v>#DIV/0!</v>
      </c>
      <c r="F10" s="2643"/>
      <c r="G10" s="2643"/>
      <c r="H10" s="2644"/>
      <c r="I10" s="2645">
        <f>SUM(I3:I9)</f>
        <v>0</v>
      </c>
    </row>
    <row r="11" spans="1:9" ht="14.25">
      <c r="A11" s="3578" t="s">
        <v>2555</v>
      </c>
      <c r="B11" s="3579" t="s">
        <v>2556</v>
      </c>
      <c r="C11" s="3579"/>
      <c r="D11" s="2638" t="s">
        <v>2557</v>
      </c>
      <c r="E11" s="2638" t="s">
        <v>2558</v>
      </c>
      <c r="F11" s="2639" t="s">
        <v>2559</v>
      </c>
      <c r="G11" s="2639" t="s">
        <v>2545</v>
      </c>
      <c r="H11" s="2646" t="s">
        <v>2560</v>
      </c>
      <c r="I11" s="2637" t="s">
        <v>2546</v>
      </c>
    </row>
    <row r="12" spans="1:9">
      <c r="A12" s="3578"/>
      <c r="B12" s="3579" t="s">
        <v>2561</v>
      </c>
      <c r="C12" s="3579"/>
      <c r="D12" s="2638"/>
      <c r="E12" s="2638"/>
      <c r="F12" s="2639"/>
      <c r="G12" s="2640"/>
      <c r="H12" s="2647"/>
      <c r="I12" s="2637">
        <f>ROUND(D12*E12*F12*G12/10000,0)</f>
        <v>0</v>
      </c>
    </row>
    <row r="13" spans="1:9">
      <c r="A13" s="3578"/>
      <c r="B13" s="3579" t="s">
        <v>2562</v>
      </c>
      <c r="C13" s="3579"/>
      <c r="D13" s="2638"/>
      <c r="E13" s="2638"/>
      <c r="F13" s="2639"/>
      <c r="G13" s="2640"/>
      <c r="H13" s="2647"/>
      <c r="I13" s="2637">
        <f>ROUND(D13*E13*F13*G13/10000,0)</f>
        <v>0</v>
      </c>
    </row>
    <row r="14" spans="1:9">
      <c r="A14" s="3578"/>
      <c r="B14" s="3579" t="s">
        <v>2563</v>
      </c>
      <c r="C14" s="3579"/>
      <c r="D14" s="2638"/>
      <c r="E14" s="2638"/>
      <c r="F14" s="2639"/>
      <c r="G14" s="2640"/>
      <c r="H14" s="2647"/>
      <c r="I14" s="2637">
        <f>ROUND(D14*E14*F14*G14/10000,0)</f>
        <v>0</v>
      </c>
    </row>
    <row r="15" spans="1:9">
      <c r="A15" s="3578"/>
      <c r="B15" s="3580" t="s">
        <v>2554</v>
      </c>
      <c r="C15" s="3580"/>
      <c r="D15" s="2642"/>
      <c r="E15" s="2642">
        <f>SUM(E12:E14)</f>
        <v>0</v>
      </c>
      <c r="F15" s="2643"/>
      <c r="G15" s="2640"/>
      <c r="H15" s="2647"/>
      <c r="I15" s="2648">
        <f>SUM(I12:I14)</f>
        <v>0</v>
      </c>
    </row>
    <row r="16" spans="1:9" ht="24">
      <c r="A16" s="3578" t="s">
        <v>2564</v>
      </c>
      <c r="B16" s="3579" t="s">
        <v>2565</v>
      </c>
      <c r="C16" s="3579"/>
      <c r="D16" s="2638" t="s">
        <v>2541</v>
      </c>
      <c r="E16" s="2649" t="s">
        <v>2566</v>
      </c>
      <c r="F16" s="2639" t="s">
        <v>2567</v>
      </c>
      <c r="G16" s="2640" t="s">
        <v>2545</v>
      </c>
      <c r="H16" s="2646" t="s">
        <v>2560</v>
      </c>
      <c r="I16" s="2637" t="s">
        <v>2546</v>
      </c>
    </row>
    <row r="17" spans="1:9" ht="14.25">
      <c r="A17" s="3578"/>
      <c r="B17" s="3579" t="s">
        <v>2568</v>
      </c>
      <c r="C17" s="3579"/>
      <c r="D17" s="2638"/>
      <c r="E17" s="2638"/>
      <c r="F17" s="2639"/>
      <c r="G17" s="2640"/>
      <c r="H17" s="2650"/>
      <c r="I17" s="2651">
        <f>ROUND(D17*E17*F17*G17/10000,0)</f>
        <v>0</v>
      </c>
    </row>
    <row r="18" spans="1:9" ht="14.25">
      <c r="A18" s="3578"/>
      <c r="B18" s="3579" t="s">
        <v>2569</v>
      </c>
      <c r="C18" s="3579"/>
      <c r="D18" s="2638"/>
      <c r="E18" s="2638"/>
      <c r="F18" s="2639"/>
      <c r="G18" s="2640"/>
      <c r="H18" s="2650"/>
      <c r="I18" s="2651">
        <f>ROUND(D18*E18*F18*G18/10000,0)</f>
        <v>0</v>
      </c>
    </row>
    <row r="19" spans="1:9" ht="14.25">
      <c r="A19" s="3578"/>
      <c r="B19" s="3579" t="s">
        <v>2570</v>
      </c>
      <c r="C19" s="3579"/>
      <c r="D19" s="2638"/>
      <c r="E19" s="2638"/>
      <c r="F19" s="2639"/>
      <c r="G19" s="2640"/>
      <c r="H19" s="2650"/>
      <c r="I19" s="2651">
        <f>ROUND(D19*E19*F19*G19/10000,0)</f>
        <v>0</v>
      </c>
    </row>
    <row r="20" spans="1:9">
      <c r="A20" s="3578"/>
      <c r="B20" s="3580" t="s">
        <v>2554</v>
      </c>
      <c r="C20" s="3580"/>
      <c r="D20" s="2642">
        <f>SUM(D17:D19)</f>
        <v>0</v>
      </c>
      <c r="E20" s="2642"/>
      <c r="F20" s="2643"/>
      <c r="G20" s="2640"/>
      <c r="H20" s="2647"/>
      <c r="I20" s="2648">
        <f>SUM(I17:I19)</f>
        <v>0</v>
      </c>
    </row>
    <row r="21" spans="1:9">
      <c r="A21" s="3578" t="s">
        <v>2571</v>
      </c>
      <c r="B21" s="3581"/>
      <c r="C21" s="3581"/>
      <c r="D21" s="3581"/>
      <c r="E21" s="3581"/>
      <c r="F21" s="3581"/>
      <c r="G21" s="3581"/>
      <c r="H21" s="3296">
        <v>0.1</v>
      </c>
      <c r="I21" s="2645">
        <f>ROUND(I10*H21,0)</f>
        <v>0</v>
      </c>
    </row>
    <row r="22" spans="1:9" ht="14.25">
      <c r="A22" s="3582" t="s">
        <v>2572</v>
      </c>
      <c r="B22" s="3583"/>
      <c r="C22" s="3584"/>
      <c r="D22" s="2652" t="s">
        <v>2573</v>
      </c>
      <c r="E22" s="2652" t="s">
        <v>2574</v>
      </c>
      <c r="F22" s="2653" t="s">
        <v>2575</v>
      </c>
      <c r="G22" s="2653" t="s">
        <v>2576</v>
      </c>
      <c r="H22" s="2646" t="s">
        <v>2577</v>
      </c>
      <c r="I22" s="2637" t="s">
        <v>2578</v>
      </c>
    </row>
    <row r="23" spans="1:9" ht="14.25" thickBot="1">
      <c r="A23" s="3585"/>
      <c r="B23" s="3586"/>
      <c r="C23" s="3587"/>
      <c r="D23" s="2654"/>
      <c r="E23" s="2654"/>
      <c r="F23" s="2654"/>
      <c r="G23" s="2655"/>
      <c r="H23" s="2656"/>
      <c r="I23" s="2657">
        <f>ROUND(E23*D23*F23*(1-G23)/10000,0)</f>
        <v>0</v>
      </c>
    </row>
    <row r="26" spans="1:9">
      <c r="A26" s="2658" t="s">
        <v>2579</v>
      </c>
      <c r="B26" s="2658"/>
      <c r="C26" s="2658"/>
      <c r="D26" s="2658"/>
      <c r="E26" s="3575">
        <f>C27-C30-C31-C32</f>
        <v>0</v>
      </c>
      <c r="F26" s="3575"/>
      <c r="G26" s="3575"/>
      <c r="H26" s="3248" t="s">
        <v>2947</v>
      </c>
    </row>
    <row r="27" spans="1:9">
      <c r="A27" s="2659">
        <v>1</v>
      </c>
      <c r="B27" s="2660" t="s">
        <v>2580</v>
      </c>
      <c r="C27" s="2660">
        <f>C28+C29</f>
        <v>0</v>
      </c>
      <c r="D27" s="2660"/>
      <c r="E27" s="3576"/>
      <c r="F27" s="3576"/>
      <c r="G27" s="3576"/>
    </row>
    <row r="28" spans="1:9">
      <c r="A28" s="2661" t="s">
        <v>2581</v>
      </c>
      <c r="B28" s="2660" t="s">
        <v>2582</v>
      </c>
      <c r="C28" s="2660"/>
      <c r="D28" s="2660"/>
      <c r="E28" s="3576"/>
      <c r="F28" s="3576"/>
      <c r="G28" s="3576"/>
    </row>
    <row r="29" spans="1:9">
      <c r="A29" s="2661" t="s">
        <v>2583</v>
      </c>
      <c r="B29" s="2660" t="s">
        <v>2584</v>
      </c>
      <c r="C29" s="2660"/>
      <c r="D29" s="2660"/>
      <c r="E29" s="2660" t="s">
        <v>2585</v>
      </c>
      <c r="F29" s="2660"/>
      <c r="G29" s="2660"/>
    </row>
    <row r="30" spans="1:9">
      <c r="A30" s="2659">
        <v>2</v>
      </c>
      <c r="B30" s="2660" t="s">
        <v>2586</v>
      </c>
      <c r="C30" s="2660">
        <f>C27*D30</f>
        <v>0</v>
      </c>
      <c r="D30" s="2662">
        <v>0.2</v>
      </c>
      <c r="E30" s="2660" t="s">
        <v>2587</v>
      </c>
      <c r="F30" s="2660"/>
      <c r="G30" s="2660"/>
    </row>
    <row r="31" spans="1:9">
      <c r="A31" s="2659">
        <v>3</v>
      </c>
      <c r="B31" s="2660" t="s">
        <v>2588</v>
      </c>
      <c r="C31" s="2660">
        <f>C25*D31</f>
        <v>0</v>
      </c>
      <c r="D31" s="2662">
        <v>0.15</v>
      </c>
      <c r="E31" s="2660" t="s">
        <v>2589</v>
      </c>
      <c r="F31" s="2660"/>
      <c r="G31" s="2660"/>
    </row>
    <row r="32" spans="1:9">
      <c r="A32" s="2659">
        <v>4</v>
      </c>
      <c r="B32" s="2660" t="s">
        <v>2590</v>
      </c>
      <c r="C32" s="2660">
        <f>C27*D32</f>
        <v>0</v>
      </c>
      <c r="D32" s="2662">
        <v>0.05</v>
      </c>
      <c r="E32" s="3577"/>
      <c r="F32" s="3577"/>
      <c r="G32" s="3577"/>
    </row>
    <row r="33" spans="1:7" hidden="1">
      <c r="A33" s="3572" t="s">
        <v>2591</v>
      </c>
      <c r="B33" s="3573"/>
      <c r="C33" s="3573"/>
      <c r="D33" s="3574"/>
      <c r="E33" s="3575"/>
      <c r="F33" s="3575"/>
      <c r="G33" s="3575"/>
    </row>
    <row r="34" spans="1:7" hidden="1">
      <c r="A34" s="2663">
        <v>1</v>
      </c>
      <c r="B34" s="2660" t="s">
        <v>2592</v>
      </c>
      <c r="C34" s="2660"/>
      <c r="D34" s="2660"/>
      <c r="E34" s="3576"/>
      <c r="F34" s="3576"/>
      <c r="G34" s="3576"/>
    </row>
    <row r="35" spans="1:7" hidden="1">
      <c r="A35" s="2663">
        <v>2</v>
      </c>
      <c r="B35" s="2660" t="s">
        <v>2593</v>
      </c>
      <c r="C35" s="2660"/>
      <c r="D35" s="2660"/>
      <c r="E35" s="3576"/>
      <c r="F35" s="3576"/>
      <c r="G35" s="3576"/>
    </row>
    <row r="36" spans="1:7" hidden="1">
      <c r="A36" s="2663">
        <v>3</v>
      </c>
      <c r="B36" s="2660" t="s">
        <v>2594</v>
      </c>
      <c r="C36" s="2660"/>
      <c r="D36" s="2660"/>
      <c r="E36" s="3576"/>
      <c r="F36" s="3576"/>
      <c r="G36" s="3576"/>
    </row>
    <row r="37" spans="1:7" hidden="1">
      <c r="A37" s="2663">
        <v>4</v>
      </c>
      <c r="B37" s="2660" t="s">
        <v>2595</v>
      </c>
      <c r="C37" s="2660"/>
      <c r="D37" s="2660"/>
      <c r="E37" s="3576"/>
      <c r="F37" s="3576"/>
      <c r="G37" s="3576"/>
    </row>
    <row r="38" spans="1:7" hidden="1">
      <c r="A38" s="3572" t="s">
        <v>2596</v>
      </c>
      <c r="B38" s="3573"/>
      <c r="C38" s="3573"/>
      <c r="D38" s="3574"/>
      <c r="E38" s="3575"/>
      <c r="F38" s="3575"/>
      <c r="G38" s="35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2685</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611" t="s">
        <v>984</v>
      </c>
      <c r="D4" s="3612"/>
      <c r="E4" s="3613" t="s">
        <v>985</v>
      </c>
      <c r="F4" s="3614"/>
      <c r="G4" s="3611" t="s">
        <v>986</v>
      </c>
      <c r="H4" s="3612"/>
      <c r="I4" s="3611" t="s">
        <v>987</v>
      </c>
      <c r="J4" s="3612"/>
      <c r="K4" s="145" t="s">
        <v>988</v>
      </c>
      <c r="L4" s="2293"/>
      <c r="M4" s="2294"/>
      <c r="N4" s="2294"/>
      <c r="O4" s="2294"/>
      <c r="P4" s="3615" t="s">
        <v>983</v>
      </c>
      <c r="Q4" s="3616"/>
      <c r="R4" s="3621" t="s">
        <v>985</v>
      </c>
      <c r="S4" s="3622"/>
      <c r="T4" s="3621" t="s">
        <v>986</v>
      </c>
      <c r="U4" s="3622"/>
      <c r="V4" s="3627" t="s">
        <v>987</v>
      </c>
      <c r="W4" s="3627"/>
      <c r="X4" s="1339"/>
      <c r="Y4" s="3621" t="s">
        <v>983</v>
      </c>
      <c r="Z4" s="3622"/>
      <c r="AA4" s="3608" t="s">
        <v>985</v>
      </c>
      <c r="AB4" s="3608" t="s">
        <v>986</v>
      </c>
      <c r="AC4" s="3608" t="s">
        <v>987</v>
      </c>
    </row>
    <row r="5" spans="1:29">
      <c r="A5" s="146"/>
      <c r="B5" s="147"/>
      <c r="C5" s="3630" t="s">
        <v>989</v>
      </c>
      <c r="D5" s="3631"/>
      <c r="E5" s="3637" t="s">
        <v>990</v>
      </c>
      <c r="F5" s="3638"/>
      <c r="G5" s="3630" t="s">
        <v>991</v>
      </c>
      <c r="H5" s="3631"/>
      <c r="I5" s="3630" t="s">
        <v>992</v>
      </c>
      <c r="J5" s="3631"/>
      <c r="K5" s="152"/>
      <c r="L5" s="2293"/>
      <c r="M5" s="2294"/>
      <c r="N5" s="2294"/>
      <c r="O5" s="2294"/>
      <c r="P5" s="3617"/>
      <c r="Q5" s="3618"/>
      <c r="R5" s="3623"/>
      <c r="S5" s="3624"/>
      <c r="T5" s="3623"/>
      <c r="U5" s="3624"/>
      <c r="V5" s="3627"/>
      <c r="W5" s="3627"/>
      <c r="X5" s="1339"/>
      <c r="Y5" s="3623"/>
      <c r="Z5" s="3624"/>
      <c r="AA5" s="3609"/>
      <c r="AB5" s="3609"/>
      <c r="AC5" s="3609"/>
    </row>
    <row r="6" spans="1:29" ht="14.25" thickBot="1">
      <c r="A6" s="148"/>
      <c r="B6" s="149"/>
      <c r="C6" s="3628" t="s">
        <v>993</v>
      </c>
      <c r="D6" s="3629"/>
      <c r="E6" s="3635" t="s">
        <v>993</v>
      </c>
      <c r="F6" s="3636"/>
      <c r="G6" s="3628" t="s">
        <v>993</v>
      </c>
      <c r="H6" s="3629"/>
      <c r="I6" s="3628" t="s">
        <v>993</v>
      </c>
      <c r="J6" s="3629"/>
      <c r="K6" s="152" t="s">
        <v>994</v>
      </c>
      <c r="L6" s="2293"/>
      <c r="M6" s="2294"/>
      <c r="N6" s="2294"/>
      <c r="O6" s="2294"/>
      <c r="P6" s="3619"/>
      <c r="Q6" s="3620"/>
      <c r="R6" s="3623"/>
      <c r="S6" s="3624"/>
      <c r="T6" s="3625"/>
      <c r="U6" s="3626"/>
      <c r="V6" s="3627"/>
      <c r="W6" s="3627"/>
      <c r="X6" s="1339"/>
      <c r="Y6" s="3625"/>
      <c r="Z6" s="3626"/>
      <c r="AA6" s="3610"/>
      <c r="AB6" s="3610"/>
      <c r="AC6" s="3610"/>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632" t="s">
        <v>995</v>
      </c>
      <c r="Q7" s="3634"/>
      <c r="R7" s="1341" t="s">
        <v>115</v>
      </c>
      <c r="S7" s="1342">
        <f t="shared" ref="S7:S15" si="0">F7</f>
        <v>0</v>
      </c>
      <c r="T7" s="1341" t="s">
        <v>115</v>
      </c>
      <c r="U7" s="1342">
        <f t="shared" ref="U7:U15" si="1">H7</f>
        <v>0</v>
      </c>
      <c r="V7" s="1341" t="s">
        <v>115</v>
      </c>
      <c r="W7" s="1342">
        <f t="shared" ref="W7:W15" si="2">J7</f>
        <v>0</v>
      </c>
      <c r="X7" s="287"/>
      <c r="Y7" s="3632" t="s">
        <v>995</v>
      </c>
      <c r="Z7" s="3633"/>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632" t="s">
        <v>996</v>
      </c>
      <c r="Q8" s="3633"/>
      <c r="R8" s="1341" t="s">
        <v>115</v>
      </c>
      <c r="S8" s="1342">
        <f t="shared" si="0"/>
        <v>0</v>
      </c>
      <c r="T8" s="1341" t="s">
        <v>115</v>
      </c>
      <c r="U8" s="1342">
        <f t="shared" si="1"/>
        <v>0</v>
      </c>
      <c r="V8" s="1341" t="s">
        <v>115</v>
      </c>
      <c r="W8" s="1342">
        <f t="shared" si="2"/>
        <v>0</v>
      </c>
      <c r="X8" s="287"/>
      <c r="Y8" s="3632" t="s">
        <v>996</v>
      </c>
      <c r="Z8" s="3633"/>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607" t="s">
        <v>67</v>
      </c>
      <c r="Q9" s="7" t="str">
        <f t="shared" ref="Q9:Q15" si="6">B9</f>
        <v>用途</v>
      </c>
      <c r="R9" s="1341" t="s">
        <v>65</v>
      </c>
      <c r="S9" s="1342">
        <f t="shared" si="0"/>
        <v>100</v>
      </c>
      <c r="T9" s="1341" t="s">
        <v>65</v>
      </c>
      <c r="U9" s="1342">
        <f t="shared" si="1"/>
        <v>100</v>
      </c>
      <c r="V9" s="1341" t="s">
        <v>65</v>
      </c>
      <c r="W9" s="1342">
        <f t="shared" si="2"/>
        <v>100</v>
      </c>
      <c r="X9" s="287"/>
      <c r="Y9" s="341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607"/>
      <c r="Q10" s="7" t="str">
        <f t="shared" si="6"/>
        <v>土地使用年限（年）</v>
      </c>
      <c r="R10" s="1341" t="s">
        <v>65</v>
      </c>
      <c r="S10" s="1342">
        <f t="shared" si="0"/>
        <v>100</v>
      </c>
      <c r="T10" s="1341" t="s">
        <v>65</v>
      </c>
      <c r="U10" s="1342">
        <f t="shared" si="1"/>
        <v>100</v>
      </c>
      <c r="V10" s="1341" t="s">
        <v>65</v>
      </c>
      <c r="W10" s="1342">
        <f t="shared" si="2"/>
        <v>100</v>
      </c>
      <c r="X10" s="287"/>
      <c r="Y10" s="341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607"/>
      <c r="Q11" s="7" t="str">
        <f t="shared" si="6"/>
        <v>容积率</v>
      </c>
      <c r="R11" s="1341" t="s">
        <v>104</v>
      </c>
      <c r="S11" s="1342" t="e">
        <f t="shared" si="0"/>
        <v>#N/A</v>
      </c>
      <c r="T11" s="1341" t="s">
        <v>104</v>
      </c>
      <c r="U11" s="1342" t="e">
        <f t="shared" si="1"/>
        <v>#N/A</v>
      </c>
      <c r="V11" s="1341" t="s">
        <v>104</v>
      </c>
      <c r="W11" s="1342" t="e">
        <f t="shared" si="2"/>
        <v>#N/A</v>
      </c>
      <c r="X11" s="287"/>
      <c r="Y11" s="341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607"/>
      <c r="Q12" s="7">
        <f t="shared" si="6"/>
        <v>111</v>
      </c>
      <c r="R12" s="1341" t="s">
        <v>104</v>
      </c>
      <c r="S12" s="1342">
        <f t="shared" si="0"/>
        <v>100</v>
      </c>
      <c r="T12" s="1341" t="s">
        <v>104</v>
      </c>
      <c r="U12" s="1342">
        <f t="shared" si="1"/>
        <v>100</v>
      </c>
      <c r="V12" s="1341" t="s">
        <v>104</v>
      </c>
      <c r="W12" s="1342">
        <f t="shared" si="2"/>
        <v>100</v>
      </c>
      <c r="X12" s="287"/>
      <c r="Y12" s="341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07"/>
      <c r="Q13" s="7">
        <f t="shared" si="6"/>
        <v>111</v>
      </c>
      <c r="R13" s="1341" t="s">
        <v>104</v>
      </c>
      <c r="S13" s="1342">
        <f t="shared" si="0"/>
        <v>100</v>
      </c>
      <c r="T13" s="1341" t="s">
        <v>104</v>
      </c>
      <c r="U13" s="1342">
        <f t="shared" si="1"/>
        <v>100</v>
      </c>
      <c r="V13" s="1341" t="s">
        <v>104</v>
      </c>
      <c r="W13" s="1342">
        <f t="shared" si="2"/>
        <v>100</v>
      </c>
      <c r="X13" s="287"/>
      <c r="Y13" s="341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07"/>
      <c r="Q14" s="7">
        <f t="shared" si="6"/>
        <v>111</v>
      </c>
      <c r="R14" s="1341" t="s">
        <v>104</v>
      </c>
      <c r="S14" s="1342">
        <f t="shared" si="0"/>
        <v>100</v>
      </c>
      <c r="T14" s="1341" t="s">
        <v>104</v>
      </c>
      <c r="U14" s="1342">
        <f t="shared" si="1"/>
        <v>100</v>
      </c>
      <c r="V14" s="1341" t="s">
        <v>104</v>
      </c>
      <c r="W14" s="1342">
        <f t="shared" si="2"/>
        <v>100</v>
      </c>
      <c r="X14" s="287"/>
      <c r="Y14" s="3412"/>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05" t="s">
        <v>69</v>
      </c>
      <c r="Q15" s="1350" t="str">
        <f t="shared" si="6"/>
        <v>居住社区成熟度</v>
      </c>
      <c r="R15" s="1351" t="s">
        <v>104</v>
      </c>
      <c r="S15" s="1352">
        <f t="shared" si="0"/>
        <v>100</v>
      </c>
      <c r="T15" s="1351" t="s">
        <v>104</v>
      </c>
      <c r="U15" s="1352">
        <f t="shared" si="1"/>
        <v>100</v>
      </c>
      <c r="V15" s="1351" t="s">
        <v>104</v>
      </c>
      <c r="W15" s="1352">
        <f t="shared" si="2"/>
        <v>100</v>
      </c>
      <c r="X15" s="1339"/>
      <c r="Y15" s="359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06"/>
      <c r="Q16" s="1350"/>
      <c r="R16" s="1351"/>
      <c r="S16" s="1352"/>
      <c r="T16" s="1351"/>
      <c r="U16" s="1352"/>
      <c r="V16" s="1351"/>
      <c r="W16" s="1352"/>
      <c r="X16" s="1339"/>
      <c r="Y16" s="3599"/>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06"/>
      <c r="Q17" s="1350" t="str">
        <f>B17</f>
        <v>交通便捷度</v>
      </c>
      <c r="R17" s="1351" t="s">
        <v>104</v>
      </c>
      <c r="S17" s="1352">
        <f>F17</f>
        <v>100</v>
      </c>
      <c r="T17" s="1351" t="s">
        <v>104</v>
      </c>
      <c r="U17" s="1352">
        <f>H17</f>
        <v>100</v>
      </c>
      <c r="V17" s="1351" t="s">
        <v>104</v>
      </c>
      <c r="W17" s="1352">
        <f>J17</f>
        <v>100</v>
      </c>
      <c r="X17" s="1339"/>
      <c r="Y17" s="359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06"/>
      <c r="Q18" s="1350"/>
      <c r="R18" s="1351"/>
      <c r="S18" s="1352"/>
      <c r="T18" s="1351"/>
      <c r="U18" s="1352"/>
      <c r="V18" s="1351"/>
      <c r="W18" s="1352"/>
      <c r="X18" s="1339"/>
      <c r="Y18" s="3599"/>
      <c r="Z18" s="1353"/>
      <c r="AA18" s="1354">
        <v>1</v>
      </c>
      <c r="AB18" s="1354">
        <v>1</v>
      </c>
      <c r="AC18" s="1354">
        <v>1</v>
      </c>
    </row>
    <row r="19" spans="1:29" ht="15">
      <c r="A19" s="151"/>
      <c r="B19" s="1355" t="s">
        <v>2623</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06"/>
      <c r="Q19" s="1350" t="str">
        <f>B19</f>
        <v>公共配套设施</v>
      </c>
      <c r="R19" s="1351" t="s">
        <v>104</v>
      </c>
      <c r="S19" s="1352">
        <f>F19</f>
        <v>100</v>
      </c>
      <c r="T19" s="1351" t="s">
        <v>104</v>
      </c>
      <c r="U19" s="1352">
        <f>H19</f>
        <v>100</v>
      </c>
      <c r="V19" s="1351" t="s">
        <v>104</v>
      </c>
      <c r="W19" s="1352">
        <f>J19</f>
        <v>100</v>
      </c>
      <c r="X19" s="1339"/>
      <c r="Y19" s="359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06"/>
      <c r="Q20" s="1350"/>
      <c r="R20" s="1351"/>
      <c r="S20" s="1352"/>
      <c r="T20" s="1351"/>
      <c r="U20" s="1352"/>
      <c r="V20" s="1351"/>
      <c r="W20" s="1352"/>
      <c r="X20" s="1339"/>
      <c r="Y20" s="3599"/>
      <c r="Z20" s="1353"/>
      <c r="AA20" s="1354">
        <v>1</v>
      </c>
      <c r="AB20" s="1354">
        <v>1</v>
      </c>
      <c r="AC20" s="1354">
        <v>1</v>
      </c>
    </row>
    <row r="21" spans="1:29" ht="15">
      <c r="A21" s="151"/>
      <c r="B21" s="1411" t="s">
        <v>2632</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06"/>
      <c r="Q21" s="2744" t="str">
        <f>B21</f>
        <v>基础设施水平</v>
      </c>
      <c r="R21" s="1351" t="s">
        <v>65</v>
      </c>
      <c r="S21" s="1352">
        <f>F21</f>
        <v>100</v>
      </c>
      <c r="T21" s="1351" t="s">
        <v>65</v>
      </c>
      <c r="U21" s="1352">
        <f>H21</f>
        <v>100</v>
      </c>
      <c r="V21" s="1351" t="s">
        <v>65</v>
      </c>
      <c r="W21" s="1352">
        <f>J21</f>
        <v>100</v>
      </c>
      <c r="X21" s="2746"/>
      <c r="Y21" s="359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06"/>
      <c r="Q22" s="2744"/>
      <c r="R22" s="1351"/>
      <c r="S22" s="1352"/>
      <c r="T22" s="1351"/>
      <c r="U22" s="1352"/>
      <c r="V22" s="1351"/>
      <c r="W22" s="1352"/>
      <c r="X22" s="2746"/>
      <c r="Y22" s="3599"/>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06"/>
      <c r="Q23" s="1350" t="str">
        <f>B23</f>
        <v>自然及人文环境</v>
      </c>
      <c r="R23" s="1351" t="s">
        <v>104</v>
      </c>
      <c r="S23" s="1352">
        <f>F23</f>
        <v>100</v>
      </c>
      <c r="T23" s="1351" t="s">
        <v>104</v>
      </c>
      <c r="U23" s="1352">
        <f>H23</f>
        <v>100</v>
      </c>
      <c r="V23" s="1351" t="s">
        <v>104</v>
      </c>
      <c r="W23" s="1352">
        <f>J23</f>
        <v>100</v>
      </c>
      <c r="X23" s="1339"/>
      <c r="Y23" s="359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06"/>
      <c r="Q24" s="1350"/>
      <c r="R24" s="1351"/>
      <c r="S24" s="1352"/>
      <c r="T24" s="1351"/>
      <c r="U24" s="1352"/>
      <c r="V24" s="1351"/>
      <c r="W24" s="1352"/>
      <c r="X24" s="1339"/>
      <c r="Y24" s="3599"/>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0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9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06"/>
      <c r="Q26" s="1350" t="str">
        <f t="shared" si="11"/>
        <v>朝向</v>
      </c>
      <c r="R26" s="1351" t="s">
        <v>104</v>
      </c>
      <c r="S26" s="1352">
        <f t="shared" si="12"/>
        <v>100</v>
      </c>
      <c r="T26" s="1351" t="s">
        <v>104</v>
      </c>
      <c r="U26" s="1352">
        <f t="shared" si="13"/>
        <v>100</v>
      </c>
      <c r="V26" s="1351" t="s">
        <v>104</v>
      </c>
      <c r="W26" s="1352">
        <f t="shared" si="14"/>
        <v>100</v>
      </c>
      <c r="X26" s="1339"/>
      <c r="Y26" s="359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06"/>
      <c r="Q27" s="7">
        <f t="shared" si="11"/>
        <v>111</v>
      </c>
      <c r="R27" s="1341" t="s">
        <v>104</v>
      </c>
      <c r="S27" s="1342">
        <f t="shared" si="12"/>
        <v>100</v>
      </c>
      <c r="T27" s="1341" t="s">
        <v>104</v>
      </c>
      <c r="U27" s="1342">
        <f t="shared" si="13"/>
        <v>100</v>
      </c>
      <c r="V27" s="1341" t="s">
        <v>104</v>
      </c>
      <c r="W27" s="1342">
        <f t="shared" si="14"/>
        <v>100</v>
      </c>
      <c r="X27" s="287"/>
      <c r="Y27" s="359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06"/>
      <c r="Q28" s="1350">
        <f t="shared" si="11"/>
        <v>111</v>
      </c>
      <c r="R28" s="1351" t="s">
        <v>104</v>
      </c>
      <c r="S28" s="1352">
        <f t="shared" si="12"/>
        <v>100</v>
      </c>
      <c r="T28" s="1351" t="s">
        <v>104</v>
      </c>
      <c r="U28" s="1352">
        <f t="shared" si="13"/>
        <v>100</v>
      </c>
      <c r="V28" s="1351" t="s">
        <v>104</v>
      </c>
      <c r="W28" s="1352">
        <f t="shared" si="14"/>
        <v>100</v>
      </c>
      <c r="X28" s="1339"/>
      <c r="Y28" s="359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06"/>
      <c r="Q29" s="1350">
        <f t="shared" si="11"/>
        <v>111</v>
      </c>
      <c r="R29" s="1351" t="s">
        <v>104</v>
      </c>
      <c r="S29" s="1352">
        <f t="shared" si="12"/>
        <v>100</v>
      </c>
      <c r="T29" s="1351" t="s">
        <v>104</v>
      </c>
      <c r="U29" s="1352">
        <f t="shared" si="13"/>
        <v>100</v>
      </c>
      <c r="V29" s="1351" t="s">
        <v>104</v>
      </c>
      <c r="W29" s="1352">
        <f t="shared" si="14"/>
        <v>100</v>
      </c>
      <c r="X29" s="1339"/>
      <c r="Y29" s="359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06"/>
      <c r="Q30" s="1350">
        <f t="shared" si="11"/>
        <v>111</v>
      </c>
      <c r="R30" s="1351" t="s">
        <v>104</v>
      </c>
      <c r="S30" s="1352">
        <f t="shared" si="12"/>
        <v>100</v>
      </c>
      <c r="T30" s="1351" t="s">
        <v>104</v>
      </c>
      <c r="U30" s="1352">
        <f t="shared" si="13"/>
        <v>100</v>
      </c>
      <c r="V30" s="1351" t="s">
        <v>104</v>
      </c>
      <c r="W30" s="1352">
        <f t="shared" si="14"/>
        <v>100</v>
      </c>
      <c r="X30" s="1339"/>
      <c r="Y30" s="359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06"/>
      <c r="Q31" s="1350">
        <f t="shared" si="11"/>
        <v>111</v>
      </c>
      <c r="R31" s="1351" t="s">
        <v>104</v>
      </c>
      <c r="S31" s="1352">
        <f t="shared" si="12"/>
        <v>100</v>
      </c>
      <c r="T31" s="1351" t="s">
        <v>104</v>
      </c>
      <c r="U31" s="1352">
        <f t="shared" si="13"/>
        <v>100</v>
      </c>
      <c r="V31" s="1351" t="s">
        <v>104</v>
      </c>
      <c r="W31" s="1352">
        <f t="shared" si="14"/>
        <v>100</v>
      </c>
      <c r="X31" s="1339"/>
      <c r="Y31" s="3599"/>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00" t="s">
        <v>70</v>
      </c>
      <c r="Q32" s="1350" t="str">
        <f t="shared" si="11"/>
        <v>建筑类型</v>
      </c>
      <c r="R32" s="1351" t="s">
        <v>104</v>
      </c>
      <c r="S32" s="1352">
        <f t="shared" si="12"/>
        <v>100</v>
      </c>
      <c r="T32" s="1351" t="s">
        <v>104</v>
      </c>
      <c r="U32" s="1352">
        <f t="shared" si="13"/>
        <v>100</v>
      </c>
      <c r="V32" s="1351" t="s">
        <v>104</v>
      </c>
      <c r="W32" s="1352">
        <f t="shared" si="14"/>
        <v>100</v>
      </c>
      <c r="X32" s="1339"/>
      <c r="Y32" s="3603"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601"/>
      <c r="Q33" s="1358" t="str">
        <f t="shared" si="11"/>
        <v>项目建筑规模</v>
      </c>
      <c r="R33" s="1359" t="s">
        <v>104</v>
      </c>
      <c r="S33" s="1360" t="e">
        <f t="shared" si="12"/>
        <v>#N/A</v>
      </c>
      <c r="T33" s="1359" t="s">
        <v>104</v>
      </c>
      <c r="U33" s="1360" t="e">
        <f t="shared" si="13"/>
        <v>#N/A</v>
      </c>
      <c r="V33" s="1359" t="s">
        <v>104</v>
      </c>
      <c r="W33" s="1360" t="e">
        <f t="shared" si="14"/>
        <v>#N/A</v>
      </c>
      <c r="X33" s="1361"/>
      <c r="Y33" s="360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01"/>
      <c r="Q34" s="1350" t="str">
        <f t="shared" si="11"/>
        <v>建筑结构</v>
      </c>
      <c r="R34" s="1351" t="s">
        <v>104</v>
      </c>
      <c r="S34" s="1352">
        <f t="shared" si="12"/>
        <v>100</v>
      </c>
      <c r="T34" s="1351" t="s">
        <v>104</v>
      </c>
      <c r="U34" s="1352">
        <f t="shared" si="13"/>
        <v>100</v>
      </c>
      <c r="V34" s="1351" t="s">
        <v>104</v>
      </c>
      <c r="W34" s="1352">
        <f t="shared" si="14"/>
        <v>100</v>
      </c>
      <c r="X34" s="1339"/>
      <c r="Y34" s="360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01"/>
      <c r="Q35" s="1350" t="str">
        <f t="shared" si="11"/>
        <v>建筑品质</v>
      </c>
      <c r="R35" s="1351" t="s">
        <v>104</v>
      </c>
      <c r="S35" s="1352">
        <f t="shared" si="12"/>
        <v>100</v>
      </c>
      <c r="T35" s="1351" t="s">
        <v>104</v>
      </c>
      <c r="U35" s="1352">
        <f t="shared" si="13"/>
        <v>100</v>
      </c>
      <c r="V35" s="1351" t="s">
        <v>104</v>
      </c>
      <c r="W35" s="1352">
        <f t="shared" si="14"/>
        <v>100</v>
      </c>
      <c r="X35" s="1339"/>
      <c r="Y35" s="360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01"/>
      <c r="Q36" s="1350" t="str">
        <f t="shared" si="11"/>
        <v>公共部分装修</v>
      </c>
      <c r="R36" s="1351" t="s">
        <v>104</v>
      </c>
      <c r="S36" s="1352">
        <f t="shared" si="12"/>
        <v>100</v>
      </c>
      <c r="T36" s="1351" t="s">
        <v>104</v>
      </c>
      <c r="U36" s="1352">
        <f t="shared" si="13"/>
        <v>100</v>
      </c>
      <c r="V36" s="1351" t="s">
        <v>104</v>
      </c>
      <c r="W36" s="1352">
        <f t="shared" si="14"/>
        <v>100</v>
      </c>
      <c r="X36" s="1339"/>
      <c r="Y36" s="3603"/>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601"/>
      <c r="Q37" s="7" t="str">
        <f t="shared" si="11"/>
        <v>成新度</v>
      </c>
      <c r="R37" s="1341" t="s">
        <v>104</v>
      </c>
      <c r="S37" s="1342" t="e">
        <f t="shared" si="12"/>
        <v>#N/A</v>
      </c>
      <c r="T37" s="1341" t="s">
        <v>104</v>
      </c>
      <c r="U37" s="1342" t="e">
        <f t="shared" si="13"/>
        <v>#N/A</v>
      </c>
      <c r="V37" s="1341" t="s">
        <v>104</v>
      </c>
      <c r="W37" s="1342" t="e">
        <f t="shared" si="14"/>
        <v>#N/A</v>
      </c>
      <c r="X37" s="287"/>
      <c r="Y37" s="3603"/>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01" t="s">
        <v>70</v>
      </c>
      <c r="Q38" s="1350" t="str">
        <f t="shared" si="11"/>
        <v>物业管理</v>
      </c>
      <c r="R38" s="1351" t="s">
        <v>104</v>
      </c>
      <c r="S38" s="1352">
        <f t="shared" si="12"/>
        <v>100</v>
      </c>
      <c r="T38" s="1351" t="s">
        <v>104</v>
      </c>
      <c r="U38" s="1352">
        <f t="shared" si="13"/>
        <v>100</v>
      </c>
      <c r="V38" s="1351" t="s">
        <v>104</v>
      </c>
      <c r="W38" s="1352">
        <f t="shared" si="14"/>
        <v>100</v>
      </c>
      <c r="X38" s="1339"/>
      <c r="Y38" s="3603" t="s">
        <v>70</v>
      </c>
      <c r="Z38" s="1353" t="str">
        <f t="shared" si="18"/>
        <v>物业管理</v>
      </c>
      <c r="AA38" s="1354">
        <f t="shared" si="15"/>
        <v>1</v>
      </c>
      <c r="AB38" s="1354">
        <f t="shared" si="16"/>
        <v>1</v>
      </c>
      <c r="AC38" s="1354">
        <f t="shared" si="17"/>
        <v>1</v>
      </c>
    </row>
    <row r="39" spans="1:29" ht="15">
      <c r="A39" s="161"/>
      <c r="B39" s="12"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01"/>
      <c r="Q39" s="1350" t="str">
        <f t="shared" si="11"/>
        <v>市政基础设施</v>
      </c>
      <c r="R39" s="1351" t="s">
        <v>104</v>
      </c>
      <c r="S39" s="1352">
        <f t="shared" si="12"/>
        <v>100</v>
      </c>
      <c r="T39" s="1351" t="s">
        <v>104</v>
      </c>
      <c r="U39" s="1352">
        <f t="shared" si="13"/>
        <v>100</v>
      </c>
      <c r="V39" s="1351" t="s">
        <v>104</v>
      </c>
      <c r="W39" s="1352">
        <f t="shared" si="14"/>
        <v>100</v>
      </c>
      <c r="X39" s="1339"/>
      <c r="Y39" s="360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01"/>
      <c r="Q40" s="1350" t="str">
        <f t="shared" si="11"/>
        <v>房型</v>
      </c>
      <c r="R40" s="1351" t="s">
        <v>104</v>
      </c>
      <c r="S40" s="1352">
        <f t="shared" si="12"/>
        <v>100</v>
      </c>
      <c r="T40" s="1351" t="s">
        <v>104</v>
      </c>
      <c r="U40" s="1352">
        <f t="shared" si="13"/>
        <v>100</v>
      </c>
      <c r="V40" s="1351" t="s">
        <v>104</v>
      </c>
      <c r="W40" s="1352">
        <f t="shared" si="14"/>
        <v>100</v>
      </c>
      <c r="X40" s="1339"/>
      <c r="Y40" s="3603"/>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601"/>
      <c r="Q41" s="1358" t="str">
        <f t="shared" si="11"/>
        <v>单套/主力户型建筑面积</v>
      </c>
      <c r="R41" s="1359" t="s">
        <v>104</v>
      </c>
      <c r="S41" s="1360">
        <f t="shared" si="12"/>
        <v>100</v>
      </c>
      <c r="T41" s="1359" t="s">
        <v>104</v>
      </c>
      <c r="U41" s="1360">
        <f t="shared" si="13"/>
        <v>100</v>
      </c>
      <c r="V41" s="1359" t="s">
        <v>104</v>
      </c>
      <c r="W41" s="1360">
        <f t="shared" si="14"/>
        <v>100</v>
      </c>
      <c r="X41" s="1361"/>
      <c r="Y41" s="360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01"/>
      <c r="Q42" s="1350" t="str">
        <f t="shared" si="11"/>
        <v>内部装修</v>
      </c>
      <c r="R42" s="1351" t="s">
        <v>104</v>
      </c>
      <c r="S42" s="1352">
        <f t="shared" si="12"/>
        <v>100</v>
      </c>
      <c r="T42" s="1351" t="s">
        <v>104</v>
      </c>
      <c r="U42" s="1352">
        <f t="shared" si="13"/>
        <v>100</v>
      </c>
      <c r="V42" s="1351" t="s">
        <v>104</v>
      </c>
      <c r="W42" s="1352">
        <f t="shared" si="14"/>
        <v>100</v>
      </c>
      <c r="X42" s="1339"/>
      <c r="Y42" s="360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01"/>
      <c r="Q43" s="1350" t="str">
        <f t="shared" si="11"/>
        <v>内部装修维护情况</v>
      </c>
      <c r="R43" s="1351" t="s">
        <v>104</v>
      </c>
      <c r="S43" s="1352">
        <f t="shared" si="12"/>
        <v>100</v>
      </c>
      <c r="T43" s="1351" t="s">
        <v>104</v>
      </c>
      <c r="U43" s="1352">
        <f t="shared" si="13"/>
        <v>100</v>
      </c>
      <c r="V43" s="1351" t="s">
        <v>104</v>
      </c>
      <c r="W43" s="1352">
        <f t="shared" si="14"/>
        <v>100</v>
      </c>
      <c r="X43" s="1339"/>
      <c r="Y43" s="360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601"/>
      <c r="Q44" s="7">
        <f t="shared" si="11"/>
        <v>111</v>
      </c>
      <c r="R44" s="1341" t="s">
        <v>104</v>
      </c>
      <c r="S44" s="1342">
        <f t="shared" si="12"/>
        <v>100</v>
      </c>
      <c r="T44" s="1341" t="s">
        <v>104</v>
      </c>
      <c r="U44" s="1342">
        <f t="shared" si="13"/>
        <v>100</v>
      </c>
      <c r="V44" s="1341" t="s">
        <v>104</v>
      </c>
      <c r="W44" s="1342">
        <f t="shared" si="14"/>
        <v>100</v>
      </c>
      <c r="X44" s="287"/>
      <c r="Y44" s="360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01"/>
      <c r="Q45" s="1350">
        <f t="shared" si="11"/>
        <v>111</v>
      </c>
      <c r="R45" s="1351" t="s">
        <v>104</v>
      </c>
      <c r="S45" s="1352">
        <f t="shared" si="12"/>
        <v>100</v>
      </c>
      <c r="T45" s="1351" t="s">
        <v>104</v>
      </c>
      <c r="U45" s="1352">
        <f t="shared" si="13"/>
        <v>100</v>
      </c>
      <c r="V45" s="1351" t="s">
        <v>104</v>
      </c>
      <c r="W45" s="1352">
        <f t="shared" si="14"/>
        <v>100</v>
      </c>
      <c r="X45" s="1339"/>
      <c r="Y45" s="360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02"/>
      <c r="Q46" s="1350">
        <f t="shared" si="11"/>
        <v>111</v>
      </c>
      <c r="R46" s="1351" t="s">
        <v>103</v>
      </c>
      <c r="S46" s="1352">
        <f t="shared" si="12"/>
        <v>100</v>
      </c>
      <c r="T46" s="1351" t="s">
        <v>103</v>
      </c>
      <c r="U46" s="1352">
        <f t="shared" si="13"/>
        <v>100</v>
      </c>
      <c r="V46" s="1351" t="s">
        <v>103</v>
      </c>
      <c r="W46" s="1352">
        <f t="shared" si="14"/>
        <v>100</v>
      </c>
      <c r="X46" s="1339"/>
      <c r="Y46" s="3604"/>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596" t="str">
        <f>A47</f>
        <v>成交单价（元/平方米）</v>
      </c>
      <c r="Q47" s="3596"/>
      <c r="R47" s="3597">
        <f>E47</f>
        <v>0</v>
      </c>
      <c r="S47" s="3597"/>
      <c r="T47" s="3597">
        <f>G47</f>
        <v>0</v>
      </c>
      <c r="U47" s="3597"/>
      <c r="V47" s="3597">
        <f>I47</f>
        <v>0</v>
      </c>
      <c r="W47" s="3597"/>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364"/>
      <c r="Y48" s="1364"/>
      <c r="Z48" s="1364"/>
      <c r="AA48" s="1364"/>
      <c r="AB48" s="1364"/>
      <c r="AC48" s="1364"/>
    </row>
    <row r="49" spans="1:29" ht="15.75" thickBot="1">
      <c r="A49" s="115" t="s">
        <v>3002</v>
      </c>
      <c r="B49" s="116"/>
      <c r="C49" s="2840" t="e">
        <f>R49</f>
        <v>#DIV/0!</v>
      </c>
      <c r="D49" s="2841"/>
      <c r="E49" s="2841"/>
      <c r="F49" s="2841"/>
      <c r="G49" s="2841"/>
      <c r="H49" s="2841"/>
      <c r="I49" s="2841"/>
      <c r="J49" s="2841"/>
      <c r="K49" s="1367"/>
      <c r="L49" s="2301"/>
      <c r="M49" s="2302"/>
      <c r="N49" s="2302"/>
      <c r="O49" s="2302"/>
      <c r="P49" s="3593" t="str">
        <f>A49</f>
        <v>估价对象XX用房的比较价值（楼面单价，元/平方米）</v>
      </c>
      <c r="Q49" s="3594"/>
      <c r="R49" s="3595" t="e">
        <f>IF(F1="售价",ROUND(AVERAGE(R48:V48),0),ROUND(AVERAGE(R48:V48),1))</f>
        <v>#DIV/0!</v>
      </c>
      <c r="S49" s="3595"/>
      <c r="T49" s="3595"/>
      <c r="U49" s="3595"/>
      <c r="V49" s="3595"/>
      <c r="W49" s="359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2785</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2635</v>
      </c>
      <c r="C82" s="177" t="s">
        <v>2636</v>
      </c>
      <c r="D82" s="177" t="s">
        <v>2640</v>
      </c>
      <c r="E82" s="177" t="s">
        <v>2637</v>
      </c>
      <c r="F82" s="177" t="s">
        <v>2638</v>
      </c>
      <c r="G82" s="177" t="s">
        <v>2639</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2315</v>
      </c>
    </row>
    <row r="148" spans="2:11">
      <c r="B148" s="2140"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11" t="s">
        <v>54</v>
      </c>
      <c r="D4" s="3612"/>
      <c r="E4" s="3613" t="s">
        <v>55</v>
      </c>
      <c r="F4" s="3614"/>
      <c r="G4" s="3611" t="s">
        <v>56</v>
      </c>
      <c r="H4" s="3612"/>
      <c r="I4" s="3611" t="s">
        <v>57</v>
      </c>
      <c r="J4" s="3612"/>
      <c r="K4" s="187" t="s">
        <v>58</v>
      </c>
      <c r="L4" s="2293"/>
      <c r="M4" s="2294"/>
      <c r="N4" s="2294"/>
      <c r="O4" s="2294"/>
      <c r="P4" s="3615" t="s">
        <v>53</v>
      </c>
      <c r="Q4" s="3616"/>
      <c r="R4" s="3621" t="s">
        <v>55</v>
      </c>
      <c r="S4" s="3622"/>
      <c r="T4" s="3621" t="s">
        <v>56</v>
      </c>
      <c r="U4" s="3622"/>
      <c r="V4" s="3627" t="s">
        <v>57</v>
      </c>
      <c r="W4" s="3627"/>
      <c r="X4" s="1339"/>
      <c r="Y4" s="3621" t="s">
        <v>53</v>
      </c>
      <c r="Z4" s="3622"/>
      <c r="AA4" s="3608" t="s">
        <v>55</v>
      </c>
      <c r="AB4" s="3627" t="s">
        <v>56</v>
      </c>
      <c r="AC4" s="3608" t="s">
        <v>57</v>
      </c>
    </row>
    <row r="5" spans="1:29">
      <c r="A5" s="146"/>
      <c r="B5" s="147"/>
      <c r="C5" s="3630" t="s">
        <v>59</v>
      </c>
      <c r="D5" s="3631"/>
      <c r="E5" s="3637" t="s">
        <v>60</v>
      </c>
      <c r="F5" s="3638"/>
      <c r="G5" s="3630" t="s">
        <v>61</v>
      </c>
      <c r="H5" s="3631"/>
      <c r="I5" s="3630" t="s">
        <v>62</v>
      </c>
      <c r="J5" s="3631"/>
      <c r="K5" s="187"/>
      <c r="L5" s="2293"/>
      <c r="M5" s="2294"/>
      <c r="N5" s="2294"/>
      <c r="O5" s="2294"/>
      <c r="P5" s="3617"/>
      <c r="Q5" s="3618"/>
      <c r="R5" s="3623"/>
      <c r="S5" s="3624"/>
      <c r="T5" s="3623"/>
      <c r="U5" s="3624"/>
      <c r="V5" s="3627"/>
      <c r="W5" s="3627"/>
      <c r="X5" s="1339"/>
      <c r="Y5" s="3623"/>
      <c r="Z5" s="3624"/>
      <c r="AA5" s="3609"/>
      <c r="AB5" s="3627"/>
      <c r="AC5" s="3609"/>
    </row>
    <row r="6" spans="1:29" ht="14.25" thickBot="1">
      <c r="A6" s="148"/>
      <c r="B6" s="149"/>
      <c r="C6" s="3628" t="s">
        <v>63</v>
      </c>
      <c r="D6" s="3629"/>
      <c r="E6" s="3635" t="s">
        <v>63</v>
      </c>
      <c r="F6" s="3636"/>
      <c r="G6" s="3628" t="s">
        <v>63</v>
      </c>
      <c r="H6" s="3629"/>
      <c r="I6" s="3628" t="s">
        <v>63</v>
      </c>
      <c r="J6" s="3629"/>
      <c r="K6" s="187" t="s">
        <v>117</v>
      </c>
      <c r="L6" s="2293"/>
      <c r="M6" s="2294"/>
      <c r="N6" s="2294"/>
      <c r="O6" s="2294"/>
      <c r="P6" s="3619"/>
      <c r="Q6" s="3620"/>
      <c r="R6" s="3623"/>
      <c r="S6" s="3624"/>
      <c r="T6" s="3625"/>
      <c r="U6" s="3626"/>
      <c r="V6" s="3627"/>
      <c r="W6" s="3627"/>
      <c r="X6" s="1339"/>
      <c r="Y6" s="3625"/>
      <c r="Z6" s="3626"/>
      <c r="AA6" s="3610"/>
      <c r="AB6" s="3627"/>
      <c r="AC6" s="3610"/>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632" t="s">
        <v>64</v>
      </c>
      <c r="Q7" s="3634"/>
      <c r="R7" s="1341" t="s">
        <v>65</v>
      </c>
      <c r="S7" s="1342">
        <f t="shared" ref="S7:S15" si="0">F7</f>
        <v>0</v>
      </c>
      <c r="T7" s="1341" t="s">
        <v>65</v>
      </c>
      <c r="U7" s="1342">
        <f t="shared" ref="U7:U15" si="1">H7</f>
        <v>0</v>
      </c>
      <c r="V7" s="1341" t="s">
        <v>65</v>
      </c>
      <c r="W7" s="1342">
        <f t="shared" ref="W7:W15" si="2">J7</f>
        <v>0</v>
      </c>
      <c r="X7" s="287"/>
      <c r="Y7" s="3632" t="s">
        <v>64</v>
      </c>
      <c r="Z7" s="3633"/>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632" t="s">
        <v>1018</v>
      </c>
      <c r="Q8" s="3633"/>
      <c r="R8" s="1341" t="s">
        <v>65</v>
      </c>
      <c r="S8" s="1342">
        <f t="shared" si="0"/>
        <v>0</v>
      </c>
      <c r="T8" s="1341" t="s">
        <v>65</v>
      </c>
      <c r="U8" s="1342">
        <f t="shared" si="1"/>
        <v>0</v>
      </c>
      <c r="V8" s="1341" t="s">
        <v>65</v>
      </c>
      <c r="W8" s="1342">
        <f t="shared" si="2"/>
        <v>0</v>
      </c>
      <c r="X8" s="287"/>
      <c r="Y8" s="3632" t="s">
        <v>1018</v>
      </c>
      <c r="Z8" s="3633"/>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607" t="s">
        <v>67</v>
      </c>
      <c r="Q9" s="7" t="str">
        <f t="shared" ref="Q9:Q15" si="6">B9</f>
        <v>用途</v>
      </c>
      <c r="R9" s="1341" t="s">
        <v>65</v>
      </c>
      <c r="S9" s="1342">
        <f t="shared" si="0"/>
        <v>100</v>
      </c>
      <c r="T9" s="1341" t="s">
        <v>65</v>
      </c>
      <c r="U9" s="1342">
        <f t="shared" si="1"/>
        <v>100</v>
      </c>
      <c r="V9" s="1341" t="s">
        <v>65</v>
      </c>
      <c r="W9" s="1342">
        <f t="shared" si="2"/>
        <v>100</v>
      </c>
      <c r="X9" s="287"/>
      <c r="Y9" s="341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607"/>
      <c r="Q10" s="7" t="str">
        <f t="shared" si="6"/>
        <v>土地使用年限（年）</v>
      </c>
      <c r="R10" s="1341" t="s">
        <v>65</v>
      </c>
      <c r="S10" s="1342">
        <f t="shared" si="0"/>
        <v>100</v>
      </c>
      <c r="T10" s="1341" t="s">
        <v>65</v>
      </c>
      <c r="U10" s="1342">
        <f t="shared" si="1"/>
        <v>100</v>
      </c>
      <c r="V10" s="1341" t="s">
        <v>65</v>
      </c>
      <c r="W10" s="1342">
        <f t="shared" si="2"/>
        <v>100</v>
      </c>
      <c r="X10" s="287"/>
      <c r="Y10" s="341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607"/>
      <c r="Q11" s="7" t="str">
        <f t="shared" si="6"/>
        <v>容积率</v>
      </c>
      <c r="R11" s="1341" t="s">
        <v>65</v>
      </c>
      <c r="S11" s="1342" t="e">
        <f t="shared" si="0"/>
        <v>#N/A</v>
      </c>
      <c r="T11" s="1341" t="s">
        <v>65</v>
      </c>
      <c r="U11" s="1342" t="e">
        <f t="shared" si="1"/>
        <v>#N/A</v>
      </c>
      <c r="V11" s="1341" t="s">
        <v>65</v>
      </c>
      <c r="W11" s="1342" t="e">
        <f t="shared" si="2"/>
        <v>#N/A</v>
      </c>
      <c r="X11" s="287"/>
      <c r="Y11" s="341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607"/>
      <c r="Q12" s="7">
        <f t="shared" si="6"/>
        <v>111</v>
      </c>
      <c r="R12" s="1341" t="s">
        <v>65</v>
      </c>
      <c r="S12" s="1342">
        <f t="shared" si="0"/>
        <v>100</v>
      </c>
      <c r="T12" s="1341" t="s">
        <v>65</v>
      </c>
      <c r="U12" s="1342">
        <f t="shared" si="1"/>
        <v>100</v>
      </c>
      <c r="V12" s="1341" t="s">
        <v>65</v>
      </c>
      <c r="W12" s="1342">
        <f t="shared" si="2"/>
        <v>100</v>
      </c>
      <c r="X12" s="287"/>
      <c r="Y12" s="341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07"/>
      <c r="Q13" s="7">
        <f t="shared" si="6"/>
        <v>111</v>
      </c>
      <c r="R13" s="1341" t="s">
        <v>65</v>
      </c>
      <c r="S13" s="1342">
        <f t="shared" si="0"/>
        <v>100</v>
      </c>
      <c r="T13" s="1341" t="s">
        <v>65</v>
      </c>
      <c r="U13" s="1342">
        <f t="shared" si="1"/>
        <v>100</v>
      </c>
      <c r="V13" s="1341" t="s">
        <v>65</v>
      </c>
      <c r="W13" s="1342">
        <f t="shared" si="2"/>
        <v>100</v>
      </c>
      <c r="X13" s="287"/>
      <c r="Y13" s="341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07"/>
      <c r="Q14" s="7">
        <f t="shared" si="6"/>
        <v>111</v>
      </c>
      <c r="R14" s="1341" t="s">
        <v>65</v>
      </c>
      <c r="S14" s="1342">
        <f t="shared" si="0"/>
        <v>100</v>
      </c>
      <c r="T14" s="1341" t="s">
        <v>65</v>
      </c>
      <c r="U14" s="1342">
        <f t="shared" si="1"/>
        <v>100</v>
      </c>
      <c r="V14" s="1341" t="s">
        <v>65</v>
      </c>
      <c r="W14" s="1342">
        <f t="shared" si="2"/>
        <v>100</v>
      </c>
      <c r="X14" s="287"/>
      <c r="Y14" s="3412"/>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05" t="s">
        <v>69</v>
      </c>
      <c r="Q15" s="1350" t="str">
        <f t="shared" si="6"/>
        <v>商业繁华度</v>
      </c>
      <c r="R15" s="1351" t="s">
        <v>65</v>
      </c>
      <c r="S15" s="1352">
        <f t="shared" si="0"/>
        <v>100</v>
      </c>
      <c r="T15" s="1351" t="s">
        <v>65</v>
      </c>
      <c r="U15" s="1352">
        <f t="shared" si="1"/>
        <v>100</v>
      </c>
      <c r="V15" s="1351" t="s">
        <v>65</v>
      </c>
      <c r="W15" s="1352">
        <f t="shared" si="2"/>
        <v>100</v>
      </c>
      <c r="X15" s="1339"/>
      <c r="Y15" s="3598"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06"/>
      <c r="Q16" s="1350"/>
      <c r="R16" s="1351"/>
      <c r="S16" s="1352"/>
      <c r="T16" s="1351"/>
      <c r="U16" s="1352"/>
      <c r="V16" s="1351"/>
      <c r="W16" s="1352"/>
      <c r="X16" s="1339"/>
      <c r="Y16" s="3599"/>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06"/>
      <c r="Q17" s="1350" t="str">
        <f>B17</f>
        <v>交通便捷度</v>
      </c>
      <c r="R17" s="1351" t="s">
        <v>65</v>
      </c>
      <c r="S17" s="1352">
        <f>F17</f>
        <v>100</v>
      </c>
      <c r="T17" s="1351" t="s">
        <v>65</v>
      </c>
      <c r="U17" s="1352">
        <f>H17</f>
        <v>100</v>
      </c>
      <c r="V17" s="1351" t="s">
        <v>65</v>
      </c>
      <c r="W17" s="1352">
        <f>J17</f>
        <v>100</v>
      </c>
      <c r="X17" s="1339"/>
      <c r="Y17" s="359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06"/>
      <c r="Q18" s="1350"/>
      <c r="R18" s="1351"/>
      <c r="S18" s="1352"/>
      <c r="T18" s="1351"/>
      <c r="U18" s="1352"/>
      <c r="V18" s="1351"/>
      <c r="W18" s="1352"/>
      <c r="X18" s="1339"/>
      <c r="Y18" s="3599"/>
      <c r="Z18" s="1353"/>
      <c r="AA18" s="1354">
        <v>1</v>
      </c>
      <c r="AB18" s="1354">
        <v>1</v>
      </c>
      <c r="AC18" s="1354">
        <v>1</v>
      </c>
    </row>
    <row r="19" spans="1:29" ht="15">
      <c r="A19" s="151"/>
      <c r="B19" s="1355" t="s">
        <v>2641</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06"/>
      <c r="Q19" s="1350" t="str">
        <f>B19</f>
        <v>公共配套设施</v>
      </c>
      <c r="R19" s="1351" t="s">
        <v>65</v>
      </c>
      <c r="S19" s="1352">
        <f>F19</f>
        <v>100</v>
      </c>
      <c r="T19" s="1351" t="s">
        <v>65</v>
      </c>
      <c r="U19" s="1352">
        <f>H19</f>
        <v>100</v>
      </c>
      <c r="V19" s="1351" t="s">
        <v>65</v>
      </c>
      <c r="W19" s="1352">
        <f>J19</f>
        <v>100</v>
      </c>
      <c r="X19" s="1339"/>
      <c r="Y19" s="359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06"/>
      <c r="Q20" s="1350"/>
      <c r="R20" s="1351"/>
      <c r="S20" s="1352"/>
      <c r="T20" s="1351"/>
      <c r="U20" s="1352"/>
      <c r="V20" s="1351"/>
      <c r="W20" s="1352"/>
      <c r="X20" s="1339"/>
      <c r="Y20" s="3599"/>
      <c r="Z20" s="1353"/>
      <c r="AA20" s="1354">
        <v>1</v>
      </c>
      <c r="AB20" s="1354">
        <v>1</v>
      </c>
      <c r="AC20" s="1354">
        <v>1</v>
      </c>
    </row>
    <row r="21" spans="1:29" ht="15">
      <c r="A21" s="151"/>
      <c r="B21" s="1411" t="s">
        <v>2642</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06"/>
      <c r="Q21" s="2744" t="str">
        <f>B21</f>
        <v>基础设施水平</v>
      </c>
      <c r="R21" s="1351" t="s">
        <v>65</v>
      </c>
      <c r="S21" s="1352">
        <f>F21</f>
        <v>100</v>
      </c>
      <c r="T21" s="1351" t="s">
        <v>65</v>
      </c>
      <c r="U21" s="1352">
        <f>H21</f>
        <v>100</v>
      </c>
      <c r="V21" s="1351" t="s">
        <v>65</v>
      </c>
      <c r="W21" s="1352">
        <f>J21</f>
        <v>100</v>
      </c>
      <c r="X21" s="2746"/>
      <c r="Y21" s="359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06"/>
      <c r="Q22" s="2744"/>
      <c r="R22" s="1351"/>
      <c r="S22" s="1352"/>
      <c r="T22" s="1351"/>
      <c r="U22" s="1352"/>
      <c r="V22" s="1351"/>
      <c r="W22" s="1352"/>
      <c r="X22" s="2746"/>
      <c r="Y22" s="3599"/>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06"/>
      <c r="Q23" s="1350" t="str">
        <f>B23</f>
        <v>自然及人文环境</v>
      </c>
      <c r="R23" s="1351" t="s">
        <v>65</v>
      </c>
      <c r="S23" s="1352">
        <f>F23</f>
        <v>100</v>
      </c>
      <c r="T23" s="1351" t="s">
        <v>65</v>
      </c>
      <c r="U23" s="1352">
        <f>H23</f>
        <v>100</v>
      </c>
      <c r="V23" s="1351" t="s">
        <v>65</v>
      </c>
      <c r="W23" s="1352">
        <f>J23</f>
        <v>100</v>
      </c>
      <c r="X23" s="1339"/>
      <c r="Y23" s="3599"/>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06"/>
      <c r="Q24" s="1350"/>
      <c r="R24" s="1351"/>
      <c r="S24" s="1352"/>
      <c r="T24" s="1351"/>
      <c r="U24" s="1352"/>
      <c r="V24" s="1351"/>
      <c r="W24" s="1352"/>
      <c r="X24" s="1339"/>
      <c r="Y24" s="3599"/>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06"/>
      <c r="Q25" s="1350" t="str">
        <f t="shared" ref="Q25:Q46" si="11">B25</f>
        <v>临街状况</v>
      </c>
      <c r="R25" s="1351" t="s">
        <v>65</v>
      </c>
      <c r="S25" s="1352">
        <f>F25</f>
        <v>100</v>
      </c>
      <c r="T25" s="1351" t="s">
        <v>65</v>
      </c>
      <c r="U25" s="1352">
        <f>H25</f>
        <v>100</v>
      </c>
      <c r="V25" s="1351" t="s">
        <v>65</v>
      </c>
      <c r="W25" s="1352">
        <f>J25</f>
        <v>100</v>
      </c>
      <c r="X25" s="1339"/>
      <c r="Y25" s="3599"/>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06"/>
      <c r="Q26" s="1350" t="str">
        <f t="shared" si="11"/>
        <v>平面位置/可视性</v>
      </c>
      <c r="R26" s="1351" t="s">
        <v>65</v>
      </c>
      <c r="S26" s="1352">
        <f>F26</f>
        <v>100</v>
      </c>
      <c r="T26" s="1351" t="s">
        <v>65</v>
      </c>
      <c r="U26" s="1352">
        <f>H26</f>
        <v>100</v>
      </c>
      <c r="V26" s="1351" t="s">
        <v>65</v>
      </c>
      <c r="W26" s="1352">
        <f>J26</f>
        <v>100</v>
      </c>
      <c r="X26" s="1339"/>
      <c r="Y26" s="3599"/>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06"/>
      <c r="Q27" s="7" t="str">
        <f t="shared" si="11"/>
        <v>人流量</v>
      </c>
      <c r="R27" s="1341" t="s">
        <v>65</v>
      </c>
      <c r="S27" s="1342">
        <f>F27</f>
        <v>100</v>
      </c>
      <c r="T27" s="1341" t="s">
        <v>65</v>
      </c>
      <c r="U27" s="1342">
        <f>H27</f>
        <v>100</v>
      </c>
      <c r="V27" s="1341" t="s">
        <v>65</v>
      </c>
      <c r="W27" s="1342">
        <f>J27</f>
        <v>100</v>
      </c>
      <c r="X27" s="287"/>
      <c r="Y27" s="3599"/>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0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9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06"/>
      <c r="Q29" s="1350">
        <f t="shared" si="11"/>
        <v>111</v>
      </c>
      <c r="R29" s="1351" t="s">
        <v>65</v>
      </c>
      <c r="S29" s="1352">
        <f t="shared" si="12"/>
        <v>100</v>
      </c>
      <c r="T29" s="1351" t="s">
        <v>65</v>
      </c>
      <c r="U29" s="1352">
        <f t="shared" si="13"/>
        <v>100</v>
      </c>
      <c r="V29" s="1351" t="s">
        <v>65</v>
      </c>
      <c r="W29" s="1352">
        <f t="shared" si="14"/>
        <v>100</v>
      </c>
      <c r="X29" s="1339"/>
      <c r="Y29" s="359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06"/>
      <c r="Q30" s="1350">
        <f t="shared" si="11"/>
        <v>111</v>
      </c>
      <c r="R30" s="1351" t="s">
        <v>65</v>
      </c>
      <c r="S30" s="1352">
        <f t="shared" si="12"/>
        <v>100</v>
      </c>
      <c r="T30" s="1351" t="s">
        <v>65</v>
      </c>
      <c r="U30" s="1352">
        <f t="shared" si="13"/>
        <v>100</v>
      </c>
      <c r="V30" s="1351" t="s">
        <v>65</v>
      </c>
      <c r="W30" s="1352">
        <f t="shared" si="14"/>
        <v>100</v>
      </c>
      <c r="X30" s="1339"/>
      <c r="Y30" s="359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06"/>
      <c r="Q31" s="1350">
        <f t="shared" si="11"/>
        <v>111</v>
      </c>
      <c r="R31" s="1351" t="s">
        <v>65</v>
      </c>
      <c r="S31" s="1352">
        <f t="shared" si="12"/>
        <v>100</v>
      </c>
      <c r="T31" s="1351" t="s">
        <v>65</v>
      </c>
      <c r="U31" s="1352">
        <f t="shared" si="13"/>
        <v>100</v>
      </c>
      <c r="V31" s="1351" t="s">
        <v>65</v>
      </c>
      <c r="W31" s="1352">
        <f t="shared" si="14"/>
        <v>100</v>
      </c>
      <c r="X31" s="1339"/>
      <c r="Y31" s="3599"/>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00" t="s">
        <v>1025</v>
      </c>
      <c r="Q32" s="1350" t="str">
        <f t="shared" si="11"/>
        <v>商业类型</v>
      </c>
      <c r="R32" s="1351" t="s">
        <v>65</v>
      </c>
      <c r="S32" s="1352">
        <f t="shared" si="12"/>
        <v>100</v>
      </c>
      <c r="T32" s="1351" t="s">
        <v>65</v>
      </c>
      <c r="U32" s="1352">
        <f t="shared" si="13"/>
        <v>100</v>
      </c>
      <c r="V32" s="1351" t="s">
        <v>65</v>
      </c>
      <c r="W32" s="1352">
        <f t="shared" si="14"/>
        <v>100</v>
      </c>
      <c r="X32" s="1339"/>
      <c r="Y32" s="3603"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601"/>
      <c r="Q33" s="1358" t="str">
        <f t="shared" si="11"/>
        <v>项目建筑规模</v>
      </c>
      <c r="R33" s="1359" t="s">
        <v>65</v>
      </c>
      <c r="S33" s="1360" t="e">
        <f t="shared" si="12"/>
        <v>#N/A</v>
      </c>
      <c r="T33" s="1359" t="s">
        <v>65</v>
      </c>
      <c r="U33" s="1360" t="e">
        <f t="shared" si="13"/>
        <v>#N/A</v>
      </c>
      <c r="V33" s="1359" t="s">
        <v>65</v>
      </c>
      <c r="W33" s="1360" t="e">
        <f t="shared" si="14"/>
        <v>#N/A</v>
      </c>
      <c r="X33" s="1361"/>
      <c r="Y33" s="3603"/>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01"/>
      <c r="Q34" s="1350" t="str">
        <f t="shared" si="11"/>
        <v>建筑结构</v>
      </c>
      <c r="R34" s="1351" t="s">
        <v>65</v>
      </c>
      <c r="S34" s="1352">
        <f t="shared" si="12"/>
        <v>100</v>
      </c>
      <c r="T34" s="1351" t="s">
        <v>65</v>
      </c>
      <c r="U34" s="1352">
        <f t="shared" si="13"/>
        <v>100</v>
      </c>
      <c r="V34" s="1351" t="s">
        <v>65</v>
      </c>
      <c r="W34" s="1352">
        <f t="shared" si="14"/>
        <v>100</v>
      </c>
      <c r="X34" s="1339"/>
      <c r="Y34" s="3603"/>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01"/>
      <c r="Q35" s="1350" t="str">
        <f t="shared" si="11"/>
        <v>公共部分装修</v>
      </c>
      <c r="R35" s="1351" t="s">
        <v>65</v>
      </c>
      <c r="S35" s="1352">
        <f t="shared" si="12"/>
        <v>100</v>
      </c>
      <c r="T35" s="1351" t="s">
        <v>65</v>
      </c>
      <c r="U35" s="1352">
        <f t="shared" si="13"/>
        <v>100</v>
      </c>
      <c r="V35" s="1351" t="s">
        <v>65</v>
      </c>
      <c r="W35" s="1352">
        <f t="shared" si="14"/>
        <v>100</v>
      </c>
      <c r="X35" s="1339"/>
      <c r="Y35" s="3603"/>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01"/>
      <c r="Q36" s="1350" t="str">
        <f t="shared" si="11"/>
        <v>成新度</v>
      </c>
      <c r="R36" s="1351" t="s">
        <v>65</v>
      </c>
      <c r="S36" s="1352" t="e">
        <f t="shared" si="12"/>
        <v>#N/A</v>
      </c>
      <c r="T36" s="1351" t="s">
        <v>65</v>
      </c>
      <c r="U36" s="1352" t="e">
        <f t="shared" si="13"/>
        <v>#N/A</v>
      </c>
      <c r="V36" s="1351" t="s">
        <v>65</v>
      </c>
      <c r="W36" s="1352" t="e">
        <f t="shared" si="14"/>
        <v>#N/A</v>
      </c>
      <c r="X36" s="1339"/>
      <c r="Y36" s="3603"/>
      <c r="Z36" s="1353" t="str">
        <f t="shared" si="15"/>
        <v>成新度</v>
      </c>
      <c r="AA36" s="1354" t="e">
        <f t="shared" si="3"/>
        <v>#N/A</v>
      </c>
      <c r="AB36" s="1354" t="e">
        <f t="shared" si="4"/>
        <v>#N/A</v>
      </c>
      <c r="AC36" s="1354"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01"/>
      <c r="Q37" s="7" t="str">
        <f t="shared" si="11"/>
        <v>市政基础设施</v>
      </c>
      <c r="R37" s="1341" t="s">
        <v>65</v>
      </c>
      <c r="S37" s="1342">
        <f t="shared" si="12"/>
        <v>100</v>
      </c>
      <c r="T37" s="1341" t="s">
        <v>65</v>
      </c>
      <c r="U37" s="1342">
        <f t="shared" si="13"/>
        <v>100</v>
      </c>
      <c r="V37" s="1341" t="s">
        <v>65</v>
      </c>
      <c r="W37" s="1342">
        <f t="shared" si="14"/>
        <v>100</v>
      </c>
      <c r="X37" s="287"/>
      <c r="Y37" s="3603"/>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01" t="s">
        <v>1028</v>
      </c>
      <c r="Q38" s="1350" t="str">
        <f t="shared" si="11"/>
        <v>业态</v>
      </c>
      <c r="R38" s="1351" t="s">
        <v>65</v>
      </c>
      <c r="S38" s="1352">
        <f t="shared" si="12"/>
        <v>100</v>
      </c>
      <c r="T38" s="1351" t="s">
        <v>65</v>
      </c>
      <c r="U38" s="1352">
        <f t="shared" si="13"/>
        <v>100</v>
      </c>
      <c r="V38" s="1351" t="s">
        <v>65</v>
      </c>
      <c r="W38" s="1352">
        <f t="shared" si="14"/>
        <v>100</v>
      </c>
      <c r="X38" s="1339"/>
      <c r="Y38" s="3603"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01"/>
      <c r="Q39" s="1350" t="str">
        <f t="shared" si="11"/>
        <v>层高</v>
      </c>
      <c r="R39" s="1351" t="s">
        <v>65</v>
      </c>
      <c r="S39" s="1352">
        <f t="shared" si="12"/>
        <v>100</v>
      </c>
      <c r="T39" s="1351" t="s">
        <v>65</v>
      </c>
      <c r="U39" s="1352">
        <f t="shared" si="13"/>
        <v>100</v>
      </c>
      <c r="V39" s="1351" t="s">
        <v>65</v>
      </c>
      <c r="W39" s="1352">
        <f t="shared" si="14"/>
        <v>100</v>
      </c>
      <c r="X39" s="1339"/>
      <c r="Y39" s="3603"/>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01"/>
      <c r="Q40" s="1350" t="str">
        <f t="shared" si="11"/>
        <v>单套建筑面积</v>
      </c>
      <c r="R40" s="1351" t="s">
        <v>65</v>
      </c>
      <c r="S40" s="1352">
        <f t="shared" si="12"/>
        <v>100</v>
      </c>
      <c r="T40" s="1351" t="s">
        <v>65</v>
      </c>
      <c r="U40" s="1352">
        <f t="shared" si="13"/>
        <v>100</v>
      </c>
      <c r="V40" s="1351" t="s">
        <v>65</v>
      </c>
      <c r="W40" s="1352">
        <f t="shared" si="14"/>
        <v>100</v>
      </c>
      <c r="X40" s="1339"/>
      <c r="Y40" s="3603"/>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01"/>
      <c r="Q41" s="1358" t="str">
        <f t="shared" si="11"/>
        <v>进深比</v>
      </c>
      <c r="R41" s="1359" t="s">
        <v>65</v>
      </c>
      <c r="S41" s="1360">
        <f t="shared" si="12"/>
        <v>100</v>
      </c>
      <c r="T41" s="1359" t="s">
        <v>65</v>
      </c>
      <c r="U41" s="1360">
        <f t="shared" si="13"/>
        <v>100</v>
      </c>
      <c r="V41" s="1359" t="s">
        <v>65</v>
      </c>
      <c r="W41" s="1360">
        <f t="shared" si="14"/>
        <v>100</v>
      </c>
      <c r="X41" s="1361"/>
      <c r="Y41" s="3603"/>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01"/>
      <c r="Q42" s="1350" t="str">
        <f t="shared" si="11"/>
        <v>内部装修</v>
      </c>
      <c r="R42" s="1351" t="s">
        <v>65</v>
      </c>
      <c r="S42" s="1352">
        <f t="shared" si="12"/>
        <v>100</v>
      </c>
      <c r="T42" s="1351" t="s">
        <v>65</v>
      </c>
      <c r="U42" s="1352">
        <f t="shared" si="13"/>
        <v>100</v>
      </c>
      <c r="V42" s="1351" t="s">
        <v>65</v>
      </c>
      <c r="W42" s="1352">
        <f t="shared" si="14"/>
        <v>100</v>
      </c>
      <c r="X42" s="1339"/>
      <c r="Y42" s="3603"/>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01"/>
      <c r="Q43" s="1350" t="str">
        <f t="shared" si="11"/>
        <v>内部装修维护情况</v>
      </c>
      <c r="R43" s="1351" t="s">
        <v>65</v>
      </c>
      <c r="S43" s="1352">
        <f t="shared" si="12"/>
        <v>100</v>
      </c>
      <c r="T43" s="1351" t="s">
        <v>65</v>
      </c>
      <c r="U43" s="1352">
        <f t="shared" si="13"/>
        <v>100</v>
      </c>
      <c r="V43" s="1351" t="s">
        <v>65</v>
      </c>
      <c r="W43" s="1352">
        <f t="shared" si="14"/>
        <v>100</v>
      </c>
      <c r="X43" s="1339"/>
      <c r="Y43" s="360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01"/>
      <c r="Q44" s="7">
        <f t="shared" si="11"/>
        <v>111</v>
      </c>
      <c r="R44" s="1341" t="s">
        <v>65</v>
      </c>
      <c r="S44" s="1342">
        <f t="shared" si="12"/>
        <v>100</v>
      </c>
      <c r="T44" s="1341" t="s">
        <v>65</v>
      </c>
      <c r="U44" s="1342">
        <f t="shared" si="13"/>
        <v>100</v>
      </c>
      <c r="V44" s="1341" t="s">
        <v>65</v>
      </c>
      <c r="W44" s="1342">
        <f t="shared" si="14"/>
        <v>100</v>
      </c>
      <c r="X44" s="287"/>
      <c r="Y44" s="3603"/>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01"/>
      <c r="Q45" s="1350">
        <f t="shared" si="11"/>
        <v>111</v>
      </c>
      <c r="R45" s="1351" t="s">
        <v>65</v>
      </c>
      <c r="S45" s="1352">
        <f t="shared" si="12"/>
        <v>100</v>
      </c>
      <c r="T45" s="1351" t="s">
        <v>65</v>
      </c>
      <c r="U45" s="1352">
        <f t="shared" si="13"/>
        <v>100</v>
      </c>
      <c r="V45" s="1351" t="s">
        <v>65</v>
      </c>
      <c r="W45" s="1352">
        <f t="shared" si="14"/>
        <v>100</v>
      </c>
      <c r="X45" s="1339"/>
      <c r="Y45" s="360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02"/>
      <c r="Q46" s="1350">
        <f t="shared" si="11"/>
        <v>111</v>
      </c>
      <c r="R46" s="1351" t="s">
        <v>65</v>
      </c>
      <c r="S46" s="1352">
        <f t="shared" si="12"/>
        <v>100</v>
      </c>
      <c r="T46" s="1351" t="s">
        <v>65</v>
      </c>
      <c r="U46" s="1352">
        <f t="shared" si="13"/>
        <v>100</v>
      </c>
      <c r="V46" s="1351" t="s">
        <v>65</v>
      </c>
      <c r="W46" s="1352">
        <f t="shared" si="14"/>
        <v>100</v>
      </c>
      <c r="X46" s="1339"/>
      <c r="Y46" s="3604"/>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596" t="str">
        <f>A47</f>
        <v>成交单价（元/平方米）</v>
      </c>
      <c r="Q47" s="3596"/>
      <c r="R47" s="3627">
        <f>E47</f>
        <v>0</v>
      </c>
      <c r="S47" s="3627"/>
      <c r="T47" s="3627">
        <f>G47</f>
        <v>0</v>
      </c>
      <c r="U47" s="3627"/>
      <c r="V47" s="3627">
        <f>I47</f>
        <v>0</v>
      </c>
      <c r="W47" s="3627"/>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364"/>
      <c r="Y48" s="1364"/>
      <c r="Z48" s="1364"/>
      <c r="AA48" s="1364"/>
      <c r="AB48" s="1364"/>
      <c r="AC48" s="1364"/>
    </row>
    <row r="49" spans="1:29" ht="15.75" thickBot="1">
      <c r="A49" s="115" t="s">
        <v>3002</v>
      </c>
      <c r="B49" s="116"/>
      <c r="C49" s="2841" t="e">
        <f>R49</f>
        <v>#DIV/0!</v>
      </c>
      <c r="D49" s="2841"/>
      <c r="E49" s="2841"/>
      <c r="F49" s="2841"/>
      <c r="G49" s="2841"/>
      <c r="H49" s="2841"/>
      <c r="I49" s="2841"/>
      <c r="J49" s="2841"/>
      <c r="K49" s="1394"/>
      <c r="L49" s="2301"/>
      <c r="M49" s="2302"/>
      <c r="N49" s="2294"/>
      <c r="O49" s="2302"/>
      <c r="P49" s="3593" t="str">
        <f>A49</f>
        <v>估价对象XX用房的比较价值（楼面单价，元/平方米）</v>
      </c>
      <c r="Q49" s="3594"/>
      <c r="R49" s="3595" t="e">
        <f>IF(F1="售价",ROUND(AVERAGE(R48:V48),0),ROUND(AVERAGE(R48:V48),1))</f>
        <v>#DIV/0!</v>
      </c>
      <c r="S49" s="3595"/>
      <c r="T49" s="3595"/>
      <c r="U49" s="3595"/>
      <c r="V49" s="3595"/>
      <c r="W49" s="359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2781</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2644</v>
      </c>
      <c r="C82" s="213" t="s">
        <v>2645</v>
      </c>
      <c r="D82" s="213" t="s">
        <v>2646</v>
      </c>
      <c r="E82" s="213" t="s">
        <v>2647</v>
      </c>
      <c r="F82" s="213" t="s">
        <v>2648</v>
      </c>
      <c r="G82" s="213" t="s">
        <v>2649</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611" t="s">
        <v>1073</v>
      </c>
      <c r="D4" s="3612"/>
      <c r="E4" s="3613" t="s">
        <v>1074</v>
      </c>
      <c r="F4" s="3614"/>
      <c r="G4" s="3611" t="s">
        <v>1075</v>
      </c>
      <c r="H4" s="3612"/>
      <c r="I4" s="3611" t="s">
        <v>1076</v>
      </c>
      <c r="J4" s="3612"/>
      <c r="K4" s="187" t="s">
        <v>1077</v>
      </c>
      <c r="L4" s="2293"/>
      <c r="M4" s="2294"/>
      <c r="N4" s="2294"/>
      <c r="O4" s="2294"/>
      <c r="P4" s="3645" t="s">
        <v>1072</v>
      </c>
      <c r="Q4" s="3646"/>
      <c r="R4" s="3649" t="s">
        <v>1074</v>
      </c>
      <c r="S4" s="3650"/>
      <c r="T4" s="3649" t="s">
        <v>1075</v>
      </c>
      <c r="U4" s="3650"/>
      <c r="V4" s="3651" t="s">
        <v>1076</v>
      </c>
      <c r="W4" s="3651"/>
      <c r="X4" s="2333"/>
      <c r="Y4" s="3649" t="s">
        <v>1072</v>
      </c>
      <c r="Z4" s="3650"/>
      <c r="AA4" s="3653" t="s">
        <v>1074</v>
      </c>
      <c r="AB4" s="3653" t="s">
        <v>1075</v>
      </c>
      <c r="AC4" s="3642" t="s">
        <v>1076</v>
      </c>
    </row>
    <row r="5" spans="1:29">
      <c r="A5" s="146"/>
      <c r="B5" s="147"/>
      <c r="C5" s="3630" t="s">
        <v>1078</v>
      </c>
      <c r="D5" s="3631"/>
      <c r="E5" s="3637" t="s">
        <v>1079</v>
      </c>
      <c r="F5" s="3638"/>
      <c r="G5" s="3630" t="s">
        <v>1080</v>
      </c>
      <c r="H5" s="3631"/>
      <c r="I5" s="3630" t="s">
        <v>1081</v>
      </c>
      <c r="J5" s="3631"/>
      <c r="K5" s="187"/>
      <c r="L5" s="2293"/>
      <c r="M5" s="2294"/>
      <c r="N5" s="2294"/>
      <c r="O5" s="2294"/>
      <c r="P5" s="3647"/>
      <c r="Q5" s="3618"/>
      <c r="R5" s="3623"/>
      <c r="S5" s="3624"/>
      <c r="T5" s="3623"/>
      <c r="U5" s="3624"/>
      <c r="V5" s="3627"/>
      <c r="W5" s="3627"/>
      <c r="X5" s="2219"/>
      <c r="Y5" s="3623"/>
      <c r="Z5" s="3624"/>
      <c r="AA5" s="3609"/>
      <c r="AB5" s="3609"/>
      <c r="AC5" s="3643"/>
    </row>
    <row r="6" spans="1:29" ht="14.25" thickBot="1">
      <c r="A6" s="148"/>
      <c r="B6" s="149"/>
      <c r="C6" s="3628" t="s">
        <v>1082</v>
      </c>
      <c r="D6" s="3629"/>
      <c r="E6" s="3635" t="s">
        <v>1082</v>
      </c>
      <c r="F6" s="3636"/>
      <c r="G6" s="3628" t="s">
        <v>1082</v>
      </c>
      <c r="H6" s="3629"/>
      <c r="I6" s="3628" t="s">
        <v>1082</v>
      </c>
      <c r="J6" s="3629"/>
      <c r="K6" s="187" t="s">
        <v>1083</v>
      </c>
      <c r="L6" s="2293"/>
      <c r="M6" s="2294"/>
      <c r="N6" s="2294"/>
      <c r="O6" s="2294"/>
      <c r="P6" s="3648"/>
      <c r="Q6" s="3620"/>
      <c r="R6" s="3623"/>
      <c r="S6" s="3624"/>
      <c r="T6" s="3625"/>
      <c r="U6" s="3626"/>
      <c r="V6" s="3627"/>
      <c r="W6" s="3627"/>
      <c r="X6" s="2219"/>
      <c r="Y6" s="3625"/>
      <c r="Z6" s="3626"/>
      <c r="AA6" s="3610"/>
      <c r="AB6" s="3610"/>
      <c r="AC6" s="3644"/>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52" t="s">
        <v>1084</v>
      </c>
      <c r="Q7" s="3634"/>
      <c r="R7" s="1341" t="s">
        <v>65</v>
      </c>
      <c r="S7" s="1342">
        <f t="shared" ref="S7:S15" si="0">F7</f>
        <v>0</v>
      </c>
      <c r="T7" s="1341" t="s">
        <v>65</v>
      </c>
      <c r="U7" s="1342">
        <f t="shared" ref="U7:U15" si="1">H7</f>
        <v>0</v>
      </c>
      <c r="V7" s="1341" t="s">
        <v>65</v>
      </c>
      <c r="W7" s="1342">
        <f t="shared" ref="W7:W15" si="2">J7</f>
        <v>0</v>
      </c>
      <c r="X7" s="287"/>
      <c r="Y7" s="3632" t="s">
        <v>1084</v>
      </c>
      <c r="Z7" s="3633"/>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52" t="s">
        <v>1018</v>
      </c>
      <c r="Q8" s="3633"/>
      <c r="R8" s="1341" t="s">
        <v>65</v>
      </c>
      <c r="S8" s="1342">
        <f t="shared" si="0"/>
        <v>0</v>
      </c>
      <c r="T8" s="1341" t="s">
        <v>65</v>
      </c>
      <c r="U8" s="1342">
        <f t="shared" si="1"/>
        <v>0</v>
      </c>
      <c r="V8" s="1341" t="s">
        <v>65</v>
      </c>
      <c r="W8" s="1342">
        <f t="shared" si="2"/>
        <v>0</v>
      </c>
      <c r="X8" s="287"/>
      <c r="Y8" s="3632" t="s">
        <v>1018</v>
      </c>
      <c r="Z8" s="3633"/>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607" t="s">
        <v>67</v>
      </c>
      <c r="Q9" s="2210" t="str">
        <f t="shared" ref="Q9:Q15" si="6">B9</f>
        <v>用途</v>
      </c>
      <c r="R9" s="1341" t="s">
        <v>65</v>
      </c>
      <c r="S9" s="1342">
        <f t="shared" si="0"/>
        <v>100</v>
      </c>
      <c r="T9" s="1341" t="s">
        <v>65</v>
      </c>
      <c r="U9" s="1342">
        <f t="shared" si="1"/>
        <v>100</v>
      </c>
      <c r="V9" s="1341" t="s">
        <v>65</v>
      </c>
      <c r="W9" s="1342">
        <f t="shared" si="2"/>
        <v>100</v>
      </c>
      <c r="X9" s="287"/>
      <c r="Y9" s="3412"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607"/>
      <c r="Q10" s="2210" t="str">
        <f t="shared" si="6"/>
        <v>土地使用年限（年）</v>
      </c>
      <c r="R10" s="1341" t="s">
        <v>65</v>
      </c>
      <c r="S10" s="1342">
        <f t="shared" si="0"/>
        <v>100</v>
      </c>
      <c r="T10" s="1341" t="s">
        <v>65</v>
      </c>
      <c r="U10" s="1342">
        <f t="shared" si="1"/>
        <v>100</v>
      </c>
      <c r="V10" s="1341" t="s">
        <v>65</v>
      </c>
      <c r="W10" s="1342">
        <f t="shared" si="2"/>
        <v>100</v>
      </c>
      <c r="X10" s="287"/>
      <c r="Y10" s="3412"/>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607"/>
      <c r="Q11" s="2210" t="str">
        <f t="shared" si="6"/>
        <v>容积率</v>
      </c>
      <c r="R11" s="1341" t="s">
        <v>65</v>
      </c>
      <c r="S11" s="1342" t="e">
        <f t="shared" si="0"/>
        <v>#N/A</v>
      </c>
      <c r="T11" s="1341" t="s">
        <v>65</v>
      </c>
      <c r="U11" s="1342" t="e">
        <f t="shared" si="1"/>
        <v>#N/A</v>
      </c>
      <c r="V11" s="1341" t="s">
        <v>65</v>
      </c>
      <c r="W11" s="1342" t="e">
        <f t="shared" si="2"/>
        <v>#N/A</v>
      </c>
      <c r="X11" s="287"/>
      <c r="Y11" s="3412"/>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607"/>
      <c r="Q12" s="2210">
        <f t="shared" si="6"/>
        <v>111</v>
      </c>
      <c r="R12" s="1341" t="s">
        <v>65</v>
      </c>
      <c r="S12" s="1342">
        <f t="shared" si="0"/>
        <v>100</v>
      </c>
      <c r="T12" s="1341" t="s">
        <v>65</v>
      </c>
      <c r="U12" s="1342">
        <f t="shared" si="1"/>
        <v>100</v>
      </c>
      <c r="V12" s="1341" t="s">
        <v>65</v>
      </c>
      <c r="W12" s="1342">
        <f t="shared" si="2"/>
        <v>100</v>
      </c>
      <c r="X12" s="287"/>
      <c r="Y12" s="3412"/>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607"/>
      <c r="Q13" s="2210">
        <f t="shared" si="6"/>
        <v>111</v>
      </c>
      <c r="R13" s="1341" t="s">
        <v>65</v>
      </c>
      <c r="S13" s="1342">
        <f t="shared" si="0"/>
        <v>100</v>
      </c>
      <c r="T13" s="1341" t="s">
        <v>65</v>
      </c>
      <c r="U13" s="1342">
        <f t="shared" si="1"/>
        <v>100</v>
      </c>
      <c r="V13" s="1341" t="s">
        <v>65</v>
      </c>
      <c r="W13" s="1342">
        <f t="shared" si="2"/>
        <v>100</v>
      </c>
      <c r="X13" s="287"/>
      <c r="Y13" s="3412"/>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07"/>
      <c r="Q14" s="2210">
        <f t="shared" si="6"/>
        <v>111</v>
      </c>
      <c r="R14" s="1341" t="s">
        <v>65</v>
      </c>
      <c r="S14" s="1342">
        <f t="shared" si="0"/>
        <v>100</v>
      </c>
      <c r="T14" s="1341" t="s">
        <v>65</v>
      </c>
      <c r="U14" s="1342">
        <f t="shared" si="1"/>
        <v>100</v>
      </c>
      <c r="V14" s="1341" t="s">
        <v>65</v>
      </c>
      <c r="W14" s="1342">
        <f t="shared" si="2"/>
        <v>100</v>
      </c>
      <c r="X14" s="287"/>
      <c r="Y14" s="3412"/>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05" t="s">
        <v>69</v>
      </c>
      <c r="Q15" s="2217" t="str">
        <f t="shared" si="6"/>
        <v>办公集聚程度</v>
      </c>
      <c r="R15" s="1351" t="s">
        <v>65</v>
      </c>
      <c r="S15" s="1352">
        <f t="shared" si="0"/>
        <v>100</v>
      </c>
      <c r="T15" s="1351" t="s">
        <v>65</v>
      </c>
      <c r="U15" s="1352">
        <f t="shared" si="1"/>
        <v>100</v>
      </c>
      <c r="V15" s="1351" t="s">
        <v>65</v>
      </c>
      <c r="W15" s="1352">
        <f t="shared" si="2"/>
        <v>100</v>
      </c>
      <c r="X15" s="2219"/>
      <c r="Y15" s="3598"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06"/>
      <c r="Q16" s="2217"/>
      <c r="R16" s="1351"/>
      <c r="S16" s="1352"/>
      <c r="T16" s="1351"/>
      <c r="U16" s="1352"/>
      <c r="V16" s="1351"/>
      <c r="W16" s="1352"/>
      <c r="X16" s="2219"/>
      <c r="Y16" s="3599"/>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06"/>
      <c r="Q17" s="2217" t="str">
        <f>B17</f>
        <v>交通便捷度</v>
      </c>
      <c r="R17" s="1351" t="s">
        <v>65</v>
      </c>
      <c r="S17" s="1352">
        <f>F17</f>
        <v>100</v>
      </c>
      <c r="T17" s="1351" t="s">
        <v>65</v>
      </c>
      <c r="U17" s="1352">
        <f>H17</f>
        <v>100</v>
      </c>
      <c r="V17" s="1351" t="s">
        <v>65</v>
      </c>
      <c r="W17" s="1352">
        <f>J17</f>
        <v>100</v>
      </c>
      <c r="X17" s="2219"/>
      <c r="Y17" s="3599"/>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06"/>
      <c r="Q18" s="2217"/>
      <c r="R18" s="1351"/>
      <c r="S18" s="1352"/>
      <c r="T18" s="1351"/>
      <c r="U18" s="1352"/>
      <c r="V18" s="1351"/>
      <c r="W18" s="1352"/>
      <c r="X18" s="2219"/>
      <c r="Y18" s="3599"/>
      <c r="Z18" s="2218"/>
      <c r="AA18" s="1354">
        <v>1</v>
      </c>
      <c r="AB18" s="1354">
        <v>1</v>
      </c>
      <c r="AC18" s="2335">
        <v>1</v>
      </c>
    </row>
    <row r="19" spans="1:29" ht="15">
      <c r="A19" s="151"/>
      <c r="B19" s="1033" t="s">
        <v>2650</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06"/>
      <c r="Q19" s="2217" t="str">
        <f>B19</f>
        <v>公共配套设施</v>
      </c>
      <c r="R19" s="1351" t="s">
        <v>65</v>
      </c>
      <c r="S19" s="1352">
        <f>F19</f>
        <v>100</v>
      </c>
      <c r="T19" s="1351" t="s">
        <v>65</v>
      </c>
      <c r="U19" s="1352">
        <f>H19</f>
        <v>100</v>
      </c>
      <c r="V19" s="1351" t="s">
        <v>65</v>
      </c>
      <c r="W19" s="1352">
        <f>J19</f>
        <v>100</v>
      </c>
      <c r="X19" s="2219"/>
      <c r="Y19" s="3599"/>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06"/>
      <c r="Q20" s="2217"/>
      <c r="R20" s="1351"/>
      <c r="S20" s="1352"/>
      <c r="T20" s="1351"/>
      <c r="U20" s="1352"/>
      <c r="V20" s="1351"/>
      <c r="W20" s="1352"/>
      <c r="X20" s="2219"/>
      <c r="Y20" s="3599"/>
      <c r="Z20" s="2218"/>
      <c r="AA20" s="1354">
        <v>1</v>
      </c>
      <c r="AB20" s="1354">
        <v>1</v>
      </c>
      <c r="AC20" s="2335">
        <v>1</v>
      </c>
    </row>
    <row r="21" spans="1:29" ht="15">
      <c r="A21" s="151"/>
      <c r="B21" s="1035" t="s">
        <v>2651</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06"/>
      <c r="Q21" s="2744" t="str">
        <f>B21</f>
        <v>基础设施水平</v>
      </c>
      <c r="R21" s="1351" t="s">
        <v>65</v>
      </c>
      <c r="S21" s="1352">
        <f>F21</f>
        <v>100</v>
      </c>
      <c r="T21" s="1351" t="s">
        <v>65</v>
      </c>
      <c r="U21" s="1352">
        <f>H21</f>
        <v>100</v>
      </c>
      <c r="V21" s="1351" t="s">
        <v>65</v>
      </c>
      <c r="W21" s="1352">
        <f>J21</f>
        <v>100</v>
      </c>
      <c r="X21" s="2746"/>
      <c r="Y21" s="3599"/>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06"/>
      <c r="Q22" s="2744"/>
      <c r="R22" s="1351"/>
      <c r="S22" s="1352"/>
      <c r="T22" s="1351"/>
      <c r="U22" s="1352"/>
      <c r="V22" s="1351"/>
      <c r="W22" s="1352"/>
      <c r="X22" s="2746"/>
      <c r="Y22" s="3599"/>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06"/>
      <c r="Q23" s="2217" t="str">
        <f>B23</f>
        <v>环境质量</v>
      </c>
      <c r="R23" s="1351" t="s">
        <v>65</v>
      </c>
      <c r="S23" s="1352">
        <f>F23</f>
        <v>100</v>
      </c>
      <c r="T23" s="1351" t="s">
        <v>65</v>
      </c>
      <c r="U23" s="1352">
        <f>H23</f>
        <v>100</v>
      </c>
      <c r="V23" s="1351" t="s">
        <v>65</v>
      </c>
      <c r="W23" s="1352">
        <f>J23</f>
        <v>100</v>
      </c>
      <c r="X23" s="2219"/>
      <c r="Y23" s="3599"/>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06"/>
      <c r="Q24" s="2217"/>
      <c r="R24" s="1351"/>
      <c r="S24" s="1352"/>
      <c r="T24" s="1351"/>
      <c r="U24" s="1352"/>
      <c r="V24" s="1351"/>
      <c r="W24" s="1352"/>
      <c r="X24" s="2219"/>
      <c r="Y24" s="3599"/>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06"/>
      <c r="Q25" s="2217" t="str">
        <f>B25</f>
        <v>毗邻道路的类型与等级</v>
      </c>
      <c r="R25" s="1351" t="s">
        <v>65</v>
      </c>
      <c r="S25" s="1352">
        <f>F25</f>
        <v>100</v>
      </c>
      <c r="T25" s="1351" t="s">
        <v>65</v>
      </c>
      <c r="U25" s="1352">
        <f>H25</f>
        <v>100</v>
      </c>
      <c r="V25" s="1351" t="s">
        <v>65</v>
      </c>
      <c r="W25" s="1352">
        <f>J25</f>
        <v>100</v>
      </c>
      <c r="X25" s="2219"/>
      <c r="Y25" s="3599"/>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06"/>
      <c r="Q26" s="2217"/>
      <c r="R26" s="1351"/>
      <c r="S26" s="1352"/>
      <c r="T26" s="1351"/>
      <c r="U26" s="1352"/>
      <c r="V26" s="1351"/>
      <c r="W26" s="1352"/>
      <c r="X26" s="2219"/>
      <c r="Y26" s="3599"/>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06"/>
      <c r="Q27" s="2217" t="str">
        <f t="shared" ref="Q27:Q47" si="11">B27</f>
        <v>楼层</v>
      </c>
      <c r="R27" s="1351" t="s">
        <v>65</v>
      </c>
      <c r="S27" s="1352">
        <f>F27</f>
        <v>100</v>
      </c>
      <c r="T27" s="1351" t="s">
        <v>65</v>
      </c>
      <c r="U27" s="1352">
        <f>H27</f>
        <v>100</v>
      </c>
      <c r="V27" s="1351" t="s">
        <v>65</v>
      </c>
      <c r="W27" s="1352">
        <f>J27</f>
        <v>100</v>
      </c>
      <c r="X27" s="2219"/>
      <c r="Y27" s="3599"/>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06"/>
      <c r="Q28" s="2210" t="str">
        <f t="shared" si="11"/>
        <v>朝向</v>
      </c>
      <c r="R28" s="1341" t="s">
        <v>65</v>
      </c>
      <c r="S28" s="1342">
        <f>F28</f>
        <v>100</v>
      </c>
      <c r="T28" s="1341" t="s">
        <v>65</v>
      </c>
      <c r="U28" s="1342">
        <f>H28</f>
        <v>100</v>
      </c>
      <c r="V28" s="1341" t="s">
        <v>65</v>
      </c>
      <c r="W28" s="1342">
        <f>J28</f>
        <v>100</v>
      </c>
      <c r="X28" s="287"/>
      <c r="Y28" s="3599"/>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06"/>
      <c r="Q29" s="2217">
        <f t="shared" si="11"/>
        <v>111</v>
      </c>
      <c r="R29" s="1351" t="s">
        <v>65</v>
      </c>
      <c r="S29" s="1352">
        <f t="shared" ref="S29:S47" si="12">F29</f>
        <v>100</v>
      </c>
      <c r="T29" s="1351" t="s">
        <v>65</v>
      </c>
      <c r="U29" s="1352">
        <f t="shared" ref="U29:U47" si="13">H29</f>
        <v>100</v>
      </c>
      <c r="V29" s="1351" t="s">
        <v>65</v>
      </c>
      <c r="W29" s="1352">
        <f t="shared" ref="W29:W47" si="14">J29</f>
        <v>100</v>
      </c>
      <c r="X29" s="2219"/>
      <c r="Y29" s="3599"/>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06"/>
      <c r="Q30" s="2217">
        <f t="shared" si="11"/>
        <v>111</v>
      </c>
      <c r="R30" s="1351" t="s">
        <v>65</v>
      </c>
      <c r="S30" s="1352">
        <f t="shared" si="12"/>
        <v>100</v>
      </c>
      <c r="T30" s="1351" t="s">
        <v>65</v>
      </c>
      <c r="U30" s="1352">
        <f t="shared" si="13"/>
        <v>100</v>
      </c>
      <c r="V30" s="1351" t="s">
        <v>65</v>
      </c>
      <c r="W30" s="1352">
        <f t="shared" si="14"/>
        <v>100</v>
      </c>
      <c r="X30" s="2219"/>
      <c r="Y30" s="3599"/>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06"/>
      <c r="Q31" s="2217">
        <f t="shared" si="11"/>
        <v>111</v>
      </c>
      <c r="R31" s="1351" t="s">
        <v>65</v>
      </c>
      <c r="S31" s="1352">
        <f t="shared" si="12"/>
        <v>100</v>
      </c>
      <c r="T31" s="1351" t="s">
        <v>65</v>
      </c>
      <c r="U31" s="1352">
        <f t="shared" si="13"/>
        <v>100</v>
      </c>
      <c r="V31" s="1351" t="s">
        <v>65</v>
      </c>
      <c r="W31" s="1352">
        <f t="shared" si="14"/>
        <v>100</v>
      </c>
      <c r="X31" s="2219"/>
      <c r="Y31" s="3599"/>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06"/>
      <c r="Q32" s="2217">
        <f t="shared" si="11"/>
        <v>111</v>
      </c>
      <c r="R32" s="1351" t="s">
        <v>65</v>
      </c>
      <c r="S32" s="1352">
        <f t="shared" si="12"/>
        <v>100</v>
      </c>
      <c r="T32" s="1351" t="s">
        <v>65</v>
      </c>
      <c r="U32" s="1352">
        <f t="shared" si="13"/>
        <v>100</v>
      </c>
      <c r="V32" s="1351" t="s">
        <v>65</v>
      </c>
      <c r="W32" s="1352">
        <f t="shared" si="14"/>
        <v>100</v>
      </c>
      <c r="X32" s="2219"/>
      <c r="Y32" s="3599"/>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00" t="s">
        <v>1090</v>
      </c>
      <c r="Q33" s="2217" t="str">
        <f t="shared" si="11"/>
        <v>建筑类型</v>
      </c>
      <c r="R33" s="1351" t="s">
        <v>65</v>
      </c>
      <c r="S33" s="1352">
        <f t="shared" si="12"/>
        <v>100</v>
      </c>
      <c r="T33" s="1351" t="s">
        <v>65</v>
      </c>
      <c r="U33" s="1352">
        <f t="shared" si="13"/>
        <v>100</v>
      </c>
      <c r="V33" s="1351" t="s">
        <v>65</v>
      </c>
      <c r="W33" s="1352">
        <f t="shared" si="14"/>
        <v>100</v>
      </c>
      <c r="X33" s="2219"/>
      <c r="Y33" s="3603"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601"/>
      <c r="Q34" s="1358" t="str">
        <f t="shared" si="11"/>
        <v>项目建筑规模</v>
      </c>
      <c r="R34" s="1359" t="s">
        <v>65</v>
      </c>
      <c r="S34" s="1360" t="e">
        <f t="shared" si="12"/>
        <v>#N/A</v>
      </c>
      <c r="T34" s="1359" t="s">
        <v>65</v>
      </c>
      <c r="U34" s="1360" t="e">
        <f t="shared" si="13"/>
        <v>#N/A</v>
      </c>
      <c r="V34" s="1359" t="s">
        <v>65</v>
      </c>
      <c r="W34" s="1360" t="e">
        <f t="shared" si="14"/>
        <v>#N/A</v>
      </c>
      <c r="X34" s="1361"/>
      <c r="Y34" s="3603"/>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01"/>
      <c r="Q35" s="2217" t="str">
        <f t="shared" si="11"/>
        <v>建筑结构</v>
      </c>
      <c r="R35" s="1351" t="s">
        <v>65</v>
      </c>
      <c r="S35" s="1352">
        <f t="shared" si="12"/>
        <v>100</v>
      </c>
      <c r="T35" s="1351" t="s">
        <v>65</v>
      </c>
      <c r="U35" s="1352">
        <f t="shared" si="13"/>
        <v>100</v>
      </c>
      <c r="V35" s="1351" t="s">
        <v>65</v>
      </c>
      <c r="W35" s="1352">
        <f t="shared" si="14"/>
        <v>100</v>
      </c>
      <c r="X35" s="2219"/>
      <c r="Y35" s="3603"/>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01"/>
      <c r="Q36" s="2217" t="str">
        <f t="shared" si="11"/>
        <v>公共部分装修</v>
      </c>
      <c r="R36" s="1351" t="s">
        <v>65</v>
      </c>
      <c r="S36" s="1352">
        <f t="shared" si="12"/>
        <v>100</v>
      </c>
      <c r="T36" s="1351" t="s">
        <v>65</v>
      </c>
      <c r="U36" s="1352">
        <f t="shared" si="13"/>
        <v>100</v>
      </c>
      <c r="V36" s="1351" t="s">
        <v>65</v>
      </c>
      <c r="W36" s="1352">
        <f t="shared" si="14"/>
        <v>100</v>
      </c>
      <c r="X36" s="2219"/>
      <c r="Y36" s="3603"/>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01"/>
      <c r="Q37" s="2217" t="str">
        <f t="shared" si="11"/>
        <v>成新度</v>
      </c>
      <c r="R37" s="1351" t="s">
        <v>65</v>
      </c>
      <c r="S37" s="1352" t="e">
        <f t="shared" si="12"/>
        <v>#N/A</v>
      </c>
      <c r="T37" s="1351" t="s">
        <v>65</v>
      </c>
      <c r="U37" s="1352" t="e">
        <f t="shared" si="13"/>
        <v>#N/A</v>
      </c>
      <c r="V37" s="1351" t="s">
        <v>65</v>
      </c>
      <c r="W37" s="1352" t="e">
        <f t="shared" si="14"/>
        <v>#N/A</v>
      </c>
      <c r="X37" s="2219"/>
      <c r="Y37" s="3603"/>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01"/>
      <c r="Q38" s="2210" t="str">
        <f t="shared" si="11"/>
        <v>写字楼等级</v>
      </c>
      <c r="R38" s="1341" t="s">
        <v>65</v>
      </c>
      <c r="S38" s="1342">
        <f t="shared" si="12"/>
        <v>100</v>
      </c>
      <c r="T38" s="1341" t="s">
        <v>65</v>
      </c>
      <c r="U38" s="1342">
        <f t="shared" si="13"/>
        <v>100</v>
      </c>
      <c r="V38" s="1341" t="s">
        <v>65</v>
      </c>
      <c r="W38" s="1342">
        <f t="shared" si="14"/>
        <v>100</v>
      </c>
      <c r="X38" s="287"/>
      <c r="Y38" s="3603"/>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01" t="s">
        <v>70</v>
      </c>
      <c r="Q39" s="2217" t="str">
        <f t="shared" si="11"/>
        <v>物业管理</v>
      </c>
      <c r="R39" s="1351" t="s">
        <v>65</v>
      </c>
      <c r="S39" s="1352">
        <f t="shared" si="12"/>
        <v>100</v>
      </c>
      <c r="T39" s="1351" t="s">
        <v>65</v>
      </c>
      <c r="U39" s="1352">
        <f t="shared" si="13"/>
        <v>100</v>
      </c>
      <c r="V39" s="1351" t="s">
        <v>65</v>
      </c>
      <c r="W39" s="1352">
        <f t="shared" si="14"/>
        <v>100</v>
      </c>
      <c r="X39" s="2219"/>
      <c r="Y39" s="3603" t="s">
        <v>70</v>
      </c>
      <c r="Z39" s="2218" t="str">
        <f t="shared" si="15"/>
        <v>物业管理</v>
      </c>
      <c r="AA39" s="1354">
        <f t="shared" si="3"/>
        <v>1</v>
      </c>
      <c r="AB39" s="1354">
        <f t="shared" si="4"/>
        <v>1</v>
      </c>
      <c r="AC39" s="2335">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01"/>
      <c r="Q40" s="2217" t="str">
        <f t="shared" si="11"/>
        <v>市政基础设施</v>
      </c>
      <c r="R40" s="1351" t="s">
        <v>65</v>
      </c>
      <c r="S40" s="1352">
        <f t="shared" si="12"/>
        <v>100</v>
      </c>
      <c r="T40" s="1351" t="s">
        <v>65</v>
      </c>
      <c r="U40" s="1352">
        <f t="shared" si="13"/>
        <v>100</v>
      </c>
      <c r="V40" s="1351" t="s">
        <v>65</v>
      </c>
      <c r="W40" s="1352">
        <f t="shared" si="14"/>
        <v>100</v>
      </c>
      <c r="X40" s="2219"/>
      <c r="Y40" s="3603"/>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01"/>
      <c r="Q41" s="2217" t="str">
        <f t="shared" si="11"/>
        <v>层高</v>
      </c>
      <c r="R41" s="1351" t="s">
        <v>65</v>
      </c>
      <c r="S41" s="1352">
        <f t="shared" si="12"/>
        <v>100</v>
      </c>
      <c r="T41" s="1351" t="s">
        <v>65</v>
      </c>
      <c r="U41" s="1352">
        <f t="shared" si="13"/>
        <v>100</v>
      </c>
      <c r="V41" s="1351" t="s">
        <v>65</v>
      </c>
      <c r="W41" s="1352">
        <f t="shared" si="14"/>
        <v>100</v>
      </c>
      <c r="X41" s="2219"/>
      <c r="Y41" s="3603"/>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01"/>
      <c r="Q42" s="1358" t="str">
        <f t="shared" si="11"/>
        <v>单套建筑面积</v>
      </c>
      <c r="R42" s="1359" t="s">
        <v>65</v>
      </c>
      <c r="S42" s="1360">
        <f t="shared" si="12"/>
        <v>100</v>
      </c>
      <c r="T42" s="1359" t="s">
        <v>65</v>
      </c>
      <c r="U42" s="1360">
        <f t="shared" si="13"/>
        <v>100</v>
      </c>
      <c r="V42" s="1359" t="s">
        <v>65</v>
      </c>
      <c r="W42" s="1360">
        <f t="shared" si="14"/>
        <v>100</v>
      </c>
      <c r="X42" s="1361"/>
      <c r="Y42" s="3603"/>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01"/>
      <c r="Q43" s="2217" t="str">
        <f t="shared" si="11"/>
        <v>内部装修</v>
      </c>
      <c r="R43" s="1351" t="s">
        <v>65</v>
      </c>
      <c r="S43" s="1352">
        <f t="shared" si="12"/>
        <v>100</v>
      </c>
      <c r="T43" s="1351" t="s">
        <v>65</v>
      </c>
      <c r="U43" s="1352">
        <f t="shared" si="13"/>
        <v>100</v>
      </c>
      <c r="V43" s="1351" t="s">
        <v>65</v>
      </c>
      <c r="W43" s="1352">
        <f t="shared" si="14"/>
        <v>100</v>
      </c>
      <c r="X43" s="2219"/>
      <c r="Y43" s="3603"/>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01"/>
      <c r="Q44" s="2217" t="str">
        <f t="shared" si="11"/>
        <v>内部装修维护情况</v>
      </c>
      <c r="R44" s="1351" t="s">
        <v>65</v>
      </c>
      <c r="S44" s="1352">
        <f t="shared" si="12"/>
        <v>100</v>
      </c>
      <c r="T44" s="1351" t="s">
        <v>65</v>
      </c>
      <c r="U44" s="1352">
        <f t="shared" si="13"/>
        <v>100</v>
      </c>
      <c r="V44" s="1351" t="s">
        <v>65</v>
      </c>
      <c r="W44" s="1352">
        <f t="shared" si="14"/>
        <v>100</v>
      </c>
      <c r="X44" s="2219"/>
      <c r="Y44" s="3603"/>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601"/>
      <c r="Q45" s="2210">
        <f t="shared" si="11"/>
        <v>111</v>
      </c>
      <c r="R45" s="1341" t="s">
        <v>65</v>
      </c>
      <c r="S45" s="1342">
        <f t="shared" si="12"/>
        <v>100</v>
      </c>
      <c r="T45" s="1341" t="s">
        <v>65</v>
      </c>
      <c r="U45" s="1342">
        <f t="shared" si="13"/>
        <v>100</v>
      </c>
      <c r="V45" s="1341" t="s">
        <v>65</v>
      </c>
      <c r="W45" s="1342">
        <f t="shared" si="14"/>
        <v>100</v>
      </c>
      <c r="X45" s="287"/>
      <c r="Y45" s="3603"/>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01"/>
      <c r="Q46" s="2217">
        <f t="shared" si="11"/>
        <v>111</v>
      </c>
      <c r="R46" s="1351" t="s">
        <v>65</v>
      </c>
      <c r="S46" s="1352">
        <f t="shared" si="12"/>
        <v>100</v>
      </c>
      <c r="T46" s="1351" t="s">
        <v>65</v>
      </c>
      <c r="U46" s="1352">
        <f t="shared" si="13"/>
        <v>100</v>
      </c>
      <c r="V46" s="1351" t="s">
        <v>65</v>
      </c>
      <c r="W46" s="1352">
        <f t="shared" si="14"/>
        <v>100</v>
      </c>
      <c r="X46" s="2219"/>
      <c r="Y46" s="3603"/>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02"/>
      <c r="Q47" s="2217">
        <f t="shared" si="11"/>
        <v>111</v>
      </c>
      <c r="R47" s="1351" t="s">
        <v>65</v>
      </c>
      <c r="S47" s="1352">
        <f t="shared" si="12"/>
        <v>100</v>
      </c>
      <c r="T47" s="1351" t="s">
        <v>65</v>
      </c>
      <c r="U47" s="1352">
        <f t="shared" si="13"/>
        <v>100</v>
      </c>
      <c r="V47" s="1351" t="s">
        <v>65</v>
      </c>
      <c r="W47" s="1352">
        <f t="shared" si="14"/>
        <v>100</v>
      </c>
      <c r="X47" s="2219"/>
      <c r="Y47" s="3604"/>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607" t="str">
        <f>A48</f>
        <v>成交单价（元/平方米）</v>
      </c>
      <c r="Q48" s="3596"/>
      <c r="R48" s="3597">
        <f>E48</f>
        <v>0</v>
      </c>
      <c r="S48" s="3597"/>
      <c r="T48" s="3597">
        <f>G48</f>
        <v>0</v>
      </c>
      <c r="U48" s="3597"/>
      <c r="V48" s="3597">
        <f>I48</f>
        <v>0</v>
      </c>
      <c r="W48" s="3597"/>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156"/>
      <c r="Y49" s="156"/>
      <c r="Z49" s="156"/>
      <c r="AA49" s="156"/>
      <c r="AB49" s="156"/>
      <c r="AC49" s="209"/>
    </row>
    <row r="50" spans="1:29" ht="15.75" thickBot="1">
      <c r="A50" s="115" t="s">
        <v>3002</v>
      </c>
      <c r="B50" s="116"/>
      <c r="C50" s="2841" t="e">
        <f>R50</f>
        <v>#DIV/0!</v>
      </c>
      <c r="D50" s="2841"/>
      <c r="E50" s="2841"/>
      <c r="F50" s="2841"/>
      <c r="G50" s="2841"/>
      <c r="H50" s="2841"/>
      <c r="I50" s="2841"/>
      <c r="J50" s="836"/>
      <c r="K50" s="1394"/>
      <c r="L50" s="2301"/>
      <c r="M50" s="2294"/>
      <c r="N50" s="2294"/>
      <c r="O50" s="2294"/>
      <c r="P50" s="3639" t="str">
        <f>A50</f>
        <v>估价对象XX用房的比较价值（楼面单价，元/平方米）</v>
      </c>
      <c r="Q50" s="3640"/>
      <c r="R50" s="3641" t="e">
        <f>IF(F1="售价",ROUND(AVERAGE(R49:V49),0),ROUND(AVERAGE(R49:V49),1))</f>
        <v>#DIV/0!</v>
      </c>
      <c r="S50" s="3641"/>
      <c r="T50" s="3641"/>
      <c r="U50" s="3641"/>
      <c r="V50" s="3641"/>
      <c r="W50" s="3641"/>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2782</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2652</v>
      </c>
      <c r="C83" s="213" t="s">
        <v>2645</v>
      </c>
      <c r="D83" s="213" t="s">
        <v>2646</v>
      </c>
      <c r="E83" s="213" t="s">
        <v>2647</v>
      </c>
      <c r="F83" s="213" t="s">
        <v>2648</v>
      </c>
      <c r="G83" s="213" t="s">
        <v>2649</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2627</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611" t="s">
        <v>1111</v>
      </c>
      <c r="D4" s="3612"/>
      <c r="E4" s="3613" t="s">
        <v>1112</v>
      </c>
      <c r="F4" s="3614"/>
      <c r="G4" s="3611" t="s">
        <v>1113</v>
      </c>
      <c r="H4" s="3612"/>
      <c r="I4" s="3611" t="s">
        <v>1114</v>
      </c>
      <c r="J4" s="3612"/>
      <c r="K4" s="187" t="s">
        <v>1115</v>
      </c>
      <c r="L4" s="2293"/>
      <c r="M4" s="2294"/>
      <c r="N4" s="2294"/>
      <c r="O4" s="2294"/>
      <c r="P4" s="3615" t="s">
        <v>1110</v>
      </c>
      <c r="Q4" s="3616"/>
      <c r="R4" s="3621" t="s">
        <v>1112</v>
      </c>
      <c r="S4" s="3622"/>
      <c r="T4" s="3621" t="s">
        <v>1113</v>
      </c>
      <c r="U4" s="3622"/>
      <c r="V4" s="3627" t="s">
        <v>1114</v>
      </c>
      <c r="W4" s="3627"/>
      <c r="X4" s="1339"/>
      <c r="Y4" s="3621" t="s">
        <v>1110</v>
      </c>
      <c r="Z4" s="3622"/>
      <c r="AA4" s="3608" t="s">
        <v>1112</v>
      </c>
      <c r="AB4" s="3609" t="s">
        <v>1113</v>
      </c>
      <c r="AC4" s="3608" t="s">
        <v>1114</v>
      </c>
    </row>
    <row r="5" spans="1:29">
      <c r="A5" s="146"/>
      <c r="B5" s="147"/>
      <c r="C5" s="3630" t="s">
        <v>1116</v>
      </c>
      <c r="D5" s="3631"/>
      <c r="E5" s="3637" t="s">
        <v>1117</v>
      </c>
      <c r="F5" s="3638"/>
      <c r="G5" s="3630" t="s">
        <v>1118</v>
      </c>
      <c r="H5" s="3631"/>
      <c r="I5" s="3630" t="s">
        <v>1119</v>
      </c>
      <c r="J5" s="3631"/>
      <c r="K5" s="187"/>
      <c r="L5" s="2293"/>
      <c r="M5" s="2294"/>
      <c r="N5" s="2294"/>
      <c r="O5" s="2294"/>
      <c r="P5" s="3617"/>
      <c r="Q5" s="3618"/>
      <c r="R5" s="3623"/>
      <c r="S5" s="3624"/>
      <c r="T5" s="3623"/>
      <c r="U5" s="3624"/>
      <c r="V5" s="3627"/>
      <c r="W5" s="3627"/>
      <c r="X5" s="1339"/>
      <c r="Y5" s="3623"/>
      <c r="Z5" s="3624"/>
      <c r="AA5" s="3609"/>
      <c r="AB5" s="3609"/>
      <c r="AC5" s="3609"/>
    </row>
    <row r="6" spans="1:29" ht="14.25" thickBot="1">
      <c r="A6" s="148"/>
      <c r="B6" s="149"/>
      <c r="C6" s="3628" t="s">
        <v>1120</v>
      </c>
      <c r="D6" s="3629"/>
      <c r="E6" s="3635" t="s">
        <v>1120</v>
      </c>
      <c r="F6" s="3636"/>
      <c r="G6" s="3628" t="s">
        <v>1120</v>
      </c>
      <c r="H6" s="3629"/>
      <c r="I6" s="3628" t="s">
        <v>1120</v>
      </c>
      <c r="J6" s="3629"/>
      <c r="K6" s="187" t="s">
        <v>1121</v>
      </c>
      <c r="L6" s="2293"/>
      <c r="M6" s="2294"/>
      <c r="N6" s="2294"/>
      <c r="O6" s="2294"/>
      <c r="P6" s="3619"/>
      <c r="Q6" s="3620"/>
      <c r="R6" s="3623"/>
      <c r="S6" s="3624"/>
      <c r="T6" s="3625"/>
      <c r="U6" s="3626"/>
      <c r="V6" s="3627"/>
      <c r="W6" s="3627"/>
      <c r="X6" s="1339"/>
      <c r="Y6" s="3625"/>
      <c r="Z6" s="3626"/>
      <c r="AA6" s="3610"/>
      <c r="AB6" s="3610"/>
      <c r="AC6" s="3610"/>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632" t="s">
        <v>1122</v>
      </c>
      <c r="Q7" s="3634"/>
      <c r="R7" s="1341" t="s">
        <v>65</v>
      </c>
      <c r="S7" s="1342">
        <f t="shared" ref="S7:S15" si="0">F7</f>
        <v>0</v>
      </c>
      <c r="T7" s="1341" t="s">
        <v>65</v>
      </c>
      <c r="U7" s="1342">
        <f t="shared" ref="U7:U15" si="1">H7</f>
        <v>0</v>
      </c>
      <c r="V7" s="1341" t="s">
        <v>65</v>
      </c>
      <c r="W7" s="1342">
        <f t="shared" ref="W7:W15" si="2">J7</f>
        <v>0</v>
      </c>
      <c r="X7" s="287"/>
      <c r="Y7" s="3632" t="s">
        <v>1122</v>
      </c>
      <c r="Z7" s="3633"/>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632" t="s">
        <v>1018</v>
      </c>
      <c r="Q8" s="3633"/>
      <c r="R8" s="1341" t="s">
        <v>65</v>
      </c>
      <c r="S8" s="1342">
        <f t="shared" si="0"/>
        <v>0</v>
      </c>
      <c r="T8" s="1341" t="s">
        <v>65</v>
      </c>
      <c r="U8" s="1342">
        <f t="shared" si="1"/>
        <v>0</v>
      </c>
      <c r="V8" s="1341" t="s">
        <v>65</v>
      </c>
      <c r="W8" s="1342">
        <f t="shared" si="2"/>
        <v>0</v>
      </c>
      <c r="X8" s="287"/>
      <c r="Y8" s="3632" t="s">
        <v>1018</v>
      </c>
      <c r="Z8" s="3633"/>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596" t="s">
        <v>67</v>
      </c>
      <c r="Q9" s="7" t="str">
        <f t="shared" ref="Q9:Q15" si="6">B9</f>
        <v>用途</v>
      </c>
      <c r="R9" s="1341" t="s">
        <v>65</v>
      </c>
      <c r="S9" s="1342">
        <f t="shared" si="0"/>
        <v>100</v>
      </c>
      <c r="T9" s="1341" t="s">
        <v>65</v>
      </c>
      <c r="U9" s="1342">
        <f t="shared" si="1"/>
        <v>100</v>
      </c>
      <c r="V9" s="1341" t="s">
        <v>65</v>
      </c>
      <c r="W9" s="1342">
        <f t="shared" si="2"/>
        <v>100</v>
      </c>
      <c r="X9" s="287"/>
      <c r="Y9" s="341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596"/>
      <c r="Q10" s="7" t="str">
        <f t="shared" si="6"/>
        <v>土地使用年限（年）</v>
      </c>
      <c r="R10" s="1341" t="s">
        <v>65</v>
      </c>
      <c r="S10" s="1342">
        <f t="shared" si="0"/>
        <v>100</v>
      </c>
      <c r="T10" s="1341" t="s">
        <v>65</v>
      </c>
      <c r="U10" s="1342">
        <f t="shared" si="1"/>
        <v>100</v>
      </c>
      <c r="V10" s="1341" t="s">
        <v>65</v>
      </c>
      <c r="W10" s="1342">
        <f t="shared" si="2"/>
        <v>100</v>
      </c>
      <c r="X10" s="287"/>
      <c r="Y10" s="3412"/>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596"/>
      <c r="Q11" s="7" t="str">
        <f t="shared" si="6"/>
        <v>容积率</v>
      </c>
      <c r="R11" s="1341" t="s">
        <v>65</v>
      </c>
      <c r="S11" s="1342" t="e">
        <f t="shared" si="0"/>
        <v>#N/A</v>
      </c>
      <c r="T11" s="1341" t="s">
        <v>65</v>
      </c>
      <c r="U11" s="1342" t="e">
        <f t="shared" si="1"/>
        <v>#N/A</v>
      </c>
      <c r="V11" s="1341" t="s">
        <v>65</v>
      </c>
      <c r="W11" s="1342" t="e">
        <f t="shared" si="2"/>
        <v>#N/A</v>
      </c>
      <c r="X11" s="287"/>
      <c r="Y11" s="341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596"/>
      <c r="Q12" s="7">
        <f t="shared" si="6"/>
        <v>111</v>
      </c>
      <c r="R12" s="1341" t="s">
        <v>65</v>
      </c>
      <c r="S12" s="1342">
        <f t="shared" si="0"/>
        <v>100</v>
      </c>
      <c r="T12" s="1341" t="s">
        <v>65</v>
      </c>
      <c r="U12" s="1342">
        <f t="shared" si="1"/>
        <v>100</v>
      </c>
      <c r="V12" s="1341" t="s">
        <v>65</v>
      </c>
      <c r="W12" s="1342">
        <f t="shared" si="2"/>
        <v>100</v>
      </c>
      <c r="X12" s="287"/>
      <c r="Y12" s="3412"/>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596"/>
      <c r="Q13" s="7">
        <f t="shared" si="6"/>
        <v>111</v>
      </c>
      <c r="R13" s="1341" t="s">
        <v>65</v>
      </c>
      <c r="S13" s="1342">
        <f t="shared" si="0"/>
        <v>100</v>
      </c>
      <c r="T13" s="1341" t="s">
        <v>65</v>
      </c>
      <c r="U13" s="1342">
        <f t="shared" si="1"/>
        <v>100</v>
      </c>
      <c r="V13" s="1341" t="s">
        <v>65</v>
      </c>
      <c r="W13" s="1342">
        <f t="shared" si="2"/>
        <v>100</v>
      </c>
      <c r="X13" s="287"/>
      <c r="Y13" s="341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596"/>
      <c r="Q14" s="7">
        <f t="shared" si="6"/>
        <v>111</v>
      </c>
      <c r="R14" s="1341" t="s">
        <v>65</v>
      </c>
      <c r="S14" s="1342">
        <f t="shared" si="0"/>
        <v>100</v>
      </c>
      <c r="T14" s="1341" t="s">
        <v>65</v>
      </c>
      <c r="U14" s="1342">
        <f t="shared" si="1"/>
        <v>100</v>
      </c>
      <c r="V14" s="1341" t="s">
        <v>65</v>
      </c>
      <c r="W14" s="1342">
        <f t="shared" si="2"/>
        <v>100</v>
      </c>
      <c r="X14" s="287"/>
      <c r="Y14" s="3412"/>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598" t="s">
        <v>69</v>
      </c>
      <c r="Q15" s="1350" t="str">
        <f t="shared" si="6"/>
        <v>产业集聚程度</v>
      </c>
      <c r="R15" s="1351" t="s">
        <v>65</v>
      </c>
      <c r="S15" s="1352">
        <f t="shared" si="0"/>
        <v>100</v>
      </c>
      <c r="T15" s="1351" t="s">
        <v>65</v>
      </c>
      <c r="U15" s="1352">
        <f t="shared" si="1"/>
        <v>100</v>
      </c>
      <c r="V15" s="1351" t="s">
        <v>65</v>
      </c>
      <c r="W15" s="1352">
        <f t="shared" si="2"/>
        <v>100</v>
      </c>
      <c r="X15" s="1339"/>
      <c r="Y15" s="359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599"/>
      <c r="Q16" s="1350"/>
      <c r="R16" s="1351"/>
      <c r="S16" s="1352"/>
      <c r="T16" s="1351"/>
      <c r="U16" s="1352"/>
      <c r="V16" s="1351"/>
      <c r="W16" s="1352"/>
      <c r="X16" s="1339"/>
      <c r="Y16" s="359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599"/>
      <c r="Q17" s="1350" t="str">
        <f>B17</f>
        <v>交通便捷度</v>
      </c>
      <c r="R17" s="1351" t="s">
        <v>65</v>
      </c>
      <c r="S17" s="1352">
        <f>F17</f>
        <v>100</v>
      </c>
      <c r="T17" s="1351" t="s">
        <v>65</v>
      </c>
      <c r="U17" s="1352">
        <f>H17</f>
        <v>100</v>
      </c>
      <c r="V17" s="1351" t="s">
        <v>65</v>
      </c>
      <c r="W17" s="1352">
        <f>J17</f>
        <v>100</v>
      </c>
      <c r="X17" s="1339"/>
      <c r="Y17" s="359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599"/>
      <c r="Q18" s="1350"/>
      <c r="R18" s="1351"/>
      <c r="S18" s="1352"/>
      <c r="T18" s="1351"/>
      <c r="U18" s="1352"/>
      <c r="V18" s="1351"/>
      <c r="W18" s="1352"/>
      <c r="X18" s="1339"/>
      <c r="Y18" s="3599"/>
      <c r="Z18" s="1353"/>
      <c r="AA18" s="1354">
        <v>1</v>
      </c>
      <c r="AB18" s="1354">
        <v>1</v>
      </c>
      <c r="AC18" s="1354">
        <v>1</v>
      </c>
    </row>
    <row r="19" spans="1:29" ht="148.5">
      <c r="A19" s="151"/>
      <c r="B19" s="1355" t="s">
        <v>2650</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599"/>
      <c r="Q19" s="1350" t="str">
        <f>B19</f>
        <v>公共配套设施</v>
      </c>
      <c r="R19" s="1351" t="s">
        <v>65</v>
      </c>
      <c r="S19" s="1352">
        <f>F19</f>
        <v>100</v>
      </c>
      <c r="T19" s="1351" t="s">
        <v>65</v>
      </c>
      <c r="U19" s="1352">
        <f>H19</f>
        <v>100</v>
      </c>
      <c r="V19" s="1351" t="s">
        <v>65</v>
      </c>
      <c r="W19" s="1352">
        <f>J19</f>
        <v>100</v>
      </c>
      <c r="X19" s="1339"/>
      <c r="Y19" s="359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599"/>
      <c r="Q20" s="1350"/>
      <c r="R20" s="1351"/>
      <c r="S20" s="1352"/>
      <c r="T20" s="1351"/>
      <c r="U20" s="1352"/>
      <c r="V20" s="1351"/>
      <c r="W20" s="1352"/>
      <c r="X20" s="1339"/>
      <c r="Y20" s="3599"/>
      <c r="Z20" s="1353"/>
      <c r="AA20" s="1354">
        <v>1</v>
      </c>
      <c r="AB20" s="1354">
        <v>1</v>
      </c>
      <c r="AC20" s="1354">
        <v>1</v>
      </c>
    </row>
    <row r="21" spans="1:29" ht="108">
      <c r="A21" s="151"/>
      <c r="B21" s="1411" t="s">
        <v>2653</v>
      </c>
      <c r="C21" s="158" t="str">
        <f>估价对象房地状况!G6</f>
        <v>估价对象所在区域公共配套设施齐备情况；基础设施水平；综合评价公用设施及基础设施水平较好</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599"/>
      <c r="Q21" s="2744" t="str">
        <f>B21</f>
        <v>基础设施水平</v>
      </c>
      <c r="R21" s="1351" t="s">
        <v>65</v>
      </c>
      <c r="S21" s="1352">
        <f>F21</f>
        <v>100</v>
      </c>
      <c r="T21" s="1351" t="s">
        <v>65</v>
      </c>
      <c r="U21" s="1352">
        <f>H21</f>
        <v>100</v>
      </c>
      <c r="V21" s="1351" t="s">
        <v>65</v>
      </c>
      <c r="W21" s="1352">
        <f>J21</f>
        <v>100</v>
      </c>
      <c r="X21" s="2746"/>
      <c r="Y21" s="359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599"/>
      <c r="Q22" s="2744"/>
      <c r="R22" s="1351"/>
      <c r="S22" s="1352"/>
      <c r="T22" s="1351"/>
      <c r="U22" s="1352"/>
      <c r="V22" s="1351"/>
      <c r="W22" s="1352"/>
      <c r="X22" s="2746"/>
      <c r="Y22" s="3599"/>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599"/>
      <c r="Q23" s="1350" t="str">
        <f>B23</f>
        <v>环境质量</v>
      </c>
      <c r="R23" s="1351" t="s">
        <v>65</v>
      </c>
      <c r="S23" s="1352">
        <f>F23</f>
        <v>100</v>
      </c>
      <c r="T23" s="1351" t="s">
        <v>65</v>
      </c>
      <c r="U23" s="1352">
        <f>H23</f>
        <v>100</v>
      </c>
      <c r="V23" s="1351" t="s">
        <v>65</v>
      </c>
      <c r="W23" s="1352">
        <f>J23</f>
        <v>100</v>
      </c>
      <c r="X23" s="1339"/>
      <c r="Y23" s="359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599"/>
      <c r="Q24" s="1350"/>
      <c r="R24" s="1351"/>
      <c r="S24" s="1352"/>
      <c r="T24" s="1351"/>
      <c r="U24" s="1352"/>
      <c r="V24" s="1351"/>
      <c r="W24" s="1352"/>
      <c r="X24" s="1339"/>
      <c r="Y24" s="359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599"/>
      <c r="Q25" s="1350">
        <f>B25</f>
        <v>111</v>
      </c>
      <c r="R25" s="1351" t="s">
        <v>65</v>
      </c>
      <c r="S25" s="1352">
        <f>F25</f>
        <v>100</v>
      </c>
      <c r="T25" s="1351" t="s">
        <v>65</v>
      </c>
      <c r="U25" s="1352">
        <f>H25</f>
        <v>100</v>
      </c>
      <c r="V25" s="1351" t="s">
        <v>65</v>
      </c>
      <c r="W25" s="1352">
        <f>J25</f>
        <v>100</v>
      </c>
      <c r="X25" s="1339"/>
      <c r="Y25" s="359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599"/>
      <c r="Q26" s="1350">
        <f t="shared" ref="Q26:Q40" si="11">B26</f>
        <v>111</v>
      </c>
      <c r="R26" s="1351" t="s">
        <v>65</v>
      </c>
      <c r="S26" s="1352">
        <f>F26</f>
        <v>100</v>
      </c>
      <c r="T26" s="1351" t="s">
        <v>65</v>
      </c>
      <c r="U26" s="1352">
        <f>H26</f>
        <v>100</v>
      </c>
      <c r="V26" s="1351" t="s">
        <v>65</v>
      </c>
      <c r="W26" s="1352">
        <f>J26</f>
        <v>100</v>
      </c>
      <c r="X26" s="1339"/>
      <c r="Y26" s="359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599"/>
      <c r="Q27" s="7">
        <f t="shared" si="11"/>
        <v>111</v>
      </c>
      <c r="R27" s="1341" t="s">
        <v>65</v>
      </c>
      <c r="S27" s="1342">
        <f>F27</f>
        <v>100</v>
      </c>
      <c r="T27" s="1341" t="s">
        <v>65</v>
      </c>
      <c r="U27" s="1342">
        <f>H27</f>
        <v>100</v>
      </c>
      <c r="V27" s="1341" t="s">
        <v>65</v>
      </c>
      <c r="W27" s="1342">
        <f>J27</f>
        <v>100</v>
      </c>
      <c r="X27" s="287"/>
      <c r="Y27" s="359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599"/>
      <c r="Q28" s="1350">
        <f t="shared" si="11"/>
        <v>111</v>
      </c>
      <c r="R28" s="1351" t="s">
        <v>65</v>
      </c>
      <c r="S28" s="1352">
        <f t="shared" ref="S28:S40" si="12">F28</f>
        <v>100</v>
      </c>
      <c r="T28" s="1351" t="s">
        <v>65</v>
      </c>
      <c r="U28" s="1352">
        <f t="shared" ref="U28:U40" si="13">H28</f>
        <v>100</v>
      </c>
      <c r="V28" s="1351" t="s">
        <v>65</v>
      </c>
      <c r="W28" s="1352">
        <f t="shared" ref="W28:W40" si="14">J28</f>
        <v>100</v>
      </c>
      <c r="X28" s="1339"/>
      <c r="Y28" s="3599"/>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54" t="s">
        <v>1124</v>
      </c>
      <c r="Q29" s="1350" t="str">
        <f t="shared" si="11"/>
        <v>建筑类型</v>
      </c>
      <c r="R29" s="1351" t="s">
        <v>65</v>
      </c>
      <c r="S29" s="1352">
        <f t="shared" si="12"/>
        <v>100</v>
      </c>
      <c r="T29" s="1351" t="s">
        <v>65</v>
      </c>
      <c r="U29" s="1352">
        <f t="shared" si="13"/>
        <v>100</v>
      </c>
      <c r="V29" s="1351" t="s">
        <v>65</v>
      </c>
      <c r="W29" s="1352">
        <f t="shared" si="14"/>
        <v>100</v>
      </c>
      <c r="X29" s="1339"/>
      <c r="Y29" s="3603"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03"/>
      <c r="Q30" s="1358" t="str">
        <f t="shared" si="11"/>
        <v>项目建筑规模</v>
      </c>
      <c r="R30" s="1359" t="s">
        <v>65</v>
      </c>
      <c r="S30" s="1360" t="e">
        <f t="shared" si="12"/>
        <v>#N/A</v>
      </c>
      <c r="T30" s="1359" t="s">
        <v>65</v>
      </c>
      <c r="U30" s="1360" t="e">
        <f t="shared" si="13"/>
        <v>#N/A</v>
      </c>
      <c r="V30" s="1359" t="s">
        <v>65</v>
      </c>
      <c r="W30" s="1360" t="e">
        <f t="shared" si="14"/>
        <v>#N/A</v>
      </c>
      <c r="X30" s="1361"/>
      <c r="Y30" s="360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03"/>
      <c r="Q31" s="1350" t="str">
        <f t="shared" si="11"/>
        <v>建筑结构</v>
      </c>
      <c r="R31" s="1351" t="s">
        <v>65</v>
      </c>
      <c r="S31" s="1352">
        <f t="shared" si="12"/>
        <v>100</v>
      </c>
      <c r="T31" s="1351" t="s">
        <v>65</v>
      </c>
      <c r="U31" s="1352">
        <f t="shared" si="13"/>
        <v>100</v>
      </c>
      <c r="V31" s="1351" t="s">
        <v>65</v>
      </c>
      <c r="W31" s="1352">
        <f t="shared" si="14"/>
        <v>100</v>
      </c>
      <c r="X31" s="1339"/>
      <c r="Y31" s="3603"/>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03"/>
      <c r="Q32" s="1350" t="str">
        <f t="shared" si="11"/>
        <v>公共部分装修</v>
      </c>
      <c r="R32" s="1351" t="s">
        <v>65</v>
      </c>
      <c r="S32" s="1352">
        <f t="shared" si="12"/>
        <v>100</v>
      </c>
      <c r="T32" s="1351" t="s">
        <v>65</v>
      </c>
      <c r="U32" s="1352">
        <f t="shared" si="13"/>
        <v>100</v>
      </c>
      <c r="V32" s="1351" t="s">
        <v>65</v>
      </c>
      <c r="W32" s="1352">
        <f t="shared" si="14"/>
        <v>100</v>
      </c>
      <c r="X32" s="1339"/>
      <c r="Y32" s="3603"/>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03"/>
      <c r="Q33" s="1350" t="str">
        <f t="shared" si="11"/>
        <v>成新度</v>
      </c>
      <c r="R33" s="1351" t="s">
        <v>65</v>
      </c>
      <c r="S33" s="1352" t="e">
        <f t="shared" si="12"/>
        <v>#N/A</v>
      </c>
      <c r="T33" s="1351" t="s">
        <v>65</v>
      </c>
      <c r="U33" s="1352" t="e">
        <f t="shared" si="13"/>
        <v>#N/A</v>
      </c>
      <c r="V33" s="1351" t="s">
        <v>65</v>
      </c>
      <c r="W33" s="1352" t="e">
        <f t="shared" si="14"/>
        <v>#N/A</v>
      </c>
      <c r="X33" s="1339"/>
      <c r="Y33" s="3603"/>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03"/>
      <c r="Q34" s="7" t="str">
        <f t="shared" si="11"/>
        <v>物业管理</v>
      </c>
      <c r="R34" s="1341" t="s">
        <v>65</v>
      </c>
      <c r="S34" s="1342">
        <f t="shared" si="12"/>
        <v>100</v>
      </c>
      <c r="T34" s="1341" t="s">
        <v>65</v>
      </c>
      <c r="U34" s="1342">
        <f t="shared" si="13"/>
        <v>100</v>
      </c>
      <c r="V34" s="1341" t="s">
        <v>65</v>
      </c>
      <c r="W34" s="1342">
        <f t="shared" si="14"/>
        <v>100</v>
      </c>
      <c r="X34" s="287"/>
      <c r="Y34" s="3603"/>
      <c r="Z34" s="288" t="str">
        <f t="shared" si="15"/>
        <v>物业管理</v>
      </c>
      <c r="AA34" s="1343">
        <f t="shared" si="3"/>
        <v>1</v>
      </c>
      <c r="AB34" s="1343">
        <f t="shared" si="4"/>
        <v>1</v>
      </c>
      <c r="AC34" s="1343">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03" t="s">
        <v>70</v>
      </c>
      <c r="Q35" s="1350" t="str">
        <f t="shared" si="11"/>
        <v>市政基础设施</v>
      </c>
      <c r="R35" s="1351" t="s">
        <v>65</v>
      </c>
      <c r="S35" s="1352">
        <f t="shared" si="12"/>
        <v>100</v>
      </c>
      <c r="T35" s="1351" t="s">
        <v>65</v>
      </c>
      <c r="U35" s="1352">
        <f t="shared" si="13"/>
        <v>100</v>
      </c>
      <c r="V35" s="1351" t="s">
        <v>65</v>
      </c>
      <c r="W35" s="1352">
        <f t="shared" si="14"/>
        <v>100</v>
      </c>
      <c r="X35" s="1339"/>
      <c r="Y35" s="360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03"/>
      <c r="Q36" s="1350" t="str">
        <f t="shared" si="11"/>
        <v>内部装修</v>
      </c>
      <c r="R36" s="1351" t="s">
        <v>65</v>
      </c>
      <c r="S36" s="1352">
        <f t="shared" si="12"/>
        <v>100</v>
      </c>
      <c r="T36" s="1351" t="s">
        <v>65</v>
      </c>
      <c r="U36" s="1352">
        <f t="shared" si="13"/>
        <v>100</v>
      </c>
      <c r="V36" s="1351" t="s">
        <v>65</v>
      </c>
      <c r="W36" s="1352">
        <f t="shared" si="14"/>
        <v>100</v>
      </c>
      <c r="X36" s="1339"/>
      <c r="Y36" s="3603"/>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03"/>
      <c r="Q37" s="1350" t="str">
        <f t="shared" si="11"/>
        <v>内部装修状况</v>
      </c>
      <c r="R37" s="1351" t="s">
        <v>65</v>
      </c>
      <c r="S37" s="1352">
        <f t="shared" si="12"/>
        <v>100</v>
      </c>
      <c r="T37" s="1351" t="s">
        <v>65</v>
      </c>
      <c r="U37" s="1352">
        <f t="shared" si="13"/>
        <v>100</v>
      </c>
      <c r="V37" s="1351" t="s">
        <v>65</v>
      </c>
      <c r="W37" s="1352">
        <f t="shared" si="14"/>
        <v>100</v>
      </c>
      <c r="X37" s="1339"/>
      <c r="Y37" s="360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03"/>
      <c r="Q38" s="1358">
        <f t="shared" si="11"/>
        <v>111</v>
      </c>
      <c r="R38" s="1359" t="s">
        <v>65</v>
      </c>
      <c r="S38" s="1360">
        <f t="shared" si="12"/>
        <v>100</v>
      </c>
      <c r="T38" s="1359" t="s">
        <v>65</v>
      </c>
      <c r="U38" s="1360">
        <f t="shared" si="13"/>
        <v>100</v>
      </c>
      <c r="V38" s="1359" t="s">
        <v>65</v>
      </c>
      <c r="W38" s="1360">
        <f t="shared" si="14"/>
        <v>100</v>
      </c>
      <c r="X38" s="1361"/>
      <c r="Y38" s="360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03"/>
      <c r="Q39" s="1350">
        <f t="shared" si="11"/>
        <v>111</v>
      </c>
      <c r="R39" s="1351" t="s">
        <v>65</v>
      </c>
      <c r="S39" s="1352">
        <f t="shared" si="12"/>
        <v>100</v>
      </c>
      <c r="T39" s="1351" t="s">
        <v>65</v>
      </c>
      <c r="U39" s="1352">
        <f t="shared" si="13"/>
        <v>100</v>
      </c>
      <c r="V39" s="1351" t="s">
        <v>65</v>
      </c>
      <c r="W39" s="1352">
        <f t="shared" si="14"/>
        <v>100</v>
      </c>
      <c r="X39" s="1339"/>
      <c r="Y39" s="360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04"/>
      <c r="Q40" s="1350">
        <f t="shared" si="11"/>
        <v>111</v>
      </c>
      <c r="R40" s="1351" t="s">
        <v>65</v>
      </c>
      <c r="S40" s="1352">
        <f t="shared" si="12"/>
        <v>100</v>
      </c>
      <c r="T40" s="1351" t="s">
        <v>65</v>
      </c>
      <c r="U40" s="1352">
        <f t="shared" si="13"/>
        <v>100</v>
      </c>
      <c r="V40" s="1351" t="s">
        <v>65</v>
      </c>
      <c r="W40" s="1352">
        <f t="shared" si="14"/>
        <v>100</v>
      </c>
      <c r="X40" s="1339"/>
      <c r="Y40" s="3604"/>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596" t="str">
        <f>A41</f>
        <v>成交单价（元/平方米）</v>
      </c>
      <c r="Q41" s="3596"/>
      <c r="R41" s="3597">
        <f>E41</f>
        <v>0</v>
      </c>
      <c r="S41" s="3597"/>
      <c r="T41" s="3597">
        <f>G41</f>
        <v>0</v>
      </c>
      <c r="U41" s="3597"/>
      <c r="V41" s="3597">
        <f>I41</f>
        <v>0</v>
      </c>
      <c r="W41" s="3597"/>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1364"/>
      <c r="Y42" s="1364"/>
      <c r="Z42" s="1364"/>
      <c r="AA42" s="1364"/>
      <c r="AB42" s="1364"/>
      <c r="AC42" s="1364"/>
    </row>
    <row r="43" spans="1:29" ht="15.75" thickBot="1">
      <c r="A43" s="115" t="s">
        <v>3002</v>
      </c>
      <c r="B43" s="116"/>
      <c r="C43" s="2841" t="e">
        <f>R43</f>
        <v>#DIV/0!</v>
      </c>
      <c r="D43" s="2841"/>
      <c r="E43" s="2841"/>
      <c r="F43" s="2841"/>
      <c r="G43" s="2841"/>
      <c r="H43" s="2841"/>
      <c r="I43" s="2841"/>
      <c r="J43" s="2841"/>
      <c r="K43" s="1394"/>
      <c r="L43" s="2301"/>
      <c r="M43" s="2302"/>
      <c r="N43" s="2302"/>
      <c r="O43" s="2302"/>
      <c r="P43" s="3593" t="str">
        <f>A43</f>
        <v>估价对象XX用房的比较价值（楼面单价，元/平方米）</v>
      </c>
      <c r="Q43" s="3594"/>
      <c r="R43" s="3595" t="e">
        <f>IF(F1="售价",ROUND(AVERAGE(R42:V42),0),ROUND(AVERAGE(R42:V42),1))</f>
        <v>#DIV/0!</v>
      </c>
      <c r="S43" s="3595"/>
      <c r="T43" s="3595"/>
      <c r="U43" s="3595"/>
      <c r="V43" s="3595"/>
      <c r="W43" s="3595"/>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2782</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2852</v>
      </c>
    </row>
    <row r="9" spans="1:1" ht="18.75">
      <c r="A9" s="3050" t="s">
        <v>2859</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2893</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2853</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67" t="s">
        <v>450</v>
      </c>
      <c r="D4" s="3668"/>
      <c r="E4" s="3669" t="s">
        <v>451</v>
      </c>
      <c r="F4" s="3670"/>
      <c r="G4" s="3667" t="s">
        <v>452</v>
      </c>
      <c r="H4" s="3668"/>
      <c r="I4" s="3667" t="s">
        <v>453</v>
      </c>
      <c r="J4" s="3668"/>
      <c r="K4" s="952" t="s">
        <v>454</v>
      </c>
      <c r="L4" s="2346"/>
      <c r="M4" s="2347"/>
      <c r="N4" s="2347"/>
      <c r="O4" s="2347"/>
      <c r="P4" s="3671" t="s">
        <v>455</v>
      </c>
      <c r="Q4" s="3672"/>
      <c r="R4" s="3677" t="s">
        <v>451</v>
      </c>
      <c r="S4" s="3678"/>
      <c r="T4" s="3677" t="s">
        <v>452</v>
      </c>
      <c r="U4" s="3678"/>
      <c r="V4" s="3683" t="s">
        <v>453</v>
      </c>
      <c r="W4" s="3683"/>
      <c r="X4" s="2828"/>
      <c r="Y4" s="3677" t="s">
        <v>455</v>
      </c>
      <c r="Z4" s="3678"/>
      <c r="AA4" s="3664" t="s">
        <v>451</v>
      </c>
      <c r="AB4" s="3665" t="s">
        <v>452</v>
      </c>
      <c r="AC4" s="3664" t="s">
        <v>453</v>
      </c>
    </row>
    <row r="5" spans="1:29" ht="15">
      <c r="A5" s="746"/>
      <c r="B5" s="747"/>
      <c r="C5" s="3686" t="s">
        <v>3003</v>
      </c>
      <c r="D5" s="3687"/>
      <c r="E5" s="3693" t="s">
        <v>3004</v>
      </c>
      <c r="F5" s="3694"/>
      <c r="G5" s="3686" t="s">
        <v>3005</v>
      </c>
      <c r="H5" s="3687"/>
      <c r="I5" s="3686" t="s">
        <v>3006</v>
      </c>
      <c r="J5" s="3687"/>
      <c r="K5" s="952"/>
      <c r="L5" s="2346"/>
      <c r="M5" s="2347"/>
      <c r="N5" s="2347"/>
      <c r="O5" s="2347"/>
      <c r="P5" s="3673"/>
      <c r="Q5" s="3674"/>
      <c r="R5" s="3679"/>
      <c r="S5" s="3680"/>
      <c r="T5" s="3679"/>
      <c r="U5" s="3680"/>
      <c r="V5" s="3683"/>
      <c r="W5" s="3683"/>
      <c r="X5" s="2828"/>
      <c r="Y5" s="3679"/>
      <c r="Z5" s="3680"/>
      <c r="AA5" s="3665"/>
      <c r="AB5" s="3665"/>
      <c r="AC5" s="3665"/>
    </row>
    <row r="6" spans="1:29" ht="15.75" thickBot="1">
      <c r="A6" s="748"/>
      <c r="B6" s="749"/>
      <c r="C6" s="3684" t="s">
        <v>3007</v>
      </c>
      <c r="D6" s="3685"/>
      <c r="E6" s="3691" t="s">
        <v>3007</v>
      </c>
      <c r="F6" s="3692"/>
      <c r="G6" s="3684" t="s">
        <v>3007</v>
      </c>
      <c r="H6" s="3685"/>
      <c r="I6" s="3684" t="s">
        <v>3007</v>
      </c>
      <c r="J6" s="3685"/>
      <c r="K6" s="952" t="s">
        <v>397</v>
      </c>
      <c r="L6" s="2346"/>
      <c r="M6" s="2347"/>
      <c r="N6" s="2347"/>
      <c r="O6" s="2347"/>
      <c r="P6" s="3675"/>
      <c r="Q6" s="3676"/>
      <c r="R6" s="3679"/>
      <c r="S6" s="3680"/>
      <c r="T6" s="3681"/>
      <c r="U6" s="3682"/>
      <c r="V6" s="3683"/>
      <c r="W6" s="3683"/>
      <c r="X6" s="2828"/>
      <c r="Y6" s="3681"/>
      <c r="Z6" s="3682"/>
      <c r="AA6" s="3666"/>
      <c r="AB6" s="3666"/>
      <c r="AC6" s="3666"/>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88" t="s">
        <v>399</v>
      </c>
      <c r="Q7" s="3690"/>
      <c r="R7" s="1318" t="s">
        <v>65</v>
      </c>
      <c r="S7" s="1319">
        <f t="shared" ref="S7:S14" si="0">F7</f>
        <v>0</v>
      </c>
      <c r="T7" s="1318" t="s">
        <v>65</v>
      </c>
      <c r="U7" s="1319">
        <f t="shared" ref="U7:U14" si="1">H7</f>
        <v>0</v>
      </c>
      <c r="V7" s="1318" t="s">
        <v>65</v>
      </c>
      <c r="W7" s="1319">
        <f t="shared" ref="W7:W14" si="2">J7</f>
        <v>0</v>
      </c>
      <c r="X7" s="1320"/>
      <c r="Y7" s="3688" t="s">
        <v>399</v>
      </c>
      <c r="Z7" s="3689"/>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88" t="s">
        <v>435</v>
      </c>
      <c r="Q8" s="3689"/>
      <c r="R8" s="1318" t="s">
        <v>65</v>
      </c>
      <c r="S8" s="1319">
        <f t="shared" si="0"/>
        <v>0</v>
      </c>
      <c r="T8" s="1318" t="s">
        <v>65</v>
      </c>
      <c r="U8" s="1319">
        <f t="shared" si="1"/>
        <v>0</v>
      </c>
      <c r="V8" s="1318" t="s">
        <v>65</v>
      </c>
      <c r="W8" s="1319">
        <f t="shared" si="2"/>
        <v>0</v>
      </c>
      <c r="X8" s="1320"/>
      <c r="Y8" s="3688" t="s">
        <v>435</v>
      </c>
      <c r="Z8" s="3689"/>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55" t="s">
        <v>402</v>
      </c>
      <c r="Q9" s="2827" t="str">
        <f t="shared" ref="Q9:Q14" si="6">B9</f>
        <v>用途</v>
      </c>
      <c r="R9" s="1318" t="s">
        <v>65</v>
      </c>
      <c r="S9" s="1319">
        <f t="shared" si="0"/>
        <v>100</v>
      </c>
      <c r="T9" s="1318" t="s">
        <v>65</v>
      </c>
      <c r="U9" s="1319">
        <f t="shared" si="1"/>
        <v>100</v>
      </c>
      <c r="V9" s="1318" t="s">
        <v>65</v>
      </c>
      <c r="W9" s="1319">
        <f t="shared" si="2"/>
        <v>100</v>
      </c>
      <c r="X9" s="1320"/>
      <c r="Y9" s="3461"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55"/>
      <c r="Q10" s="2827" t="str">
        <f t="shared" si="6"/>
        <v>土地使用年限（年）</v>
      </c>
      <c r="R10" s="1318" t="s">
        <v>65</v>
      </c>
      <c r="S10" s="1319">
        <f t="shared" si="0"/>
        <v>100</v>
      </c>
      <c r="T10" s="1318" t="s">
        <v>65</v>
      </c>
      <c r="U10" s="1319">
        <f t="shared" si="1"/>
        <v>100</v>
      </c>
      <c r="V10" s="1318" t="s">
        <v>65</v>
      </c>
      <c r="W10" s="1319">
        <f t="shared" si="2"/>
        <v>100</v>
      </c>
      <c r="X10" s="1320"/>
      <c r="Y10" s="3461"/>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55"/>
      <c r="Q11" s="2827">
        <f t="shared" si="6"/>
        <v>111</v>
      </c>
      <c r="R11" s="1318" t="s">
        <v>65</v>
      </c>
      <c r="S11" s="1319">
        <f t="shared" si="0"/>
        <v>100</v>
      </c>
      <c r="T11" s="1318" t="s">
        <v>65</v>
      </c>
      <c r="U11" s="1319">
        <f t="shared" si="1"/>
        <v>100</v>
      </c>
      <c r="V11" s="1318" t="s">
        <v>65</v>
      </c>
      <c r="W11" s="1319">
        <f t="shared" si="2"/>
        <v>100</v>
      </c>
      <c r="X11" s="1320"/>
      <c r="Y11" s="3461"/>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55"/>
      <c r="Q12" s="2827">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55"/>
      <c r="Q13" s="2827">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60" t="s">
        <v>407</v>
      </c>
      <c r="Q14" s="2829" t="str">
        <f t="shared" si="6"/>
        <v>交通便捷度</v>
      </c>
      <c r="R14" s="1323" t="s">
        <v>65</v>
      </c>
      <c r="S14" s="1324">
        <f t="shared" si="0"/>
        <v>100</v>
      </c>
      <c r="T14" s="1323" t="s">
        <v>65</v>
      </c>
      <c r="U14" s="1324">
        <f t="shared" si="1"/>
        <v>100</v>
      </c>
      <c r="V14" s="1323" t="s">
        <v>65</v>
      </c>
      <c r="W14" s="1324">
        <f t="shared" si="2"/>
        <v>100</v>
      </c>
      <c r="X14" s="2828"/>
      <c r="Y14" s="3660"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61"/>
      <c r="Q15" s="2829"/>
      <c r="R15" s="1323"/>
      <c r="S15" s="1324"/>
      <c r="T15" s="1323"/>
      <c r="U15" s="1324"/>
      <c r="V15" s="1323"/>
      <c r="W15" s="1324"/>
      <c r="X15" s="2828"/>
      <c r="Y15" s="3661"/>
      <c r="Z15" s="2830"/>
      <c r="AA15" s="1326">
        <v>1</v>
      </c>
      <c r="AB15" s="1326">
        <v>1</v>
      </c>
      <c r="AC15" s="1326">
        <v>1</v>
      </c>
    </row>
    <row r="16" spans="1:29" ht="15">
      <c r="A16" s="746"/>
      <c r="B16" s="1033" t="s">
        <v>2654</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61"/>
      <c r="Q16" s="2829" t="str">
        <f>B16</f>
        <v>公共配套设施</v>
      </c>
      <c r="R16" s="1323" t="s">
        <v>65</v>
      </c>
      <c r="S16" s="1324">
        <f>F16</f>
        <v>100</v>
      </c>
      <c r="T16" s="1323" t="s">
        <v>65</v>
      </c>
      <c r="U16" s="1324">
        <f>H16</f>
        <v>100</v>
      </c>
      <c r="V16" s="1323" t="s">
        <v>65</v>
      </c>
      <c r="W16" s="1324">
        <f>J16</f>
        <v>100</v>
      </c>
      <c r="X16" s="2828"/>
      <c r="Y16" s="3661"/>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61"/>
      <c r="Q17" s="2829"/>
      <c r="R17" s="1323"/>
      <c r="S17" s="1324"/>
      <c r="T17" s="1323"/>
      <c r="U17" s="1324"/>
      <c r="V17" s="1323"/>
      <c r="W17" s="1324"/>
      <c r="X17" s="2828"/>
      <c r="Y17" s="3661"/>
      <c r="Z17" s="2830"/>
      <c r="AA17" s="1326">
        <v>1</v>
      </c>
      <c r="AB17" s="1326">
        <v>1</v>
      </c>
      <c r="AC17" s="1326">
        <v>1</v>
      </c>
    </row>
    <row r="18" spans="1:29" ht="15">
      <c r="A18" s="746"/>
      <c r="B18" s="1035" t="s">
        <v>2653</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61"/>
      <c r="Q18" s="2829" t="str">
        <f>B18</f>
        <v>基础设施水平</v>
      </c>
      <c r="R18" s="1323" t="s">
        <v>65</v>
      </c>
      <c r="S18" s="1324">
        <f>F18</f>
        <v>100</v>
      </c>
      <c r="T18" s="1323" t="s">
        <v>65</v>
      </c>
      <c r="U18" s="1324">
        <f>H18</f>
        <v>100</v>
      </c>
      <c r="V18" s="1323" t="s">
        <v>65</v>
      </c>
      <c r="W18" s="1324">
        <f>J18</f>
        <v>100</v>
      </c>
      <c r="X18" s="2828"/>
      <c r="Y18" s="3661"/>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61"/>
      <c r="Q19" s="2829"/>
      <c r="R19" s="1323"/>
      <c r="S19" s="1324"/>
      <c r="T19" s="1323"/>
      <c r="U19" s="1324"/>
      <c r="V19" s="1323"/>
      <c r="W19" s="1324"/>
      <c r="X19" s="2828"/>
      <c r="Y19" s="3661"/>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61"/>
      <c r="Q20" s="2829" t="str">
        <f>B20</f>
        <v>自然及人文环境</v>
      </c>
      <c r="R20" s="1323" t="s">
        <v>65</v>
      </c>
      <c r="S20" s="1324">
        <f>F20</f>
        <v>100</v>
      </c>
      <c r="T20" s="1323" t="s">
        <v>65</v>
      </c>
      <c r="U20" s="1324">
        <f>H20</f>
        <v>100</v>
      </c>
      <c r="V20" s="1323" t="s">
        <v>65</v>
      </c>
      <c r="W20" s="1324">
        <f>J20</f>
        <v>100</v>
      </c>
      <c r="X20" s="2828"/>
      <c r="Y20" s="3661"/>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61"/>
      <c r="Q21" s="2829"/>
      <c r="R21" s="1323"/>
      <c r="S21" s="1324"/>
      <c r="T21" s="1323"/>
      <c r="U21" s="1324"/>
      <c r="V21" s="1323"/>
      <c r="W21" s="1324"/>
      <c r="X21" s="2828"/>
      <c r="Y21" s="3661"/>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61"/>
      <c r="Q22" s="2829" t="str">
        <f>B22</f>
        <v>楼层</v>
      </c>
      <c r="R22" s="1323" t="s">
        <v>65</v>
      </c>
      <c r="S22" s="1324">
        <f>F22</f>
        <v>100</v>
      </c>
      <c r="T22" s="1323" t="s">
        <v>65</v>
      </c>
      <c r="U22" s="1324">
        <f>H22</f>
        <v>100</v>
      </c>
      <c r="V22" s="1323" t="s">
        <v>65</v>
      </c>
      <c r="W22" s="1324">
        <f>J22</f>
        <v>100</v>
      </c>
      <c r="X22" s="2828"/>
      <c r="Y22" s="3661"/>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61"/>
      <c r="Q23" s="2829">
        <f>B23</f>
        <v>111</v>
      </c>
      <c r="R23" s="1323" t="s">
        <v>65</v>
      </c>
      <c r="S23" s="1324">
        <f>F23</f>
        <v>100</v>
      </c>
      <c r="T23" s="1323" t="s">
        <v>65</v>
      </c>
      <c r="U23" s="1324">
        <f>H23</f>
        <v>100</v>
      </c>
      <c r="V23" s="1323" t="s">
        <v>65</v>
      </c>
      <c r="W23" s="1324">
        <f>J23</f>
        <v>100</v>
      </c>
      <c r="X23" s="2828"/>
      <c r="Y23" s="3661"/>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61"/>
      <c r="Q24" s="2829">
        <f t="shared" ref="Q24:Q36" si="11">B24</f>
        <v>111</v>
      </c>
      <c r="R24" s="1323" t="s">
        <v>65</v>
      </c>
      <c r="S24" s="1324">
        <f>F24</f>
        <v>100</v>
      </c>
      <c r="T24" s="1323" t="s">
        <v>65</v>
      </c>
      <c r="U24" s="1324">
        <f>H24</f>
        <v>100</v>
      </c>
      <c r="V24" s="1323" t="s">
        <v>65</v>
      </c>
      <c r="W24" s="1324">
        <f>J24</f>
        <v>100</v>
      </c>
      <c r="X24" s="2828"/>
      <c r="Y24" s="3661"/>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61"/>
      <c r="Q25" s="2827">
        <f t="shared" si="11"/>
        <v>111</v>
      </c>
      <c r="R25" s="1318" t="s">
        <v>65</v>
      </c>
      <c r="S25" s="1319">
        <f>F25</f>
        <v>100</v>
      </c>
      <c r="T25" s="1318" t="s">
        <v>65</v>
      </c>
      <c r="U25" s="1319">
        <f>H25</f>
        <v>100</v>
      </c>
      <c r="V25" s="1318" t="s">
        <v>65</v>
      </c>
      <c r="W25" s="1319">
        <f>J25</f>
        <v>100</v>
      </c>
      <c r="X25" s="1320"/>
      <c r="Y25" s="3661"/>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62"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63"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63"/>
      <c r="Q27" s="1327" t="str">
        <f t="shared" si="11"/>
        <v>项目停车位配比</v>
      </c>
      <c r="R27" s="1328" t="s">
        <v>65</v>
      </c>
      <c r="S27" s="1329">
        <f t="shared" si="12"/>
        <v>100</v>
      </c>
      <c r="T27" s="1328" t="s">
        <v>65</v>
      </c>
      <c r="U27" s="1329">
        <f t="shared" si="13"/>
        <v>100</v>
      </c>
      <c r="V27" s="1328" t="s">
        <v>65</v>
      </c>
      <c r="W27" s="1329">
        <f t="shared" si="14"/>
        <v>100</v>
      </c>
      <c r="X27" s="1330"/>
      <c r="Y27" s="3663"/>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63"/>
      <c r="Q28" s="2829" t="str">
        <f t="shared" si="11"/>
        <v>公共部分装修</v>
      </c>
      <c r="R28" s="1323" t="s">
        <v>65</v>
      </c>
      <c r="S28" s="1324">
        <f t="shared" si="12"/>
        <v>100</v>
      </c>
      <c r="T28" s="1323" t="s">
        <v>65</v>
      </c>
      <c r="U28" s="1324">
        <f t="shared" si="13"/>
        <v>100</v>
      </c>
      <c r="V28" s="1323" t="s">
        <v>65</v>
      </c>
      <c r="W28" s="1324">
        <f t="shared" si="14"/>
        <v>100</v>
      </c>
      <c r="X28" s="2828"/>
      <c r="Y28" s="3663"/>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63"/>
      <c r="Q29" s="2829" t="str">
        <f t="shared" si="11"/>
        <v>成新率</v>
      </c>
      <c r="R29" s="1323" t="s">
        <v>65</v>
      </c>
      <c r="S29" s="1324" t="e">
        <f t="shared" si="12"/>
        <v>#N/A</v>
      </c>
      <c r="T29" s="1323" t="s">
        <v>65</v>
      </c>
      <c r="U29" s="1324" t="e">
        <f t="shared" si="13"/>
        <v>#N/A</v>
      </c>
      <c r="V29" s="1323" t="s">
        <v>65</v>
      </c>
      <c r="W29" s="1324" t="e">
        <f t="shared" si="14"/>
        <v>#N/A</v>
      </c>
      <c r="X29" s="2828"/>
      <c r="Y29" s="3663"/>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63"/>
      <c r="Q30" s="2829" t="str">
        <f t="shared" si="11"/>
        <v>物业等级</v>
      </c>
      <c r="R30" s="1323" t="s">
        <v>65</v>
      </c>
      <c r="S30" s="1324">
        <f t="shared" si="12"/>
        <v>100</v>
      </c>
      <c r="T30" s="1323" t="s">
        <v>65</v>
      </c>
      <c r="U30" s="1324">
        <f t="shared" si="13"/>
        <v>100</v>
      </c>
      <c r="V30" s="1323" t="s">
        <v>65</v>
      </c>
      <c r="W30" s="1324">
        <f t="shared" si="14"/>
        <v>100</v>
      </c>
      <c r="X30" s="2828"/>
      <c r="Y30" s="3663"/>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63"/>
      <c r="Q31" s="2827" t="str">
        <f t="shared" si="11"/>
        <v>停车位面积</v>
      </c>
      <c r="R31" s="1318" t="s">
        <v>65</v>
      </c>
      <c r="S31" s="1319" t="e">
        <f t="shared" si="12"/>
        <v>#N/A</v>
      </c>
      <c r="T31" s="1318" t="s">
        <v>65</v>
      </c>
      <c r="U31" s="1319" t="e">
        <f t="shared" si="13"/>
        <v>#N/A</v>
      </c>
      <c r="V31" s="1318" t="s">
        <v>65</v>
      </c>
      <c r="W31" s="1319" t="e">
        <f t="shared" si="14"/>
        <v>#N/A</v>
      </c>
      <c r="X31" s="1320"/>
      <c r="Y31" s="3663"/>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63" t="s">
        <v>409</v>
      </c>
      <c r="Q32" s="2829" t="str">
        <f t="shared" si="11"/>
        <v>车位类型</v>
      </c>
      <c r="R32" s="1323" t="s">
        <v>65</v>
      </c>
      <c r="S32" s="1324">
        <f t="shared" si="12"/>
        <v>100</v>
      </c>
      <c r="T32" s="1323" t="s">
        <v>65</v>
      </c>
      <c r="U32" s="1324">
        <f t="shared" si="13"/>
        <v>100</v>
      </c>
      <c r="V32" s="1323" t="s">
        <v>65</v>
      </c>
      <c r="W32" s="1324">
        <f t="shared" si="14"/>
        <v>100</v>
      </c>
      <c r="X32" s="2828"/>
      <c r="Y32" s="3663"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63"/>
      <c r="Q33" s="2829" t="str">
        <f t="shared" si="11"/>
        <v>是否直接入户</v>
      </c>
      <c r="R33" s="1323" t="s">
        <v>65</v>
      </c>
      <c r="S33" s="1324">
        <f t="shared" si="12"/>
        <v>100</v>
      </c>
      <c r="T33" s="1323" t="s">
        <v>65</v>
      </c>
      <c r="U33" s="1324">
        <f t="shared" si="13"/>
        <v>100</v>
      </c>
      <c r="V33" s="1323" t="s">
        <v>65</v>
      </c>
      <c r="W33" s="1324">
        <f t="shared" si="14"/>
        <v>100</v>
      </c>
      <c r="X33" s="2828"/>
      <c r="Y33" s="3663"/>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63"/>
      <c r="Q34" s="2829">
        <f t="shared" si="11"/>
        <v>111</v>
      </c>
      <c r="R34" s="1323" t="s">
        <v>65</v>
      </c>
      <c r="S34" s="1324">
        <f t="shared" si="12"/>
        <v>100</v>
      </c>
      <c r="T34" s="1323" t="s">
        <v>65</v>
      </c>
      <c r="U34" s="1324">
        <f t="shared" si="13"/>
        <v>100</v>
      </c>
      <c r="V34" s="1323" t="s">
        <v>65</v>
      </c>
      <c r="W34" s="1324">
        <f t="shared" si="14"/>
        <v>100</v>
      </c>
      <c r="X34" s="2828"/>
      <c r="Y34" s="3663"/>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63"/>
      <c r="Q35" s="1327">
        <f t="shared" si="11"/>
        <v>111</v>
      </c>
      <c r="R35" s="1328" t="s">
        <v>65</v>
      </c>
      <c r="S35" s="1329">
        <f t="shared" si="12"/>
        <v>100</v>
      </c>
      <c r="T35" s="1328" t="s">
        <v>65</v>
      </c>
      <c r="U35" s="1329">
        <f t="shared" si="13"/>
        <v>100</v>
      </c>
      <c r="V35" s="1328" t="s">
        <v>65</v>
      </c>
      <c r="W35" s="1329">
        <f t="shared" si="14"/>
        <v>100</v>
      </c>
      <c r="X35" s="1330"/>
      <c r="Y35" s="3663"/>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63"/>
      <c r="Q36" s="2829">
        <f t="shared" si="11"/>
        <v>111</v>
      </c>
      <c r="R36" s="1323" t="s">
        <v>65</v>
      </c>
      <c r="S36" s="1324">
        <f t="shared" si="12"/>
        <v>100</v>
      </c>
      <c r="T36" s="1323" t="s">
        <v>65</v>
      </c>
      <c r="U36" s="1324">
        <f t="shared" si="13"/>
        <v>100</v>
      </c>
      <c r="V36" s="1323" t="s">
        <v>65</v>
      </c>
      <c r="W36" s="1324">
        <f t="shared" si="14"/>
        <v>100</v>
      </c>
      <c r="X36" s="2828"/>
      <c r="Y36" s="3663"/>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55" t="str">
        <f>A37</f>
        <v>成交单价</v>
      </c>
      <c r="Q37" s="3655"/>
      <c r="R37" s="3656">
        <f>E37</f>
        <v>0</v>
      </c>
      <c r="S37" s="3656"/>
      <c r="T37" s="3656">
        <f>G37</f>
        <v>0</v>
      </c>
      <c r="U37" s="3656"/>
      <c r="V37" s="3656">
        <f>I37</f>
        <v>0</v>
      </c>
      <c r="W37" s="3656"/>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306"/>
      <c r="Y38" s="1306"/>
      <c r="Z38" s="1306"/>
      <c r="AA38" s="1306"/>
      <c r="AB38" s="1306"/>
      <c r="AC38" s="1306"/>
    </row>
    <row r="39" spans="1:29" ht="15.75" thickBot="1">
      <c r="A39" s="834" t="s">
        <v>3008</v>
      </c>
      <c r="B39" s="835"/>
      <c r="C39" s="2841" t="e">
        <f>R39</f>
        <v>#DIV/0!</v>
      </c>
      <c r="D39" s="2841"/>
      <c r="E39" s="2841"/>
      <c r="F39" s="2841"/>
      <c r="G39" s="2841"/>
      <c r="H39" s="2841"/>
      <c r="I39" s="2841"/>
      <c r="J39" s="2841"/>
      <c r="K39" s="963"/>
      <c r="L39" s="2359"/>
      <c r="M39" s="2360"/>
      <c r="N39" s="2360"/>
      <c r="O39" s="2360"/>
      <c r="P39" s="3657" t="str">
        <f>A39</f>
        <v>估价对象XX用房的比较价值（楼面单价，元/平方米）</v>
      </c>
      <c r="Q39" s="3658"/>
      <c r="R39" s="3659" t="e">
        <f>IF(F1="售价",ROUND(AVERAGE(R38:V38),0),ROUND(AVERAGE(R38:V38),1))</f>
        <v>#DIV/0!</v>
      </c>
      <c r="S39" s="3659"/>
      <c r="T39" s="3659"/>
      <c r="U39" s="3659"/>
      <c r="V39" s="3659"/>
      <c r="W39" s="3659"/>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2782</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2625</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2655</v>
      </c>
      <c r="C67" s="213" t="s">
        <v>2645</v>
      </c>
      <c r="D67" s="213" t="s">
        <v>2646</v>
      </c>
      <c r="E67" s="213" t="s">
        <v>2647</v>
      </c>
      <c r="F67" s="213" t="s">
        <v>2648</v>
      </c>
      <c r="G67" s="213" t="s">
        <v>2649</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67" t="s">
        <v>450</v>
      </c>
      <c r="D4" s="3668"/>
      <c r="E4" s="3669" t="s">
        <v>451</v>
      </c>
      <c r="F4" s="3670"/>
      <c r="G4" s="3667" t="s">
        <v>452</v>
      </c>
      <c r="H4" s="3668"/>
      <c r="I4" s="3667" t="s">
        <v>453</v>
      </c>
      <c r="J4" s="3668"/>
      <c r="K4" s="952" t="s">
        <v>454</v>
      </c>
      <c r="L4" s="2346"/>
      <c r="M4" s="2347"/>
      <c r="N4" s="2347"/>
      <c r="O4" s="2347"/>
      <c r="P4" s="3671" t="s">
        <v>455</v>
      </c>
      <c r="Q4" s="3672"/>
      <c r="R4" s="3677" t="s">
        <v>451</v>
      </c>
      <c r="S4" s="3678"/>
      <c r="T4" s="3677" t="s">
        <v>452</v>
      </c>
      <c r="U4" s="3678"/>
      <c r="V4" s="3683" t="s">
        <v>453</v>
      </c>
      <c r="W4" s="3683"/>
      <c r="X4" s="1317"/>
      <c r="Y4" s="3677" t="s">
        <v>455</v>
      </c>
      <c r="Z4" s="3678"/>
      <c r="AA4" s="3664" t="s">
        <v>451</v>
      </c>
      <c r="AB4" s="3665" t="s">
        <v>452</v>
      </c>
      <c r="AC4" s="3664" t="s">
        <v>453</v>
      </c>
    </row>
    <row r="5" spans="1:29" ht="15">
      <c r="A5" s="746"/>
      <c r="B5" s="747"/>
      <c r="C5" s="3630" t="s">
        <v>1127</v>
      </c>
      <c r="D5" s="3631"/>
      <c r="E5" s="3637" t="s">
        <v>1128</v>
      </c>
      <c r="F5" s="3638"/>
      <c r="G5" s="3630" t="s">
        <v>61</v>
      </c>
      <c r="H5" s="3631"/>
      <c r="I5" s="3630" t="s">
        <v>1129</v>
      </c>
      <c r="J5" s="3631"/>
      <c r="K5" s="952"/>
      <c r="L5" s="2346"/>
      <c r="M5" s="2347"/>
      <c r="N5" s="2347"/>
      <c r="O5" s="2347"/>
      <c r="P5" s="3673"/>
      <c r="Q5" s="3674"/>
      <c r="R5" s="3679"/>
      <c r="S5" s="3680"/>
      <c r="T5" s="3679"/>
      <c r="U5" s="3680"/>
      <c r="V5" s="3683"/>
      <c r="W5" s="3683"/>
      <c r="X5" s="1317"/>
      <c r="Y5" s="3679"/>
      <c r="Z5" s="3680"/>
      <c r="AA5" s="3665"/>
      <c r="AB5" s="3665"/>
      <c r="AC5" s="3665"/>
    </row>
    <row r="6" spans="1:29" ht="15.75" thickBot="1">
      <c r="A6" s="748"/>
      <c r="B6" s="749"/>
      <c r="C6" s="3628" t="s">
        <v>1130</v>
      </c>
      <c r="D6" s="3629"/>
      <c r="E6" s="3635" t="s">
        <v>1130</v>
      </c>
      <c r="F6" s="3636"/>
      <c r="G6" s="3628" t="s">
        <v>1130</v>
      </c>
      <c r="H6" s="3629"/>
      <c r="I6" s="3628" t="s">
        <v>1130</v>
      </c>
      <c r="J6" s="3629"/>
      <c r="K6" s="952" t="s">
        <v>397</v>
      </c>
      <c r="L6" s="2346"/>
      <c r="M6" s="2347"/>
      <c r="N6" s="2347"/>
      <c r="O6" s="2347"/>
      <c r="P6" s="3675"/>
      <c r="Q6" s="3676"/>
      <c r="R6" s="3679"/>
      <c r="S6" s="3680"/>
      <c r="T6" s="3681"/>
      <c r="U6" s="3682"/>
      <c r="V6" s="3683"/>
      <c r="W6" s="3683"/>
      <c r="X6" s="1317"/>
      <c r="Y6" s="3681"/>
      <c r="Z6" s="3682"/>
      <c r="AA6" s="3666"/>
      <c r="AB6" s="3666"/>
      <c r="AC6" s="3666"/>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88" t="s">
        <v>399</v>
      </c>
      <c r="Q7" s="3690"/>
      <c r="R7" s="1318" t="s">
        <v>65</v>
      </c>
      <c r="S7" s="1319">
        <f t="shared" ref="S7:S14" si="0">F7</f>
        <v>0</v>
      </c>
      <c r="T7" s="1318" t="s">
        <v>65</v>
      </c>
      <c r="U7" s="1319">
        <f t="shared" ref="U7:U14" si="1">H7</f>
        <v>0</v>
      </c>
      <c r="V7" s="1318" t="s">
        <v>65</v>
      </c>
      <c r="W7" s="1319">
        <f t="shared" ref="W7:W14" si="2">J7</f>
        <v>0</v>
      </c>
      <c r="X7" s="1320"/>
      <c r="Y7" s="3688" t="s">
        <v>399</v>
      </c>
      <c r="Z7" s="3689"/>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88" t="s">
        <v>435</v>
      </c>
      <c r="Q8" s="3689"/>
      <c r="R8" s="1318" t="s">
        <v>65</v>
      </c>
      <c r="S8" s="1319">
        <f t="shared" si="0"/>
        <v>0</v>
      </c>
      <c r="T8" s="1318" t="s">
        <v>65</v>
      </c>
      <c r="U8" s="1319">
        <f t="shared" si="1"/>
        <v>0</v>
      </c>
      <c r="V8" s="1318" t="s">
        <v>65</v>
      </c>
      <c r="W8" s="1319">
        <f t="shared" si="2"/>
        <v>0</v>
      </c>
      <c r="X8" s="1320"/>
      <c r="Y8" s="3688" t="s">
        <v>435</v>
      </c>
      <c r="Z8" s="3689"/>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55" t="s">
        <v>402</v>
      </c>
      <c r="Q9" s="296" t="str">
        <f t="shared" ref="Q9:Q14" si="6">B9</f>
        <v>用途</v>
      </c>
      <c r="R9" s="1318" t="s">
        <v>65</v>
      </c>
      <c r="S9" s="1319">
        <f t="shared" si="0"/>
        <v>100</v>
      </c>
      <c r="T9" s="1318" t="s">
        <v>65</v>
      </c>
      <c r="U9" s="1319">
        <f t="shared" si="1"/>
        <v>100</v>
      </c>
      <c r="V9" s="1318" t="s">
        <v>65</v>
      </c>
      <c r="W9" s="1319">
        <f t="shared" si="2"/>
        <v>100</v>
      </c>
      <c r="X9" s="1320"/>
      <c r="Y9" s="3461"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55"/>
      <c r="Q10" s="296" t="str">
        <f t="shared" si="6"/>
        <v>土地使用年限（年）</v>
      </c>
      <c r="R10" s="1318" t="s">
        <v>65</v>
      </c>
      <c r="S10" s="1319">
        <f t="shared" si="0"/>
        <v>100</v>
      </c>
      <c r="T10" s="1318" t="s">
        <v>65</v>
      </c>
      <c r="U10" s="1319">
        <f t="shared" si="1"/>
        <v>100</v>
      </c>
      <c r="V10" s="1318" t="s">
        <v>65</v>
      </c>
      <c r="W10" s="1319">
        <f t="shared" si="2"/>
        <v>100</v>
      </c>
      <c r="X10" s="1320"/>
      <c r="Y10" s="3461"/>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55"/>
      <c r="Q11" s="296">
        <f t="shared" si="6"/>
        <v>111</v>
      </c>
      <c r="R11" s="1318" t="s">
        <v>65</v>
      </c>
      <c r="S11" s="1319">
        <f t="shared" si="0"/>
        <v>100</v>
      </c>
      <c r="T11" s="1318" t="s">
        <v>65</v>
      </c>
      <c r="U11" s="1319">
        <f t="shared" si="1"/>
        <v>100</v>
      </c>
      <c r="V11" s="1318" t="s">
        <v>65</v>
      </c>
      <c r="W11" s="1319">
        <f t="shared" si="2"/>
        <v>100</v>
      </c>
      <c r="X11" s="1320"/>
      <c r="Y11" s="3461"/>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55"/>
      <c r="Q12" s="296">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55"/>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60" t="s">
        <v>407</v>
      </c>
      <c r="Q14" s="1322" t="str">
        <f t="shared" si="6"/>
        <v>交通便捷度</v>
      </c>
      <c r="R14" s="1323" t="s">
        <v>65</v>
      </c>
      <c r="S14" s="1324">
        <f t="shared" si="0"/>
        <v>100</v>
      </c>
      <c r="T14" s="1323" t="s">
        <v>65</v>
      </c>
      <c r="U14" s="1324">
        <f t="shared" si="1"/>
        <v>100</v>
      </c>
      <c r="V14" s="1323" t="s">
        <v>65</v>
      </c>
      <c r="W14" s="1324">
        <f t="shared" si="2"/>
        <v>100</v>
      </c>
      <c r="X14" s="1317"/>
      <c r="Y14" s="3660"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61"/>
      <c r="Q15" s="1322"/>
      <c r="R15" s="1323"/>
      <c r="S15" s="1324"/>
      <c r="T15" s="1323"/>
      <c r="U15" s="1324"/>
      <c r="V15" s="1323"/>
      <c r="W15" s="1324"/>
      <c r="X15" s="1317"/>
      <c r="Y15" s="3661"/>
      <c r="Z15" s="1325"/>
      <c r="AA15" s="1326">
        <v>1</v>
      </c>
      <c r="AB15" s="1326">
        <v>1</v>
      </c>
      <c r="AC15" s="1326">
        <v>1</v>
      </c>
    </row>
    <row r="16" spans="1:29" ht="15">
      <c r="A16" s="770"/>
      <c r="B16" s="1355" t="s">
        <v>2654</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61"/>
      <c r="Q16" s="1322" t="str">
        <f>B16</f>
        <v>公共配套设施</v>
      </c>
      <c r="R16" s="1323" t="s">
        <v>65</v>
      </c>
      <c r="S16" s="1324">
        <f>F16</f>
        <v>100</v>
      </c>
      <c r="T16" s="1323" t="s">
        <v>65</v>
      </c>
      <c r="U16" s="1324">
        <f>H16</f>
        <v>100</v>
      </c>
      <c r="V16" s="1323" t="s">
        <v>65</v>
      </c>
      <c r="W16" s="1324">
        <f>J16</f>
        <v>100</v>
      </c>
      <c r="X16" s="1317"/>
      <c r="Y16" s="3661"/>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61"/>
      <c r="Q17" s="1322"/>
      <c r="R17" s="1323"/>
      <c r="S17" s="1324"/>
      <c r="T17" s="1323"/>
      <c r="U17" s="1324"/>
      <c r="V17" s="1323"/>
      <c r="W17" s="1324"/>
      <c r="X17" s="1317"/>
      <c r="Y17" s="3661"/>
      <c r="Z17" s="1325"/>
      <c r="AA17" s="1326">
        <v>1</v>
      </c>
      <c r="AB17" s="1326">
        <v>1</v>
      </c>
      <c r="AC17" s="1326">
        <v>1</v>
      </c>
    </row>
    <row r="18" spans="1:29" ht="15">
      <c r="A18" s="770"/>
      <c r="B18" s="1411" t="s">
        <v>2656</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61"/>
      <c r="Q18" s="2747" t="str">
        <f>B18</f>
        <v>基础设施水平</v>
      </c>
      <c r="R18" s="1323" t="s">
        <v>65</v>
      </c>
      <c r="S18" s="1324">
        <f>F18</f>
        <v>100</v>
      </c>
      <c r="T18" s="1323" t="s">
        <v>65</v>
      </c>
      <c r="U18" s="1324">
        <f>H18</f>
        <v>100</v>
      </c>
      <c r="V18" s="1323" t="s">
        <v>65</v>
      </c>
      <c r="W18" s="1324">
        <f>J18</f>
        <v>100</v>
      </c>
      <c r="X18" s="2749"/>
      <c r="Y18" s="3661"/>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61"/>
      <c r="Q19" s="2747"/>
      <c r="R19" s="1323"/>
      <c r="S19" s="1324"/>
      <c r="T19" s="1323"/>
      <c r="U19" s="1324"/>
      <c r="V19" s="1323"/>
      <c r="W19" s="1324"/>
      <c r="X19" s="2749"/>
      <c r="Y19" s="3661"/>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61"/>
      <c r="Q20" s="1322" t="str">
        <f>B20</f>
        <v>自然及人文环境</v>
      </c>
      <c r="R20" s="1323" t="s">
        <v>65</v>
      </c>
      <c r="S20" s="1324">
        <f>F20</f>
        <v>100</v>
      </c>
      <c r="T20" s="1323" t="s">
        <v>65</v>
      </c>
      <c r="U20" s="1324">
        <f>H20</f>
        <v>100</v>
      </c>
      <c r="V20" s="1323" t="s">
        <v>65</v>
      </c>
      <c r="W20" s="1324">
        <f>J20</f>
        <v>100</v>
      </c>
      <c r="X20" s="1317"/>
      <c r="Y20" s="3661"/>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61"/>
      <c r="Q21" s="1322"/>
      <c r="R21" s="1323"/>
      <c r="S21" s="1324"/>
      <c r="T21" s="1323"/>
      <c r="U21" s="1324"/>
      <c r="V21" s="1323"/>
      <c r="W21" s="1324"/>
      <c r="X21" s="1317"/>
      <c r="Y21" s="3661"/>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61"/>
      <c r="Q22" s="1322" t="str">
        <f>B22</f>
        <v>楼层</v>
      </c>
      <c r="R22" s="1323" t="s">
        <v>65</v>
      </c>
      <c r="S22" s="1324">
        <f>F22</f>
        <v>100</v>
      </c>
      <c r="T22" s="1323" t="s">
        <v>65</v>
      </c>
      <c r="U22" s="1324">
        <f>H22</f>
        <v>100</v>
      </c>
      <c r="V22" s="1323" t="s">
        <v>65</v>
      </c>
      <c r="W22" s="1324">
        <f>J22</f>
        <v>100</v>
      </c>
      <c r="X22" s="1317"/>
      <c r="Y22" s="3661"/>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61"/>
      <c r="Q23" s="1322">
        <f>B23</f>
        <v>111</v>
      </c>
      <c r="R23" s="1323" t="s">
        <v>65</v>
      </c>
      <c r="S23" s="1324">
        <f>F23</f>
        <v>100</v>
      </c>
      <c r="T23" s="1323" t="s">
        <v>65</v>
      </c>
      <c r="U23" s="1324">
        <f>H23</f>
        <v>100</v>
      </c>
      <c r="V23" s="1323" t="s">
        <v>65</v>
      </c>
      <c r="W23" s="1324">
        <f>J23</f>
        <v>100</v>
      </c>
      <c r="X23" s="1317"/>
      <c r="Y23" s="3661"/>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61"/>
      <c r="Q24" s="1322">
        <f t="shared" ref="Q24:Q34" si="11">B24</f>
        <v>111</v>
      </c>
      <c r="R24" s="1323" t="s">
        <v>65</v>
      </c>
      <c r="S24" s="1324">
        <f>F24</f>
        <v>100</v>
      </c>
      <c r="T24" s="1323" t="s">
        <v>65</v>
      </c>
      <c r="U24" s="1324">
        <f>H24</f>
        <v>100</v>
      </c>
      <c r="V24" s="1323" t="s">
        <v>65</v>
      </c>
      <c r="W24" s="1324">
        <f>J24</f>
        <v>100</v>
      </c>
      <c r="X24" s="1317"/>
      <c r="Y24" s="3661"/>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61"/>
      <c r="Q25" s="296">
        <f t="shared" si="11"/>
        <v>111</v>
      </c>
      <c r="R25" s="1318" t="s">
        <v>65</v>
      </c>
      <c r="S25" s="1319">
        <f>F25</f>
        <v>100</v>
      </c>
      <c r="T25" s="1318" t="s">
        <v>65</v>
      </c>
      <c r="U25" s="1319">
        <f>H25</f>
        <v>100</v>
      </c>
      <c r="V25" s="1318" t="s">
        <v>65</v>
      </c>
      <c r="W25" s="1319">
        <f>J25</f>
        <v>100</v>
      </c>
      <c r="X25" s="1320"/>
      <c r="Y25" s="3661"/>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62"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63"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63"/>
      <c r="Q27" s="1327" t="str">
        <f t="shared" si="11"/>
        <v>成新率</v>
      </c>
      <c r="R27" s="1328" t="s">
        <v>65</v>
      </c>
      <c r="S27" s="1329" t="e">
        <f t="shared" si="12"/>
        <v>#N/A</v>
      </c>
      <c r="T27" s="1328" t="s">
        <v>65</v>
      </c>
      <c r="U27" s="1329" t="e">
        <f t="shared" si="13"/>
        <v>#N/A</v>
      </c>
      <c r="V27" s="1328" t="s">
        <v>65</v>
      </c>
      <c r="W27" s="1329" t="e">
        <f t="shared" si="14"/>
        <v>#N/A</v>
      </c>
      <c r="X27" s="1330"/>
      <c r="Y27" s="3663"/>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63"/>
      <c r="Q28" s="1322" t="str">
        <f t="shared" si="11"/>
        <v>物业等级</v>
      </c>
      <c r="R28" s="1323" t="s">
        <v>65</v>
      </c>
      <c r="S28" s="1324">
        <f t="shared" si="12"/>
        <v>100</v>
      </c>
      <c r="T28" s="1323" t="s">
        <v>65</v>
      </c>
      <c r="U28" s="1324">
        <f t="shared" si="13"/>
        <v>100</v>
      </c>
      <c r="V28" s="1323" t="s">
        <v>65</v>
      </c>
      <c r="W28" s="1324">
        <f t="shared" si="14"/>
        <v>100</v>
      </c>
      <c r="X28" s="1317"/>
      <c r="Y28" s="3663"/>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63"/>
      <c r="Q29" s="1322" t="str">
        <f t="shared" si="11"/>
        <v>有无电梯</v>
      </c>
      <c r="R29" s="1323" t="s">
        <v>65</v>
      </c>
      <c r="S29" s="1324">
        <f t="shared" si="12"/>
        <v>100</v>
      </c>
      <c r="T29" s="1323" t="s">
        <v>65</v>
      </c>
      <c r="U29" s="1324">
        <f t="shared" si="13"/>
        <v>100</v>
      </c>
      <c r="V29" s="1323" t="s">
        <v>65</v>
      </c>
      <c r="W29" s="1324">
        <f t="shared" si="14"/>
        <v>100</v>
      </c>
      <c r="X29" s="1317"/>
      <c r="Y29" s="3663"/>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63"/>
      <c r="Q30" s="1322" t="str">
        <f t="shared" si="11"/>
        <v>建筑面积</v>
      </c>
      <c r="R30" s="1323" t="s">
        <v>65</v>
      </c>
      <c r="S30" s="1324" t="e">
        <f t="shared" si="12"/>
        <v>#N/A</v>
      </c>
      <c r="T30" s="1323" t="s">
        <v>65</v>
      </c>
      <c r="U30" s="1324" t="e">
        <f t="shared" si="13"/>
        <v>#N/A</v>
      </c>
      <c r="V30" s="1323" t="s">
        <v>65</v>
      </c>
      <c r="W30" s="1324" t="e">
        <f t="shared" si="14"/>
        <v>#N/A</v>
      </c>
      <c r="X30" s="1317"/>
      <c r="Y30" s="3663"/>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63"/>
      <c r="Q31" s="296" t="str">
        <f t="shared" si="11"/>
        <v>是否封闭</v>
      </c>
      <c r="R31" s="1318" t="s">
        <v>65</v>
      </c>
      <c r="S31" s="1319">
        <f t="shared" si="12"/>
        <v>100</v>
      </c>
      <c r="T31" s="1318" t="s">
        <v>65</v>
      </c>
      <c r="U31" s="1319">
        <f t="shared" si="13"/>
        <v>100</v>
      </c>
      <c r="V31" s="1318" t="s">
        <v>65</v>
      </c>
      <c r="W31" s="1319">
        <f t="shared" si="14"/>
        <v>100</v>
      </c>
      <c r="X31" s="1320"/>
      <c r="Y31" s="3663"/>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63" t="s">
        <v>409</v>
      </c>
      <c r="Q32" s="1322">
        <f t="shared" si="11"/>
        <v>111</v>
      </c>
      <c r="R32" s="1323" t="s">
        <v>65</v>
      </c>
      <c r="S32" s="1324">
        <f t="shared" si="12"/>
        <v>100</v>
      </c>
      <c r="T32" s="1323" t="s">
        <v>65</v>
      </c>
      <c r="U32" s="1324">
        <f t="shared" si="13"/>
        <v>100</v>
      </c>
      <c r="V32" s="1323" t="s">
        <v>65</v>
      </c>
      <c r="W32" s="1324">
        <f t="shared" si="14"/>
        <v>100</v>
      </c>
      <c r="X32" s="1317"/>
      <c r="Y32" s="3663"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63"/>
      <c r="Q33" s="1322">
        <f t="shared" si="11"/>
        <v>111</v>
      </c>
      <c r="R33" s="1323" t="s">
        <v>65</v>
      </c>
      <c r="S33" s="1324">
        <f t="shared" si="12"/>
        <v>100</v>
      </c>
      <c r="T33" s="1323" t="s">
        <v>65</v>
      </c>
      <c r="U33" s="1324">
        <f t="shared" si="13"/>
        <v>100</v>
      </c>
      <c r="V33" s="1323" t="s">
        <v>65</v>
      </c>
      <c r="W33" s="1324">
        <f t="shared" si="14"/>
        <v>100</v>
      </c>
      <c r="X33" s="1317"/>
      <c r="Y33" s="3663"/>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63"/>
      <c r="Q34" s="1322">
        <f t="shared" si="11"/>
        <v>111</v>
      </c>
      <c r="R34" s="1323" t="s">
        <v>65</v>
      </c>
      <c r="S34" s="1324">
        <f t="shared" si="12"/>
        <v>100</v>
      </c>
      <c r="T34" s="1323" t="s">
        <v>65</v>
      </c>
      <c r="U34" s="1324">
        <f t="shared" si="13"/>
        <v>100</v>
      </c>
      <c r="V34" s="1323" t="s">
        <v>65</v>
      </c>
      <c r="W34" s="1324">
        <f t="shared" si="14"/>
        <v>100</v>
      </c>
      <c r="X34" s="1317"/>
      <c r="Y34" s="3663"/>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55" t="str">
        <f>A35</f>
        <v>成交单价（元/平方米）</v>
      </c>
      <c r="Q35" s="3655"/>
      <c r="R35" s="3656">
        <f>E35</f>
        <v>0</v>
      </c>
      <c r="S35" s="3656"/>
      <c r="T35" s="3656">
        <f>G35</f>
        <v>0</v>
      </c>
      <c r="U35" s="3656"/>
      <c r="V35" s="3656">
        <f>I35</f>
        <v>0</v>
      </c>
      <c r="W35" s="3656"/>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306"/>
      <c r="Y36" s="1306"/>
      <c r="Z36" s="1306"/>
      <c r="AA36" s="1306"/>
      <c r="AB36" s="1306"/>
      <c r="AC36" s="1306"/>
    </row>
    <row r="37" spans="1:29" ht="15.75" thickBot="1">
      <c r="A37" s="115" t="s">
        <v>3002</v>
      </c>
      <c r="B37" s="835"/>
      <c r="C37" s="2841" t="e">
        <f>R37</f>
        <v>#DIV/0!</v>
      </c>
      <c r="D37" s="2841"/>
      <c r="E37" s="2841"/>
      <c r="F37" s="2841"/>
      <c r="G37" s="2841"/>
      <c r="H37" s="2841"/>
      <c r="I37" s="2841"/>
      <c r="J37" s="2841"/>
      <c r="K37" s="1401"/>
      <c r="L37" s="2359"/>
      <c r="M37" s="2360"/>
      <c r="N37" s="2360"/>
      <c r="O37" s="2360"/>
      <c r="P37" s="3657" t="str">
        <f>A37</f>
        <v>估价对象XX用房的比较价值（楼面单价，元/平方米）</v>
      </c>
      <c r="Q37" s="3658"/>
      <c r="R37" s="3659" t="e">
        <f>IF(F1="售价",ROUND(AVERAGE(R36:V36),0),ROUND(AVERAGE(R36:V36),1))</f>
        <v>#DIV/0!</v>
      </c>
      <c r="S37" s="3659"/>
      <c r="T37" s="3659"/>
      <c r="U37" s="3659"/>
      <c r="V37" s="3659"/>
      <c r="W37" s="3659"/>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67" t="s">
        <v>391</v>
      </c>
      <c r="D4" s="3668"/>
      <c r="E4" s="3669" t="s">
        <v>392</v>
      </c>
      <c r="F4" s="3670"/>
      <c r="G4" s="3667" t="s">
        <v>393</v>
      </c>
      <c r="H4" s="3668"/>
      <c r="I4" s="3667" t="s">
        <v>394</v>
      </c>
      <c r="J4" s="3668"/>
      <c r="K4" s="952" t="s">
        <v>395</v>
      </c>
      <c r="L4" s="2346"/>
      <c r="M4" s="2347"/>
      <c r="N4" s="2347"/>
      <c r="O4" s="2347"/>
      <c r="P4" s="3671" t="s">
        <v>396</v>
      </c>
      <c r="Q4" s="3672"/>
      <c r="R4" s="3677" t="s">
        <v>392</v>
      </c>
      <c r="S4" s="3678"/>
      <c r="T4" s="3677" t="s">
        <v>393</v>
      </c>
      <c r="U4" s="3678"/>
      <c r="V4" s="3683" t="s">
        <v>394</v>
      </c>
      <c r="W4" s="3683"/>
      <c r="X4" s="1317"/>
      <c r="Y4" s="3677" t="s">
        <v>396</v>
      </c>
      <c r="Z4" s="3678"/>
      <c r="AA4" s="3664" t="s">
        <v>392</v>
      </c>
      <c r="AB4" s="3665" t="s">
        <v>393</v>
      </c>
      <c r="AC4" s="3664" t="s">
        <v>394</v>
      </c>
    </row>
    <row r="5" spans="1:30" ht="15">
      <c r="A5" s="746"/>
      <c r="B5" s="747"/>
      <c r="C5" s="3630" t="s">
        <v>1127</v>
      </c>
      <c r="D5" s="3631"/>
      <c r="E5" s="3637" t="s">
        <v>1128</v>
      </c>
      <c r="F5" s="3638"/>
      <c r="G5" s="3630" t="s">
        <v>1131</v>
      </c>
      <c r="H5" s="3631"/>
      <c r="I5" s="3630" t="s">
        <v>1129</v>
      </c>
      <c r="J5" s="3631"/>
      <c r="K5" s="952"/>
      <c r="L5" s="2346"/>
      <c r="M5" s="2347"/>
      <c r="N5" s="2347"/>
      <c r="O5" s="2347"/>
      <c r="P5" s="3673"/>
      <c r="Q5" s="3674"/>
      <c r="R5" s="3679"/>
      <c r="S5" s="3680"/>
      <c r="T5" s="3679"/>
      <c r="U5" s="3680"/>
      <c r="V5" s="3683"/>
      <c r="W5" s="3683"/>
      <c r="X5" s="1317"/>
      <c r="Y5" s="3679"/>
      <c r="Z5" s="3680"/>
      <c r="AA5" s="3665"/>
      <c r="AB5" s="3665"/>
      <c r="AC5" s="3665"/>
    </row>
    <row r="6" spans="1:30" ht="15.75" thickBot="1">
      <c r="A6" s="748"/>
      <c r="B6" s="749"/>
      <c r="C6" s="3628" t="s">
        <v>1130</v>
      </c>
      <c r="D6" s="3629"/>
      <c r="E6" s="3635" t="s">
        <v>1130</v>
      </c>
      <c r="F6" s="3636"/>
      <c r="G6" s="3628" t="s">
        <v>1130</v>
      </c>
      <c r="H6" s="3629"/>
      <c r="I6" s="3628" t="s">
        <v>1130</v>
      </c>
      <c r="J6" s="3629"/>
      <c r="K6" s="952" t="s">
        <v>397</v>
      </c>
      <c r="L6" s="2346"/>
      <c r="M6" s="2347"/>
      <c r="N6" s="2347"/>
      <c r="O6" s="2347"/>
      <c r="P6" s="3675"/>
      <c r="Q6" s="3676"/>
      <c r="R6" s="3679"/>
      <c r="S6" s="3680"/>
      <c r="T6" s="3681"/>
      <c r="U6" s="3682"/>
      <c r="V6" s="3683"/>
      <c r="W6" s="3683"/>
      <c r="X6" s="1317"/>
      <c r="Y6" s="3681"/>
      <c r="Z6" s="3682"/>
      <c r="AA6" s="3666"/>
      <c r="AB6" s="3666"/>
      <c r="AC6" s="3666"/>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88" t="s">
        <v>399</v>
      </c>
      <c r="Q7" s="3690"/>
      <c r="R7" s="1318" t="s">
        <v>65</v>
      </c>
      <c r="S7" s="1319">
        <f t="shared" ref="S7:S15" si="0">F7</f>
        <v>0</v>
      </c>
      <c r="T7" s="1318" t="s">
        <v>65</v>
      </c>
      <c r="U7" s="1319">
        <f t="shared" ref="U7:U15" si="1">H7</f>
        <v>0</v>
      </c>
      <c r="V7" s="1318" t="s">
        <v>65</v>
      </c>
      <c r="W7" s="1319">
        <f t="shared" ref="W7:W15" si="2">J7</f>
        <v>0</v>
      </c>
      <c r="X7" s="1320"/>
      <c r="Y7" s="3688" t="s">
        <v>399</v>
      </c>
      <c r="Z7" s="3689"/>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88" t="s">
        <v>435</v>
      </c>
      <c r="Q8" s="3689"/>
      <c r="R8" s="1318" t="s">
        <v>65</v>
      </c>
      <c r="S8" s="1319">
        <f t="shared" si="0"/>
        <v>0</v>
      </c>
      <c r="T8" s="1318" t="s">
        <v>65</v>
      </c>
      <c r="U8" s="1319">
        <f t="shared" si="1"/>
        <v>0</v>
      </c>
      <c r="V8" s="1318" t="s">
        <v>65</v>
      </c>
      <c r="W8" s="1319">
        <f t="shared" si="2"/>
        <v>0</v>
      </c>
      <c r="X8" s="1320"/>
      <c r="Y8" s="3688" t="s">
        <v>435</v>
      </c>
      <c r="Z8" s="3689"/>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55" t="s">
        <v>402</v>
      </c>
      <c r="Q9" s="296" t="str">
        <f t="shared" ref="Q9:Q15" si="6">B9</f>
        <v>用途</v>
      </c>
      <c r="R9" s="1318" t="s">
        <v>65</v>
      </c>
      <c r="S9" s="1319">
        <f t="shared" si="0"/>
        <v>100</v>
      </c>
      <c r="T9" s="1318" t="s">
        <v>65</v>
      </c>
      <c r="U9" s="1319">
        <f t="shared" si="1"/>
        <v>100</v>
      </c>
      <c r="V9" s="1318" t="s">
        <v>65</v>
      </c>
      <c r="W9" s="1319">
        <f t="shared" si="2"/>
        <v>100</v>
      </c>
      <c r="X9" s="1320"/>
      <c r="Y9" s="3461"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55"/>
      <c r="Q10" s="296" t="str">
        <f t="shared" si="6"/>
        <v>土地使用年限（年）</v>
      </c>
      <c r="R10" s="1318" t="s">
        <v>65</v>
      </c>
      <c r="S10" s="1319">
        <f t="shared" si="0"/>
        <v>119</v>
      </c>
      <c r="T10" s="1318" t="s">
        <v>65</v>
      </c>
      <c r="U10" s="1319">
        <f t="shared" si="1"/>
        <v>119</v>
      </c>
      <c r="V10" s="1318" t="s">
        <v>65</v>
      </c>
      <c r="W10" s="1319">
        <f t="shared" si="2"/>
        <v>119</v>
      </c>
      <c r="X10" s="1320"/>
      <c r="Y10" s="3461"/>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55"/>
      <c r="Q11" s="296" t="str">
        <f t="shared" si="6"/>
        <v>容积率</v>
      </c>
      <c r="R11" s="1318" t="s">
        <v>65</v>
      </c>
      <c r="S11" s="1319" t="e">
        <f t="shared" si="0"/>
        <v>#N/A</v>
      </c>
      <c r="T11" s="1318" t="s">
        <v>65</v>
      </c>
      <c r="U11" s="1319" t="e">
        <f t="shared" si="1"/>
        <v>#N/A</v>
      </c>
      <c r="V11" s="1318" t="s">
        <v>65</v>
      </c>
      <c r="W11" s="1319" t="e">
        <f t="shared" si="2"/>
        <v>#N/A</v>
      </c>
      <c r="X11" s="1320"/>
      <c r="Y11" s="3461"/>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55"/>
      <c r="Q12" s="296" t="str">
        <f t="shared" si="6"/>
        <v>配建</v>
      </c>
      <c r="R12" s="1318" t="s">
        <v>65</v>
      </c>
      <c r="S12" s="1319">
        <f t="shared" si="0"/>
        <v>100</v>
      </c>
      <c r="T12" s="1318" t="s">
        <v>65</v>
      </c>
      <c r="U12" s="1319">
        <f t="shared" si="1"/>
        <v>100</v>
      </c>
      <c r="V12" s="1318" t="s">
        <v>65</v>
      </c>
      <c r="W12" s="1319">
        <f t="shared" si="2"/>
        <v>100</v>
      </c>
      <c r="X12" s="1320"/>
      <c r="Y12" s="3461"/>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55"/>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55"/>
      <c r="Q14" s="296">
        <f t="shared" si="6"/>
        <v>111</v>
      </c>
      <c r="R14" s="1318" t="s">
        <v>65</v>
      </c>
      <c r="S14" s="1319">
        <f t="shared" si="0"/>
        <v>100</v>
      </c>
      <c r="T14" s="1318" t="s">
        <v>65</v>
      </c>
      <c r="U14" s="1319">
        <f t="shared" si="1"/>
        <v>100</v>
      </c>
      <c r="V14" s="1318" t="s">
        <v>65</v>
      </c>
      <c r="W14" s="1319">
        <f t="shared" si="2"/>
        <v>100</v>
      </c>
      <c r="X14" s="1320"/>
      <c r="Y14" s="3461"/>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60" t="s">
        <v>407</v>
      </c>
      <c r="Q15" s="1322" t="str">
        <f t="shared" si="6"/>
        <v>居住社区成熟度</v>
      </c>
      <c r="R15" s="1323" t="s">
        <v>65</v>
      </c>
      <c r="S15" s="1324">
        <f t="shared" si="0"/>
        <v>100</v>
      </c>
      <c r="T15" s="1323" t="s">
        <v>65</v>
      </c>
      <c r="U15" s="1324">
        <f t="shared" si="1"/>
        <v>100</v>
      </c>
      <c r="V15" s="1323" t="s">
        <v>65</v>
      </c>
      <c r="W15" s="1324">
        <f t="shared" si="2"/>
        <v>100</v>
      </c>
      <c r="X15" s="1317"/>
      <c r="Y15" s="3660"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61"/>
      <c r="Q16" s="1322"/>
      <c r="R16" s="1323"/>
      <c r="S16" s="1324"/>
      <c r="T16" s="1323"/>
      <c r="U16" s="1324"/>
      <c r="V16" s="1323"/>
      <c r="W16" s="1324"/>
      <c r="X16" s="1317"/>
      <c r="Y16" s="3661"/>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61"/>
      <c r="Q17" s="1322" t="str">
        <f>B17</f>
        <v>商业繁华度</v>
      </c>
      <c r="R17" s="1323" t="s">
        <v>65</v>
      </c>
      <c r="S17" s="1324">
        <f>F17</f>
        <v>100</v>
      </c>
      <c r="T17" s="1323" t="s">
        <v>65</v>
      </c>
      <c r="U17" s="1324">
        <f>H17</f>
        <v>100</v>
      </c>
      <c r="V17" s="1323" t="s">
        <v>65</v>
      </c>
      <c r="W17" s="1324">
        <f>J17</f>
        <v>100</v>
      </c>
      <c r="X17" s="1317"/>
      <c r="Y17" s="3661"/>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61"/>
      <c r="Q18" s="1322"/>
      <c r="R18" s="1323"/>
      <c r="S18" s="1324"/>
      <c r="T18" s="1323"/>
      <c r="U18" s="1324"/>
      <c r="V18" s="1323"/>
      <c r="W18" s="1324"/>
      <c r="X18" s="1317"/>
      <c r="Y18" s="3661"/>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61"/>
      <c r="Q19" s="1322" t="str">
        <f>B19</f>
        <v>办公集聚程度</v>
      </c>
      <c r="R19" s="1323" t="s">
        <v>65</v>
      </c>
      <c r="S19" s="1324">
        <f>F19</f>
        <v>100</v>
      </c>
      <c r="T19" s="1323" t="s">
        <v>65</v>
      </c>
      <c r="U19" s="1324">
        <f>H19</f>
        <v>100</v>
      </c>
      <c r="V19" s="1323" t="s">
        <v>65</v>
      </c>
      <c r="W19" s="1324">
        <f>J19</f>
        <v>100</v>
      </c>
      <c r="X19" s="1317"/>
      <c r="Y19" s="3661"/>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61"/>
      <c r="Q20" s="1322"/>
      <c r="R20" s="1323"/>
      <c r="S20" s="1324"/>
      <c r="T20" s="1323"/>
      <c r="U20" s="1324"/>
      <c r="V20" s="1323"/>
      <c r="W20" s="1324"/>
      <c r="X20" s="1317"/>
      <c r="Y20" s="3661"/>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61"/>
      <c r="Q21" s="1322" t="str">
        <f>B21</f>
        <v>交通便捷度</v>
      </c>
      <c r="R21" s="1323" t="s">
        <v>65</v>
      </c>
      <c r="S21" s="1324">
        <f>F21</f>
        <v>100</v>
      </c>
      <c r="T21" s="1323" t="s">
        <v>65</v>
      </c>
      <c r="U21" s="1324">
        <f>H21</f>
        <v>100</v>
      </c>
      <c r="V21" s="1323" t="s">
        <v>65</v>
      </c>
      <c r="W21" s="1324">
        <f>J21</f>
        <v>100</v>
      </c>
      <c r="X21" s="1317"/>
      <c r="Y21" s="3661"/>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61"/>
      <c r="Q22" s="1322"/>
      <c r="R22" s="1323"/>
      <c r="S22" s="1324"/>
      <c r="T22" s="1323"/>
      <c r="U22" s="1324"/>
      <c r="V22" s="1323"/>
      <c r="W22" s="1324"/>
      <c r="X22" s="1317"/>
      <c r="Y22" s="3661"/>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61"/>
      <c r="Q23" s="1322" t="str">
        <f t="shared" ref="Q23:Q37" si="8">B23</f>
        <v>区域土地利用方向</v>
      </c>
      <c r="R23" s="1323" t="s">
        <v>65</v>
      </c>
      <c r="S23" s="1324">
        <f>F23</f>
        <v>100</v>
      </c>
      <c r="T23" s="1323" t="s">
        <v>65</v>
      </c>
      <c r="U23" s="1324">
        <f>H23</f>
        <v>100</v>
      </c>
      <c r="V23" s="1323" t="s">
        <v>65</v>
      </c>
      <c r="W23" s="1324">
        <f>J23</f>
        <v>100</v>
      </c>
      <c r="X23" s="1317"/>
      <c r="Y23" s="3661"/>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61"/>
      <c r="Q24" s="1469"/>
      <c r="R24" s="1323"/>
      <c r="S24" s="1324"/>
      <c r="T24" s="1323"/>
      <c r="U24" s="1324"/>
      <c r="V24" s="1323"/>
      <c r="W24" s="1324"/>
      <c r="X24" s="1468"/>
      <c r="Y24" s="3661"/>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61"/>
      <c r="Q25" s="1322" t="str">
        <f t="shared" si="8"/>
        <v>自然及人文环境状况</v>
      </c>
      <c r="R25" s="1323" t="s">
        <v>65</v>
      </c>
      <c r="S25" s="1324">
        <f>F25</f>
        <v>100</v>
      </c>
      <c r="T25" s="1323" t="s">
        <v>65</v>
      </c>
      <c r="U25" s="1324">
        <f>H25</f>
        <v>100</v>
      </c>
      <c r="V25" s="1323" t="s">
        <v>65</v>
      </c>
      <c r="W25" s="1324">
        <f>J25</f>
        <v>100</v>
      </c>
      <c r="X25" s="1317"/>
      <c r="Y25" s="3661"/>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61"/>
      <c r="Q26" s="1322"/>
      <c r="R26" s="1323"/>
      <c r="S26" s="1324"/>
      <c r="T26" s="1323"/>
      <c r="U26" s="1324"/>
      <c r="V26" s="1323"/>
      <c r="W26" s="1324"/>
      <c r="X26" s="1317"/>
      <c r="Y26" s="3661"/>
      <c r="Z26" s="1325"/>
      <c r="AA26" s="1326">
        <v>1</v>
      </c>
      <c r="AB26" s="1326">
        <v>1</v>
      </c>
      <c r="AC26" s="1326">
        <v>1</v>
      </c>
    </row>
    <row r="27" spans="1:29" s="407" customFormat="1" ht="15">
      <c r="A27" s="991"/>
      <c r="B27" s="1411" t="s">
        <v>2657</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61"/>
      <c r="Q27" s="296" t="str">
        <f t="shared" si="8"/>
        <v>公共配套设施</v>
      </c>
      <c r="R27" s="1318" t="s">
        <v>65</v>
      </c>
      <c r="S27" s="1319">
        <f>F27</f>
        <v>100</v>
      </c>
      <c r="T27" s="1318" t="s">
        <v>65</v>
      </c>
      <c r="U27" s="1319">
        <f>H27</f>
        <v>100</v>
      </c>
      <c r="V27" s="1318" t="s">
        <v>65</v>
      </c>
      <c r="W27" s="1319">
        <f>J27</f>
        <v>100</v>
      </c>
      <c r="X27" s="1320"/>
      <c r="Y27" s="3661"/>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61"/>
      <c r="Q28" s="296"/>
      <c r="R28" s="1318"/>
      <c r="S28" s="1319"/>
      <c r="T28" s="1318"/>
      <c r="U28" s="1319"/>
      <c r="V28" s="1318"/>
      <c r="W28" s="1319"/>
      <c r="X28" s="1320"/>
      <c r="Y28" s="3661"/>
      <c r="Z28" s="344"/>
      <c r="AA28" s="1326">
        <v>1</v>
      </c>
      <c r="AB28" s="1326">
        <v>1</v>
      </c>
      <c r="AC28" s="1326">
        <v>1</v>
      </c>
    </row>
    <row r="29" spans="1:29" s="407" customFormat="1" ht="15">
      <c r="A29" s="991"/>
      <c r="B29" s="1411" t="s">
        <v>2658</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61"/>
      <c r="Q29" s="2742" t="str">
        <f t="shared" ref="Q29" si="9">B29</f>
        <v>基础设施水平</v>
      </c>
      <c r="R29" s="1318" t="s">
        <v>65</v>
      </c>
      <c r="S29" s="1319">
        <f>F29</f>
        <v>100</v>
      </c>
      <c r="T29" s="1318" t="s">
        <v>65</v>
      </c>
      <c r="U29" s="1319">
        <f>H29</f>
        <v>100</v>
      </c>
      <c r="V29" s="1318" t="s">
        <v>65</v>
      </c>
      <c r="W29" s="1319">
        <f>J29</f>
        <v>100</v>
      </c>
      <c r="X29" s="1320"/>
      <c r="Y29" s="3661"/>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61"/>
      <c r="Q30" s="2742"/>
      <c r="R30" s="1318"/>
      <c r="S30" s="1319"/>
      <c r="T30" s="1318"/>
      <c r="U30" s="1319"/>
      <c r="V30" s="1318"/>
      <c r="W30" s="1319"/>
      <c r="X30" s="1320"/>
      <c r="Y30" s="3661"/>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61"/>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61"/>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61"/>
      <c r="Q32" s="1322" t="str">
        <f t="shared" si="8"/>
        <v>毗邻道路的类型与等级</v>
      </c>
      <c r="R32" s="1323" t="s">
        <v>65</v>
      </c>
      <c r="S32" s="1324">
        <f t="shared" si="10"/>
        <v>100</v>
      </c>
      <c r="T32" s="1323" t="s">
        <v>65</v>
      </c>
      <c r="U32" s="1324">
        <f t="shared" si="11"/>
        <v>100</v>
      </c>
      <c r="V32" s="1323" t="s">
        <v>65</v>
      </c>
      <c r="W32" s="1324">
        <f t="shared" si="12"/>
        <v>100</v>
      </c>
      <c r="X32" s="1317"/>
      <c r="Y32" s="3661"/>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61"/>
      <c r="Q33" s="1322"/>
      <c r="R33" s="1323"/>
      <c r="S33" s="1324"/>
      <c r="T33" s="1323"/>
      <c r="U33" s="1324"/>
      <c r="V33" s="1323"/>
      <c r="W33" s="1324"/>
      <c r="X33" s="1317"/>
      <c r="Y33" s="3661"/>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61"/>
      <c r="Q34" s="1322" t="str">
        <f t="shared" si="8"/>
        <v>土地级别</v>
      </c>
      <c r="R34" s="1323" t="s">
        <v>65</v>
      </c>
      <c r="S34" s="1324">
        <f t="shared" si="10"/>
        <v>100</v>
      </c>
      <c r="T34" s="1323" t="s">
        <v>65</v>
      </c>
      <c r="U34" s="1324">
        <f t="shared" si="11"/>
        <v>100</v>
      </c>
      <c r="V34" s="1323" t="s">
        <v>65</v>
      </c>
      <c r="W34" s="1324">
        <f t="shared" si="12"/>
        <v>100</v>
      </c>
      <c r="X34" s="1317"/>
      <c r="Y34" s="3661"/>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61"/>
      <c r="Q35" s="1322">
        <f t="shared" si="8"/>
        <v>111</v>
      </c>
      <c r="R35" s="1323" t="s">
        <v>65</v>
      </c>
      <c r="S35" s="1324">
        <f t="shared" si="10"/>
        <v>100</v>
      </c>
      <c r="T35" s="1323" t="s">
        <v>65</v>
      </c>
      <c r="U35" s="1324">
        <f t="shared" si="11"/>
        <v>100</v>
      </c>
      <c r="V35" s="1323" t="s">
        <v>65</v>
      </c>
      <c r="W35" s="1324">
        <f t="shared" si="12"/>
        <v>100</v>
      </c>
      <c r="X35" s="1317"/>
      <c r="Y35" s="3661"/>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62" t="s">
        <v>409</v>
      </c>
      <c r="Q36" s="1322">
        <f t="shared" si="8"/>
        <v>111</v>
      </c>
      <c r="R36" s="1323" t="s">
        <v>65</v>
      </c>
      <c r="S36" s="1324">
        <f t="shared" si="10"/>
        <v>100</v>
      </c>
      <c r="T36" s="1323" t="s">
        <v>65</v>
      </c>
      <c r="U36" s="1324">
        <f t="shared" si="11"/>
        <v>100</v>
      </c>
      <c r="V36" s="1323" t="s">
        <v>65</v>
      </c>
      <c r="W36" s="1324">
        <f t="shared" si="12"/>
        <v>100</v>
      </c>
      <c r="X36" s="1317"/>
      <c r="Y36" s="3663"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63"/>
      <c r="Q37" s="1322">
        <f t="shared" si="8"/>
        <v>111</v>
      </c>
      <c r="R37" s="1328" t="s">
        <v>65</v>
      </c>
      <c r="S37" s="1329">
        <f t="shared" si="10"/>
        <v>100</v>
      </c>
      <c r="T37" s="1328" t="s">
        <v>65</v>
      </c>
      <c r="U37" s="1329">
        <f t="shared" si="11"/>
        <v>100</v>
      </c>
      <c r="V37" s="1328" t="s">
        <v>65</v>
      </c>
      <c r="W37" s="1329">
        <f t="shared" si="12"/>
        <v>100</v>
      </c>
      <c r="X37" s="1330"/>
      <c r="Y37" s="3663"/>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63"/>
      <c r="Q38" s="1322" t="str">
        <f>B38</f>
        <v>宗地面积</v>
      </c>
      <c r="R38" s="1323" t="s">
        <v>65</v>
      </c>
      <c r="S38" s="1324" t="e">
        <f t="shared" si="10"/>
        <v>#N/A</v>
      </c>
      <c r="T38" s="1323" t="s">
        <v>65</v>
      </c>
      <c r="U38" s="1324" t="e">
        <f t="shared" si="11"/>
        <v>#N/A</v>
      </c>
      <c r="V38" s="1323" t="s">
        <v>65</v>
      </c>
      <c r="W38" s="1324" t="e">
        <f t="shared" si="12"/>
        <v>#N/A</v>
      </c>
      <c r="X38" s="1317"/>
      <c r="Y38" s="3663"/>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63"/>
      <c r="Q39" s="1322" t="str">
        <f t="shared" ref="Q39:Q45" si="14">B39</f>
        <v>宗地形状</v>
      </c>
      <c r="R39" s="1323" t="s">
        <v>65</v>
      </c>
      <c r="S39" s="1324">
        <f t="shared" si="10"/>
        <v>100</v>
      </c>
      <c r="T39" s="1323" t="s">
        <v>65</v>
      </c>
      <c r="U39" s="1324">
        <f t="shared" si="11"/>
        <v>100</v>
      </c>
      <c r="V39" s="1323" t="s">
        <v>65</v>
      </c>
      <c r="W39" s="1324">
        <f t="shared" si="12"/>
        <v>100</v>
      </c>
      <c r="X39" s="1317"/>
      <c r="Y39" s="3663"/>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63"/>
      <c r="Q40" s="1322" t="str">
        <f t="shared" si="14"/>
        <v>临街宽度及深度</v>
      </c>
      <c r="R40" s="1323" t="s">
        <v>65</v>
      </c>
      <c r="S40" s="1324">
        <f t="shared" si="10"/>
        <v>100</v>
      </c>
      <c r="T40" s="1323" t="s">
        <v>65</v>
      </c>
      <c r="U40" s="1324">
        <f t="shared" si="11"/>
        <v>100</v>
      </c>
      <c r="V40" s="1323" t="s">
        <v>65</v>
      </c>
      <c r="W40" s="1324">
        <f t="shared" si="12"/>
        <v>100</v>
      </c>
      <c r="X40" s="1317"/>
      <c r="Y40" s="3663"/>
      <c r="Z40" s="1325" t="str">
        <f t="shared" si="13"/>
        <v>临街宽度及深度</v>
      </c>
      <c r="AA40" s="1326">
        <f t="shared" si="3"/>
        <v>1</v>
      </c>
      <c r="AB40" s="1326">
        <f t="shared" si="4"/>
        <v>1</v>
      </c>
      <c r="AC40" s="1326">
        <f t="shared" si="5"/>
        <v>1</v>
      </c>
    </row>
    <row r="41" spans="1:29" s="407" customFormat="1" ht="15">
      <c r="A41" s="815"/>
      <c r="B41" s="2608" t="s">
        <v>2491</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63"/>
      <c r="Q41" s="1322" t="str">
        <f t="shared" si="14"/>
        <v>宗地开发程度</v>
      </c>
      <c r="R41" s="1318" t="s">
        <v>65</v>
      </c>
      <c r="S41" s="1319">
        <f t="shared" si="10"/>
        <v>100</v>
      </c>
      <c r="T41" s="1318" t="s">
        <v>65</v>
      </c>
      <c r="U41" s="1319">
        <f t="shared" si="11"/>
        <v>100</v>
      </c>
      <c r="V41" s="1318" t="s">
        <v>65</v>
      </c>
      <c r="W41" s="1319">
        <f t="shared" si="12"/>
        <v>100</v>
      </c>
      <c r="X41" s="1320"/>
      <c r="Y41" s="3663"/>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63" t="s">
        <v>409</v>
      </c>
      <c r="Q42" s="1322" t="str">
        <f t="shared" si="14"/>
        <v>工程地质条件</v>
      </c>
      <c r="R42" s="1323" t="s">
        <v>65</v>
      </c>
      <c r="S42" s="1324">
        <f t="shared" si="10"/>
        <v>100</v>
      </c>
      <c r="T42" s="1323" t="s">
        <v>65</v>
      </c>
      <c r="U42" s="1324">
        <f t="shared" si="11"/>
        <v>100</v>
      </c>
      <c r="V42" s="1323" t="s">
        <v>65</v>
      </c>
      <c r="W42" s="1324">
        <f t="shared" si="12"/>
        <v>100</v>
      </c>
      <c r="X42" s="1317"/>
      <c r="Y42" s="3663"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63"/>
      <c r="Q43" s="1322">
        <f t="shared" si="14"/>
        <v>111</v>
      </c>
      <c r="R43" s="1323" t="s">
        <v>65</v>
      </c>
      <c r="S43" s="1324">
        <f t="shared" si="10"/>
        <v>100</v>
      </c>
      <c r="T43" s="1323" t="s">
        <v>65</v>
      </c>
      <c r="U43" s="1324">
        <f t="shared" si="11"/>
        <v>100</v>
      </c>
      <c r="V43" s="1323" t="s">
        <v>65</v>
      </c>
      <c r="W43" s="1324">
        <f t="shared" si="12"/>
        <v>100</v>
      </c>
      <c r="X43" s="1317"/>
      <c r="Y43" s="3663"/>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63"/>
      <c r="Q44" s="1322">
        <f t="shared" si="14"/>
        <v>111</v>
      </c>
      <c r="R44" s="1323" t="s">
        <v>65</v>
      </c>
      <c r="S44" s="1324">
        <f t="shared" si="10"/>
        <v>100</v>
      </c>
      <c r="T44" s="1323" t="s">
        <v>65</v>
      </c>
      <c r="U44" s="1324">
        <f t="shared" si="11"/>
        <v>100</v>
      </c>
      <c r="V44" s="1323" t="s">
        <v>65</v>
      </c>
      <c r="W44" s="1324">
        <f t="shared" si="12"/>
        <v>100</v>
      </c>
      <c r="X44" s="1317"/>
      <c r="Y44" s="3663"/>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63"/>
      <c r="Q45" s="1322">
        <f t="shared" si="14"/>
        <v>111</v>
      </c>
      <c r="R45" s="1328" t="s">
        <v>65</v>
      </c>
      <c r="S45" s="1329">
        <f t="shared" si="10"/>
        <v>100</v>
      </c>
      <c r="T45" s="1328" t="s">
        <v>65</v>
      </c>
      <c r="U45" s="1329">
        <f t="shared" si="11"/>
        <v>100</v>
      </c>
      <c r="V45" s="1328" t="s">
        <v>65</v>
      </c>
      <c r="W45" s="1329">
        <f t="shared" si="12"/>
        <v>100</v>
      </c>
      <c r="X45" s="1330"/>
      <c r="Y45" s="3663"/>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55" t="str">
        <f>A46</f>
        <v>成交单价</v>
      </c>
      <c r="Q46" s="3655"/>
      <c r="R46" s="3683">
        <f>E46</f>
        <v>0</v>
      </c>
      <c r="S46" s="3683"/>
      <c r="T46" s="3683">
        <f>G46</f>
        <v>0</v>
      </c>
      <c r="U46" s="3683"/>
      <c r="V46" s="3683">
        <f>I46</f>
        <v>0</v>
      </c>
      <c r="W46" s="368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55" t="str">
        <f>A47</f>
        <v>比较价值（元/平方米）</v>
      </c>
      <c r="Q47" s="3655"/>
      <c r="R47" s="3695" t="e">
        <f>ROUND(PRODUCT(R46,AA7:AA45),0)</f>
        <v>#DIV/0!</v>
      </c>
      <c r="S47" s="3695"/>
      <c r="T47" s="3695" t="e">
        <f>ROUND(PRODUCT(T46,AB7:AB45),0)</f>
        <v>#DIV/0!</v>
      </c>
      <c r="U47" s="3695"/>
      <c r="V47" s="3695" t="e">
        <f>ROUND(PRODUCT(V46,AC7:AC45),0)</f>
        <v>#DIV/0!</v>
      </c>
      <c r="W47" s="3695"/>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57" t="str">
        <f>A48</f>
        <v>估价对象XX用房的比较价值（楼面单价，元/平方米）</v>
      </c>
      <c r="Q48" s="3658"/>
      <c r="R48" s="3696" t="e">
        <f>ROUND(AVERAGE(R47:V47),0)</f>
        <v>#DIV/0!</v>
      </c>
      <c r="S48" s="3696"/>
      <c r="T48" s="3696"/>
      <c r="U48" s="3696"/>
      <c r="V48" s="3696"/>
      <c r="W48" s="3696"/>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2318</v>
      </c>
      <c r="E55" s="1094" t="s">
        <v>493</v>
      </c>
      <c r="F55" s="2188" t="s">
        <v>494</v>
      </c>
      <c r="G55" s="3697" t="s">
        <v>2311</v>
      </c>
      <c r="H55" s="3698"/>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99"/>
      <c r="H56" s="3700"/>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701" t="s">
        <v>2312</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701"/>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701"/>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701"/>
      <c r="H60" s="2185">
        <f>项目基本情况!B37</f>
        <v>0</v>
      </c>
      <c r="I60" s="2190">
        <f>SUMIF(修正!A45:A56,H60,修正!E45:E56)</f>
        <v>0</v>
      </c>
      <c r="J60" s="2195"/>
      <c r="K60" s="2361"/>
      <c r="L60" s="1773"/>
      <c r="M60" s="1773"/>
      <c r="N60" s="1773"/>
      <c r="O60" s="1773"/>
    </row>
    <row r="61" spans="1:15" s="1100" customFormat="1">
      <c r="A61" s="2513" t="s">
        <v>2393</v>
      </c>
      <c r="B61" s="593" t="e">
        <f t="shared" si="17"/>
        <v>#DIV/0!</v>
      </c>
      <c r="C61" s="531">
        <f t="shared" si="16"/>
        <v>0</v>
      </c>
      <c r="D61" s="2393">
        <v>0.25</v>
      </c>
      <c r="E61" s="592">
        <f>'数据-汇总表'!E11</f>
        <v>0</v>
      </c>
      <c r="F61" s="2184" t="e">
        <f t="shared" si="15"/>
        <v>#DIV/0!</v>
      </c>
      <c r="G61" s="2197" t="s">
        <v>2313</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2314</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2313</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2319</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2780</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2657</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2490</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67" t="s">
        <v>391</v>
      </c>
      <c r="D4" s="3668"/>
      <c r="E4" s="3669" t="s">
        <v>392</v>
      </c>
      <c r="F4" s="3670"/>
      <c r="G4" s="3667" t="s">
        <v>393</v>
      </c>
      <c r="H4" s="3668"/>
      <c r="I4" s="3667" t="s">
        <v>394</v>
      </c>
      <c r="J4" s="3668"/>
      <c r="K4" s="952" t="s">
        <v>395</v>
      </c>
      <c r="L4" s="2346"/>
      <c r="M4" s="2347"/>
      <c r="N4" s="2347"/>
      <c r="O4" s="2347"/>
      <c r="P4" s="3671" t="s">
        <v>396</v>
      </c>
      <c r="Q4" s="3672"/>
      <c r="R4" s="3677" t="s">
        <v>392</v>
      </c>
      <c r="S4" s="3678"/>
      <c r="T4" s="3677" t="s">
        <v>393</v>
      </c>
      <c r="U4" s="3678"/>
      <c r="V4" s="3683" t="s">
        <v>394</v>
      </c>
      <c r="W4" s="3683"/>
      <c r="X4" s="1317"/>
      <c r="Y4" s="3677" t="s">
        <v>396</v>
      </c>
      <c r="Z4" s="3678"/>
      <c r="AA4" s="3664" t="s">
        <v>392</v>
      </c>
      <c r="AB4" s="3665" t="s">
        <v>393</v>
      </c>
      <c r="AC4" s="3664" t="s">
        <v>394</v>
      </c>
    </row>
    <row r="5" spans="1:29" ht="15">
      <c r="A5" s="746"/>
      <c r="B5" s="747"/>
      <c r="C5" s="3630" t="s">
        <v>1127</v>
      </c>
      <c r="D5" s="3631"/>
      <c r="E5" s="3637" t="s">
        <v>1128</v>
      </c>
      <c r="F5" s="3638"/>
      <c r="G5" s="3630" t="s">
        <v>1131</v>
      </c>
      <c r="H5" s="3631"/>
      <c r="I5" s="3630" t="s">
        <v>1129</v>
      </c>
      <c r="J5" s="3631"/>
      <c r="K5" s="952"/>
      <c r="L5" s="2346"/>
      <c r="M5" s="2347"/>
      <c r="N5" s="2347"/>
      <c r="O5" s="2347"/>
      <c r="P5" s="3673"/>
      <c r="Q5" s="3674"/>
      <c r="R5" s="3679"/>
      <c r="S5" s="3680"/>
      <c r="T5" s="3679"/>
      <c r="U5" s="3680"/>
      <c r="V5" s="3683"/>
      <c r="W5" s="3683"/>
      <c r="X5" s="1317"/>
      <c r="Y5" s="3679"/>
      <c r="Z5" s="3680"/>
      <c r="AA5" s="3665"/>
      <c r="AB5" s="3665"/>
      <c r="AC5" s="3665"/>
    </row>
    <row r="6" spans="1:29" ht="15.75" thickBot="1">
      <c r="A6" s="748"/>
      <c r="B6" s="749"/>
      <c r="C6" s="3702" t="s">
        <v>1130</v>
      </c>
      <c r="D6" s="3703"/>
      <c r="E6" s="3704" t="s">
        <v>1130</v>
      </c>
      <c r="F6" s="3705"/>
      <c r="G6" s="3702" t="s">
        <v>1130</v>
      </c>
      <c r="H6" s="3703"/>
      <c r="I6" s="3702" t="s">
        <v>1130</v>
      </c>
      <c r="J6" s="3703"/>
      <c r="K6" s="952" t="s">
        <v>397</v>
      </c>
      <c r="L6" s="2346"/>
      <c r="M6" s="2347"/>
      <c r="N6" s="2347"/>
      <c r="O6" s="2347"/>
      <c r="P6" s="3675"/>
      <c r="Q6" s="3676"/>
      <c r="R6" s="3679"/>
      <c r="S6" s="3680"/>
      <c r="T6" s="3681"/>
      <c r="U6" s="3682"/>
      <c r="V6" s="3683"/>
      <c r="W6" s="3683"/>
      <c r="X6" s="1317"/>
      <c r="Y6" s="3681"/>
      <c r="Z6" s="3682"/>
      <c r="AA6" s="3666"/>
      <c r="AB6" s="3666"/>
      <c r="AC6" s="3666"/>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88" t="s">
        <v>399</v>
      </c>
      <c r="Q7" s="3690"/>
      <c r="R7" s="1318" t="s">
        <v>65</v>
      </c>
      <c r="S7" s="1319">
        <f t="shared" ref="S7:S15" si="0">F7</f>
        <v>0</v>
      </c>
      <c r="T7" s="1318" t="s">
        <v>65</v>
      </c>
      <c r="U7" s="1319">
        <f t="shared" ref="U7:U15" si="1">H7</f>
        <v>0</v>
      </c>
      <c r="V7" s="1318" t="s">
        <v>65</v>
      </c>
      <c r="W7" s="1319">
        <f t="shared" ref="W7:W15" si="2">J7</f>
        <v>0</v>
      </c>
      <c r="X7" s="1320"/>
      <c r="Y7" s="3688" t="s">
        <v>399</v>
      </c>
      <c r="Z7" s="3689"/>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88" t="s">
        <v>435</v>
      </c>
      <c r="Q8" s="3689"/>
      <c r="R8" s="1318" t="s">
        <v>65</v>
      </c>
      <c r="S8" s="1319">
        <f t="shared" si="0"/>
        <v>0</v>
      </c>
      <c r="T8" s="1318" t="s">
        <v>65</v>
      </c>
      <c r="U8" s="1319">
        <f t="shared" si="1"/>
        <v>0</v>
      </c>
      <c r="V8" s="1318" t="s">
        <v>65</v>
      </c>
      <c r="W8" s="1319">
        <f t="shared" si="2"/>
        <v>0</v>
      </c>
      <c r="X8" s="1320"/>
      <c r="Y8" s="3688" t="s">
        <v>435</v>
      </c>
      <c r="Z8" s="3689"/>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55" t="s">
        <v>402</v>
      </c>
      <c r="Q9" s="296" t="str">
        <f t="shared" ref="Q9:Q15" si="6">B9</f>
        <v>用途</v>
      </c>
      <c r="R9" s="1318" t="s">
        <v>65</v>
      </c>
      <c r="S9" s="1319">
        <f t="shared" si="0"/>
        <v>100</v>
      </c>
      <c r="T9" s="1318" t="s">
        <v>65</v>
      </c>
      <c r="U9" s="1319">
        <f t="shared" si="1"/>
        <v>100</v>
      </c>
      <c r="V9" s="1318" t="s">
        <v>65</v>
      </c>
      <c r="W9" s="1319">
        <f t="shared" si="2"/>
        <v>100</v>
      </c>
      <c r="X9" s="1320"/>
      <c r="Y9" s="3461"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55"/>
      <c r="Q10" s="296" t="str">
        <f t="shared" si="6"/>
        <v>土地使用年限（年）</v>
      </c>
      <c r="R10" s="1318" t="s">
        <v>65</v>
      </c>
      <c r="S10" s="1319">
        <f t="shared" si="0"/>
        <v>119</v>
      </c>
      <c r="T10" s="1318" t="s">
        <v>65</v>
      </c>
      <c r="U10" s="1319">
        <f t="shared" si="1"/>
        <v>119</v>
      </c>
      <c r="V10" s="1318" t="s">
        <v>65</v>
      </c>
      <c r="W10" s="1319">
        <f t="shared" si="2"/>
        <v>119</v>
      </c>
      <c r="X10" s="1320"/>
      <c r="Y10" s="3461"/>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55"/>
      <c r="Q11" s="296" t="str">
        <f t="shared" si="6"/>
        <v>容积率</v>
      </c>
      <c r="R11" s="1318" t="s">
        <v>65</v>
      </c>
      <c r="S11" s="1319" t="e">
        <f t="shared" si="0"/>
        <v>#N/A</v>
      </c>
      <c r="T11" s="1318" t="s">
        <v>65</v>
      </c>
      <c r="U11" s="1319" t="e">
        <f t="shared" si="1"/>
        <v>#N/A</v>
      </c>
      <c r="V11" s="1318" t="s">
        <v>65</v>
      </c>
      <c r="W11" s="1319" t="e">
        <f t="shared" si="2"/>
        <v>#N/A</v>
      </c>
      <c r="X11" s="1320"/>
      <c r="Y11" s="3461"/>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55"/>
      <c r="Q12" s="296">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55"/>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55"/>
      <c r="Q14" s="296">
        <f t="shared" si="6"/>
        <v>111</v>
      </c>
      <c r="R14" s="1318" t="s">
        <v>65</v>
      </c>
      <c r="S14" s="1319">
        <f t="shared" si="0"/>
        <v>100</v>
      </c>
      <c r="T14" s="1318" t="s">
        <v>65</v>
      </c>
      <c r="U14" s="1319">
        <f t="shared" si="1"/>
        <v>100</v>
      </c>
      <c r="V14" s="1318" t="s">
        <v>65</v>
      </c>
      <c r="W14" s="1319">
        <f t="shared" si="2"/>
        <v>100</v>
      </c>
      <c r="X14" s="1320"/>
      <c r="Y14" s="3461"/>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60" t="s">
        <v>407</v>
      </c>
      <c r="Q15" s="1322" t="str">
        <f t="shared" si="6"/>
        <v>产业集聚程度</v>
      </c>
      <c r="R15" s="1323" t="s">
        <v>65</v>
      </c>
      <c r="S15" s="1324">
        <f t="shared" si="0"/>
        <v>100</v>
      </c>
      <c r="T15" s="1323" t="s">
        <v>65</v>
      </c>
      <c r="U15" s="1324">
        <f t="shared" si="1"/>
        <v>100</v>
      </c>
      <c r="V15" s="1323" t="s">
        <v>65</v>
      </c>
      <c r="W15" s="1324">
        <f t="shared" si="2"/>
        <v>100</v>
      </c>
      <c r="X15" s="1317"/>
      <c r="Y15" s="3660"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61"/>
      <c r="Q16" s="1322"/>
      <c r="R16" s="1323"/>
      <c r="S16" s="1324"/>
      <c r="T16" s="1323"/>
      <c r="U16" s="1324"/>
      <c r="V16" s="1323"/>
      <c r="W16" s="1324"/>
      <c r="X16" s="1317"/>
      <c r="Y16" s="3661"/>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61"/>
      <c r="Q17" s="1322" t="str">
        <f>B17</f>
        <v>交通便捷度</v>
      </c>
      <c r="R17" s="1323" t="s">
        <v>65</v>
      </c>
      <c r="S17" s="1324">
        <f>F17</f>
        <v>100</v>
      </c>
      <c r="T17" s="1323" t="s">
        <v>65</v>
      </c>
      <c r="U17" s="1324">
        <f>H17</f>
        <v>100</v>
      </c>
      <c r="V17" s="1323" t="s">
        <v>65</v>
      </c>
      <c r="W17" s="1324">
        <f>J17</f>
        <v>100</v>
      </c>
      <c r="X17" s="1317"/>
      <c r="Y17" s="3661"/>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61"/>
      <c r="Q18" s="1322"/>
      <c r="R18" s="1323"/>
      <c r="S18" s="1324"/>
      <c r="T18" s="1323"/>
      <c r="U18" s="1324"/>
      <c r="V18" s="1323"/>
      <c r="W18" s="1324"/>
      <c r="X18" s="1317"/>
      <c r="Y18" s="3661"/>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61"/>
      <c r="Q19" s="1322" t="str">
        <f t="shared" ref="Q19:Q33" si="8">B19</f>
        <v>区域土地利用方向</v>
      </c>
      <c r="R19" s="1323" t="s">
        <v>65</v>
      </c>
      <c r="S19" s="1324">
        <f>F19</f>
        <v>100</v>
      </c>
      <c r="T19" s="1323" t="s">
        <v>65</v>
      </c>
      <c r="U19" s="1324">
        <f>H19</f>
        <v>100</v>
      </c>
      <c r="V19" s="1323" t="s">
        <v>65</v>
      </c>
      <c r="W19" s="1324">
        <f>J19</f>
        <v>100</v>
      </c>
      <c r="X19" s="1317"/>
      <c r="Y19" s="3661"/>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61"/>
      <c r="Q20" s="1469"/>
      <c r="R20" s="1323"/>
      <c r="S20" s="1324"/>
      <c r="T20" s="1323"/>
      <c r="U20" s="1324"/>
      <c r="V20" s="1323"/>
      <c r="W20" s="1324"/>
      <c r="X20" s="1468"/>
      <c r="Y20" s="3661"/>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61"/>
      <c r="Q21" s="1322" t="str">
        <f t="shared" si="8"/>
        <v>环境状况</v>
      </c>
      <c r="R21" s="1323" t="s">
        <v>65</v>
      </c>
      <c r="S21" s="1324">
        <f>F21</f>
        <v>100</v>
      </c>
      <c r="T21" s="1323" t="s">
        <v>65</v>
      </c>
      <c r="U21" s="1324">
        <f>H21</f>
        <v>100</v>
      </c>
      <c r="V21" s="1323" t="s">
        <v>65</v>
      </c>
      <c r="W21" s="1324">
        <f>J21</f>
        <v>100</v>
      </c>
      <c r="X21" s="1317"/>
      <c r="Y21" s="3661"/>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61"/>
      <c r="Q22" s="1322"/>
      <c r="R22" s="1323"/>
      <c r="S22" s="1324"/>
      <c r="T22" s="1323"/>
      <c r="U22" s="1324"/>
      <c r="V22" s="1323"/>
      <c r="W22" s="1324"/>
      <c r="X22" s="1317"/>
      <c r="Y22" s="3661"/>
      <c r="Z22" s="1325"/>
      <c r="AA22" s="1326">
        <v>1</v>
      </c>
      <c r="AB22" s="1326">
        <v>1</v>
      </c>
      <c r="AC22" s="1326">
        <v>1</v>
      </c>
    </row>
    <row r="23" spans="1:29" s="407" customFormat="1" ht="148.5">
      <c r="A23" s="991"/>
      <c r="B23" s="1035" t="s">
        <v>2657</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61"/>
      <c r="Q23" s="296" t="str">
        <f t="shared" si="8"/>
        <v>公共配套设施</v>
      </c>
      <c r="R23" s="1318" t="s">
        <v>65</v>
      </c>
      <c r="S23" s="1319">
        <f>F23</f>
        <v>100</v>
      </c>
      <c r="T23" s="1318" t="s">
        <v>65</v>
      </c>
      <c r="U23" s="1319">
        <f>H23</f>
        <v>100</v>
      </c>
      <c r="V23" s="1318" t="s">
        <v>65</v>
      </c>
      <c r="W23" s="1319">
        <f>J23</f>
        <v>100</v>
      </c>
      <c r="X23" s="1320"/>
      <c r="Y23" s="3661"/>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61"/>
      <c r="Q24" s="296"/>
      <c r="R24" s="1318"/>
      <c r="S24" s="1319"/>
      <c r="T24" s="1318"/>
      <c r="U24" s="1319"/>
      <c r="V24" s="1318"/>
      <c r="W24" s="1319"/>
      <c r="X24" s="1320"/>
      <c r="Y24" s="3661"/>
      <c r="Z24" s="344"/>
      <c r="AA24" s="1321">
        <v>1</v>
      </c>
      <c r="AB24" s="1321">
        <v>1</v>
      </c>
      <c r="AC24" s="1321">
        <v>1</v>
      </c>
    </row>
    <row r="25" spans="1:29" s="407" customFormat="1" ht="108">
      <c r="A25" s="991"/>
      <c r="B25" s="1035" t="s">
        <v>2658</v>
      </c>
      <c r="C25" s="158" t="str">
        <f>估价对象房地状况!G20</f>
        <v>估价对象所在区域公共配套设施齐备情况；基础设施水平；综合评价公用设施及基础设施水平较好</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61"/>
      <c r="Q25" s="2742" t="str">
        <f t="shared" ref="Q25" si="9">B25</f>
        <v>基础设施水平</v>
      </c>
      <c r="R25" s="1318" t="s">
        <v>65</v>
      </c>
      <c r="S25" s="1319">
        <f>F25</f>
        <v>100</v>
      </c>
      <c r="T25" s="1318" t="s">
        <v>65</v>
      </c>
      <c r="U25" s="1319">
        <f>H25</f>
        <v>100</v>
      </c>
      <c r="V25" s="1318" t="s">
        <v>65</v>
      </c>
      <c r="W25" s="1319">
        <f>J25</f>
        <v>100</v>
      </c>
      <c r="X25" s="1320"/>
      <c r="Y25" s="3661"/>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61"/>
      <c r="Q26" s="2742"/>
      <c r="R26" s="1318"/>
      <c r="S26" s="1319"/>
      <c r="T26" s="1318"/>
      <c r="U26" s="1319"/>
      <c r="V26" s="1318"/>
      <c r="W26" s="1319"/>
      <c r="X26" s="1320"/>
      <c r="Y26" s="3661"/>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61"/>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61"/>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城市支路——永昌街</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61"/>
      <c r="Q28" s="1322" t="str">
        <f t="shared" si="8"/>
        <v>毗邻道路的类型与等级</v>
      </c>
      <c r="R28" s="1323" t="s">
        <v>65</v>
      </c>
      <c r="S28" s="1324">
        <f t="shared" si="10"/>
        <v>100</v>
      </c>
      <c r="T28" s="1323" t="s">
        <v>65</v>
      </c>
      <c r="U28" s="1324">
        <f t="shared" si="11"/>
        <v>100</v>
      </c>
      <c r="V28" s="1323" t="s">
        <v>65</v>
      </c>
      <c r="W28" s="1324">
        <f t="shared" si="12"/>
        <v>100</v>
      </c>
      <c r="X28" s="1317"/>
      <c r="Y28" s="3661"/>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61"/>
      <c r="Q29" s="1322"/>
      <c r="R29" s="1323"/>
      <c r="S29" s="1324"/>
      <c r="T29" s="1323"/>
      <c r="U29" s="1324"/>
      <c r="V29" s="1323"/>
      <c r="W29" s="1324"/>
      <c r="X29" s="1317"/>
      <c r="Y29" s="3661"/>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61"/>
      <c r="Q30" s="1322" t="str">
        <f t="shared" si="8"/>
        <v>土地级别</v>
      </c>
      <c r="R30" s="1323" t="s">
        <v>65</v>
      </c>
      <c r="S30" s="1324">
        <f t="shared" si="10"/>
        <v>100</v>
      </c>
      <c r="T30" s="1323" t="s">
        <v>65</v>
      </c>
      <c r="U30" s="1324">
        <f t="shared" si="11"/>
        <v>100</v>
      </c>
      <c r="V30" s="1323" t="s">
        <v>65</v>
      </c>
      <c r="W30" s="1324">
        <f t="shared" si="12"/>
        <v>100</v>
      </c>
      <c r="X30" s="1317"/>
      <c r="Y30" s="3661"/>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61"/>
      <c r="Q31" s="1322">
        <f t="shared" si="8"/>
        <v>111</v>
      </c>
      <c r="R31" s="1323" t="s">
        <v>65</v>
      </c>
      <c r="S31" s="1324">
        <f t="shared" si="10"/>
        <v>100</v>
      </c>
      <c r="T31" s="1323" t="s">
        <v>65</v>
      </c>
      <c r="U31" s="1324">
        <f t="shared" si="11"/>
        <v>100</v>
      </c>
      <c r="V31" s="1323" t="s">
        <v>65</v>
      </c>
      <c r="W31" s="1324">
        <f t="shared" si="12"/>
        <v>100</v>
      </c>
      <c r="X31" s="1317"/>
      <c r="Y31" s="3661"/>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62" t="s">
        <v>409</v>
      </c>
      <c r="Q32" s="1322">
        <f t="shared" si="8"/>
        <v>111</v>
      </c>
      <c r="R32" s="1323" t="s">
        <v>65</v>
      </c>
      <c r="S32" s="1324">
        <f t="shared" si="10"/>
        <v>100</v>
      </c>
      <c r="T32" s="1323" t="s">
        <v>65</v>
      </c>
      <c r="U32" s="1324">
        <f t="shared" si="11"/>
        <v>100</v>
      </c>
      <c r="V32" s="1323" t="s">
        <v>65</v>
      </c>
      <c r="W32" s="1324">
        <f t="shared" si="12"/>
        <v>100</v>
      </c>
      <c r="X32" s="1317"/>
      <c r="Y32" s="3663"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63"/>
      <c r="Q33" s="1322">
        <f t="shared" si="8"/>
        <v>111</v>
      </c>
      <c r="R33" s="1328" t="s">
        <v>65</v>
      </c>
      <c r="S33" s="1329">
        <f t="shared" si="10"/>
        <v>100</v>
      </c>
      <c r="T33" s="1328" t="s">
        <v>65</v>
      </c>
      <c r="U33" s="1329">
        <f t="shared" si="11"/>
        <v>100</v>
      </c>
      <c r="V33" s="1328" t="s">
        <v>65</v>
      </c>
      <c r="W33" s="1329">
        <f t="shared" si="12"/>
        <v>100</v>
      </c>
      <c r="X33" s="1330"/>
      <c r="Y33" s="3663"/>
      <c r="Z33" s="1331">
        <f t="shared" si="13"/>
        <v>111</v>
      </c>
      <c r="AA33" s="1326">
        <f t="shared" si="3"/>
        <v>1</v>
      </c>
      <c r="AB33" s="1326">
        <f t="shared" si="4"/>
        <v>1</v>
      </c>
      <c r="AC33" s="1326">
        <f t="shared" si="5"/>
        <v>1</v>
      </c>
    </row>
    <row r="34" spans="1:29" ht="15">
      <c r="A34" s="782" t="s">
        <v>2783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63"/>
      <c r="Q34" s="1322" t="str">
        <f>B34</f>
        <v>宗地面积</v>
      </c>
      <c r="R34" s="1323" t="s">
        <v>65</v>
      </c>
      <c r="S34" s="1324" t="e">
        <f t="shared" si="10"/>
        <v>#N/A</v>
      </c>
      <c r="T34" s="1323" t="s">
        <v>65</v>
      </c>
      <c r="U34" s="1324" t="e">
        <f t="shared" si="11"/>
        <v>#N/A</v>
      </c>
      <c r="V34" s="1323" t="s">
        <v>65</v>
      </c>
      <c r="W34" s="1324" t="e">
        <f t="shared" si="12"/>
        <v>#N/A</v>
      </c>
      <c r="X34" s="1317"/>
      <c r="Y34" s="3663"/>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63"/>
      <c r="Q35" s="1322" t="str">
        <f t="shared" ref="Q35:Q40" si="14">B35</f>
        <v>宗地形状</v>
      </c>
      <c r="R35" s="1323" t="s">
        <v>65</v>
      </c>
      <c r="S35" s="1324">
        <f t="shared" si="10"/>
        <v>100</v>
      </c>
      <c r="T35" s="1323" t="s">
        <v>65</v>
      </c>
      <c r="U35" s="1324">
        <f t="shared" si="11"/>
        <v>100</v>
      </c>
      <c r="V35" s="1323" t="s">
        <v>65</v>
      </c>
      <c r="W35" s="1324">
        <f t="shared" si="12"/>
        <v>100</v>
      </c>
      <c r="X35" s="1317"/>
      <c r="Y35" s="3663"/>
      <c r="Z35" s="1325" t="str">
        <f t="shared" si="13"/>
        <v>宗地形状</v>
      </c>
      <c r="AA35" s="1326">
        <f t="shared" si="3"/>
        <v>1</v>
      </c>
      <c r="AB35" s="1326">
        <f t="shared" si="4"/>
        <v>1</v>
      </c>
      <c r="AC35" s="1326">
        <f t="shared" si="5"/>
        <v>1</v>
      </c>
    </row>
    <row r="36" spans="1:29" s="407" customFormat="1" ht="15">
      <c r="A36" s="815"/>
      <c r="B36" s="2608" t="s">
        <v>2492</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63"/>
      <c r="Q36" s="1322" t="str">
        <f t="shared" si="14"/>
        <v>宗地开发程度</v>
      </c>
      <c r="R36" s="1318" t="s">
        <v>65</v>
      </c>
      <c r="S36" s="1319">
        <f t="shared" si="10"/>
        <v>100</v>
      </c>
      <c r="T36" s="1318" t="s">
        <v>65</v>
      </c>
      <c r="U36" s="1319">
        <f t="shared" si="11"/>
        <v>100</v>
      </c>
      <c r="V36" s="1318" t="s">
        <v>65</v>
      </c>
      <c r="W36" s="1319">
        <f t="shared" si="12"/>
        <v>100</v>
      </c>
      <c r="X36" s="1320"/>
      <c r="Y36" s="3663"/>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63" t="s">
        <v>520</v>
      </c>
      <c r="Q37" s="1322" t="str">
        <f t="shared" si="14"/>
        <v>工程地质条件</v>
      </c>
      <c r="R37" s="1323" t="s">
        <v>65</v>
      </c>
      <c r="S37" s="1324">
        <f t="shared" si="10"/>
        <v>100</v>
      </c>
      <c r="T37" s="1323" t="s">
        <v>65</v>
      </c>
      <c r="U37" s="1324">
        <f t="shared" si="11"/>
        <v>100</v>
      </c>
      <c r="V37" s="1323" t="s">
        <v>65</v>
      </c>
      <c r="W37" s="1324">
        <f t="shared" si="12"/>
        <v>100</v>
      </c>
      <c r="X37" s="1317"/>
      <c r="Y37" s="3663"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63"/>
      <c r="Q38" s="1322">
        <f t="shared" si="14"/>
        <v>111</v>
      </c>
      <c r="R38" s="1323" t="s">
        <v>65</v>
      </c>
      <c r="S38" s="1324">
        <f t="shared" si="10"/>
        <v>100</v>
      </c>
      <c r="T38" s="1323" t="s">
        <v>65</v>
      </c>
      <c r="U38" s="1324">
        <f t="shared" si="11"/>
        <v>100</v>
      </c>
      <c r="V38" s="1323" t="s">
        <v>65</v>
      </c>
      <c r="W38" s="1324">
        <f t="shared" si="12"/>
        <v>100</v>
      </c>
      <c r="X38" s="1317"/>
      <c r="Y38" s="3663"/>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63"/>
      <c r="Q39" s="1322">
        <f t="shared" si="14"/>
        <v>111</v>
      </c>
      <c r="R39" s="1323" t="s">
        <v>65</v>
      </c>
      <c r="S39" s="1324">
        <f t="shared" si="10"/>
        <v>100</v>
      </c>
      <c r="T39" s="1323" t="s">
        <v>65</v>
      </c>
      <c r="U39" s="1324">
        <f t="shared" si="11"/>
        <v>100</v>
      </c>
      <c r="V39" s="1323" t="s">
        <v>65</v>
      </c>
      <c r="W39" s="1324">
        <f t="shared" si="12"/>
        <v>100</v>
      </c>
      <c r="X39" s="1317"/>
      <c r="Y39" s="3663"/>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63"/>
      <c r="Q40" s="1322">
        <f t="shared" si="14"/>
        <v>111</v>
      </c>
      <c r="R40" s="1328" t="s">
        <v>65</v>
      </c>
      <c r="S40" s="1329">
        <f t="shared" si="10"/>
        <v>100</v>
      </c>
      <c r="T40" s="1328" t="s">
        <v>65</v>
      </c>
      <c r="U40" s="1329">
        <f t="shared" si="11"/>
        <v>100</v>
      </c>
      <c r="V40" s="1328" t="s">
        <v>65</v>
      </c>
      <c r="W40" s="1329">
        <f t="shared" si="12"/>
        <v>100</v>
      </c>
      <c r="X40" s="1330"/>
      <c r="Y40" s="3663"/>
      <c r="Z40" s="1331">
        <f t="shared" si="13"/>
        <v>111</v>
      </c>
      <c r="AA40" s="1326">
        <f t="shared" si="3"/>
        <v>1</v>
      </c>
      <c r="AB40" s="1326">
        <f t="shared" si="4"/>
        <v>1</v>
      </c>
      <c r="AC40" s="1326">
        <f t="shared" si="5"/>
        <v>1</v>
      </c>
    </row>
    <row r="41" spans="1:29" ht="15">
      <c r="A41" s="821" t="s">
        <v>490</v>
      </c>
      <c r="B41" s="207" t="s">
        <v>3009</v>
      </c>
      <c r="C41" s="1090" t="s">
        <v>23</v>
      </c>
      <c r="D41" s="823"/>
      <c r="E41" s="824"/>
      <c r="F41" s="825"/>
      <c r="G41" s="826"/>
      <c r="H41" s="827"/>
      <c r="I41" s="824"/>
      <c r="J41" s="827"/>
      <c r="K41" s="1399"/>
      <c r="L41" s="2359"/>
      <c r="M41" s="2347"/>
      <c r="N41" s="2347"/>
      <c r="O41" s="2360"/>
      <c r="P41" s="3655" t="str">
        <f>A41</f>
        <v>成交单价</v>
      </c>
      <c r="Q41" s="3655"/>
      <c r="R41" s="3683">
        <f>E41</f>
        <v>0</v>
      </c>
      <c r="S41" s="3683"/>
      <c r="T41" s="3683">
        <f>G41</f>
        <v>0</v>
      </c>
      <c r="U41" s="3683"/>
      <c r="V41" s="3683">
        <f>I41</f>
        <v>0</v>
      </c>
      <c r="W41" s="368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55" t="str">
        <f>A42</f>
        <v>比较价值（元/平方米）</v>
      </c>
      <c r="Q42" s="3655"/>
      <c r="R42" s="3695" t="e">
        <f>ROUND(PRODUCT(R41,AA7:AA40),0)</f>
        <v>#DIV/0!</v>
      </c>
      <c r="S42" s="3695"/>
      <c r="T42" s="3695" t="e">
        <f>ROUND(PRODUCT(T41,AB7:AB40),0)</f>
        <v>#DIV/0!</v>
      </c>
      <c r="U42" s="3695"/>
      <c r="V42" s="3695" t="e">
        <f>ROUND(PRODUCT(V41,AC7:AC40),0)</f>
        <v>#DIV/0!</v>
      </c>
      <c r="W42" s="3695"/>
      <c r="X42" s="1306"/>
      <c r="Y42" s="1306"/>
      <c r="Z42" s="1306"/>
      <c r="AA42" s="1306"/>
      <c r="AB42" s="1306"/>
      <c r="AC42" s="1306"/>
    </row>
    <row r="43" spans="1:29" ht="15.75" thickBot="1">
      <c r="A43" s="115" t="s">
        <v>3002</v>
      </c>
      <c r="B43" s="835"/>
      <c r="C43" s="836" t="e">
        <f>R43</f>
        <v>#DIV/0!</v>
      </c>
      <c r="D43" s="836"/>
      <c r="E43" s="836"/>
      <c r="F43" s="836"/>
      <c r="G43" s="836"/>
      <c r="H43" s="836"/>
      <c r="I43" s="836"/>
      <c r="J43" s="836"/>
      <c r="K43" s="1401"/>
      <c r="L43" s="2359"/>
      <c r="M43" s="2347"/>
      <c r="N43" s="2347"/>
      <c r="O43" s="2360"/>
      <c r="P43" s="3657" t="str">
        <f>A43</f>
        <v>估价对象XX用房的比较价值（楼面单价，元/平方米）</v>
      </c>
      <c r="Q43" s="3658"/>
      <c r="R43" s="3696" t="e">
        <f>ROUND(AVERAGE(R42:V42),0)</f>
        <v>#DIV/0!</v>
      </c>
      <c r="S43" s="3696"/>
      <c r="T43" s="3696"/>
      <c r="U43" s="3696"/>
      <c r="V43" s="3696"/>
      <c r="W43" s="3696"/>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2318</v>
      </c>
      <c r="E50" s="1094" t="s">
        <v>493</v>
      </c>
      <c r="F50" s="1095" t="s">
        <v>494</v>
      </c>
      <c r="G50" s="3697" t="s">
        <v>2311</v>
      </c>
      <c r="H50" s="3698"/>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99"/>
      <c r="H51" s="3700"/>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701" t="s">
        <v>2312</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701"/>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701"/>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701"/>
      <c r="H55" s="2185">
        <f>项目基本情况!B37</f>
        <v>0</v>
      </c>
      <c r="I55" s="1774">
        <f>SUMIF(修正!A45:A56,H55,修正!E45:E56)</f>
        <v>0</v>
      </c>
      <c r="J55" s="1775"/>
      <c r="K55" s="2361"/>
      <c r="L55" s="1773"/>
      <c r="M55" s="1773"/>
      <c r="N55" s="1773"/>
      <c r="O55" s="1773"/>
    </row>
    <row r="56" spans="1:17" s="1100" customFormat="1">
      <c r="A56" s="2513" t="s">
        <v>2394</v>
      </c>
      <c r="B56" s="593" t="e">
        <f t="shared" si="17"/>
        <v>#DIV/0!</v>
      </c>
      <c r="C56" s="531">
        <f t="shared" si="16"/>
        <v>0</v>
      </c>
      <c r="D56" s="2393">
        <v>0.25</v>
      </c>
      <c r="E56" s="592">
        <f>'数据-汇总表'!E11</f>
        <v>0</v>
      </c>
      <c r="F56" s="1099" t="e">
        <f t="shared" si="15"/>
        <v>#DIV/0!</v>
      </c>
      <c r="G56" s="2197" t="s">
        <v>2313</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2314</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2313</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2319</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2780</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2779</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2657</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2493</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A87" sqref="A8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2494</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2879</v>
      </c>
      <c r="S1" s="3070" t="s">
        <v>2880</v>
      </c>
      <c r="T1" s="3070" t="s">
        <v>2881</v>
      </c>
      <c r="U1" s="3070" t="s">
        <v>2882</v>
      </c>
      <c r="V1" s="3070" t="s">
        <v>2883</v>
      </c>
      <c r="W1" s="3071"/>
      <c r="X1" s="3071"/>
      <c r="Y1" s="3071"/>
      <c r="Z1" s="3071"/>
      <c r="AA1" s="3071"/>
      <c r="AB1" s="3071"/>
      <c r="AC1" s="3072"/>
      <c r="AD1" s="3073"/>
      <c r="AE1" s="3073"/>
      <c r="AF1" s="3073"/>
      <c r="AG1" s="3073"/>
      <c r="AH1" s="3073"/>
      <c r="AI1" s="3073"/>
      <c r="AJ1" s="3074"/>
    </row>
    <row r="2" spans="1:36" ht="24">
      <c r="A2" s="86" t="s">
        <v>1795</v>
      </c>
      <c r="B2" s="579">
        <f ca="1">C26</f>
        <v>798</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7042</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3754</v>
      </c>
      <c r="C3" s="1471" t="s">
        <v>1800</v>
      </c>
      <c r="D3" s="1628" t="s">
        <v>1139</v>
      </c>
      <c r="E3" s="1783" t="s">
        <v>3090</v>
      </c>
      <c r="F3" s="1784" t="s">
        <v>3010</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4641</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09"/>
      <c r="B4" s="3710"/>
      <c r="C4" s="3710"/>
      <c r="D4" s="3711"/>
      <c r="E4" s="3711"/>
      <c r="F4" s="3711"/>
      <c r="G4" s="3711"/>
      <c r="H4" s="3711"/>
      <c r="I4" s="3711"/>
      <c r="J4" s="3712"/>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3652</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2729</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2052</v>
      </c>
      <c r="U6" s="3076"/>
      <c r="V6" s="3075">
        <f t="shared" ca="1" si="1"/>
        <v>0</v>
      </c>
      <c r="W6" s="3071"/>
      <c r="X6" s="3071"/>
      <c r="Y6" s="3071"/>
      <c r="Z6" s="3071"/>
      <c r="AA6" s="3071"/>
      <c r="AB6" s="3071"/>
      <c r="AC6" s="3077"/>
      <c r="AD6" s="3078"/>
      <c r="AE6" s="3078"/>
      <c r="AF6" s="3078"/>
      <c r="AG6" s="3078"/>
      <c r="AH6" s="3078"/>
      <c r="AI6" s="3078"/>
      <c r="AJ6" s="3079"/>
    </row>
    <row r="7" spans="1:36" ht="24">
      <c r="A7" s="3713"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1641</v>
      </c>
      <c r="U7" s="3076"/>
      <c r="V7" s="3075">
        <f t="shared" ca="1" si="1"/>
        <v>0</v>
      </c>
      <c r="W7" s="3080" t="s">
        <v>2884</v>
      </c>
      <c r="X7" s="3081" t="str">
        <f>G2</f>
        <v>九级</v>
      </c>
      <c r="Y7" s="3081" t="s">
        <v>2885</v>
      </c>
      <c r="Z7" s="3082">
        <f>G3</f>
        <v>0.23</v>
      </c>
      <c r="AA7" s="3083"/>
      <c r="AB7" s="3083"/>
      <c r="AC7" s="3084"/>
      <c r="AD7" s="3085"/>
      <c r="AE7" s="3085"/>
      <c r="AF7" s="3085"/>
      <c r="AG7" s="3085"/>
      <c r="AH7" s="3085"/>
      <c r="AI7" s="3085"/>
      <c r="AJ7" s="3086"/>
    </row>
    <row r="8" spans="1:36" ht="24">
      <c r="A8" s="3714"/>
      <c r="B8" s="1631" t="s">
        <v>1805</v>
      </c>
      <c r="C8" s="1787" t="s">
        <v>3091</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06" t="s">
        <v>2886</v>
      </c>
      <c r="X8" s="3707"/>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714"/>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08" t="s">
        <v>2887</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4"/>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0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4"/>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08" t="s">
        <v>2888</v>
      </c>
      <c r="X11" s="3091" t="s">
        <v>2885</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713"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08"/>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5"/>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08"/>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15"/>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16"/>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13" t="s">
        <v>1946</v>
      </c>
      <c r="B16" s="1645" t="s">
        <v>1820</v>
      </c>
      <c r="C16" s="1778">
        <f>ROUND(SUM(G17:J17)/C17,0)</f>
        <v>40</v>
      </c>
      <c r="D16" s="1676" t="s">
        <v>1821</v>
      </c>
      <c r="E16" s="1794" t="s">
        <v>3092</v>
      </c>
      <c r="F16" s="3363" t="s">
        <v>3106</v>
      </c>
      <c r="G16" s="1795" t="s">
        <v>3072</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14"/>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3093</v>
      </c>
      <c r="I19" s="1695" t="str">
        <f>IF(H19="季度增幅（自定义）",SUMIF(N21:N24,E2,O21:O24),"")</f>
        <v/>
      </c>
      <c r="J19" s="1688"/>
      <c r="K19" s="2387"/>
      <c r="L19" s="3243" t="s">
        <v>2945</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2946</v>
      </c>
      <c r="M20" s="3246">
        <f>ROUND(SUMPRODUCT((地价!A4:A19=YEAR(G19)&amp;"-"&amp;ROUNDUP(MONTH(G19)/3,0))*(地价!B2:F2=E2)*(地价!B4:F19)),0)</f>
        <v>279</v>
      </c>
      <c r="N20" s="3242" t="s">
        <v>2774</v>
      </c>
      <c r="O20" s="3018" t="s">
        <v>2775</v>
      </c>
      <c r="P20" s="3019" t="s">
        <v>2784</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3094</v>
      </c>
      <c r="C21" s="1756">
        <f>IF(B21="容积率修正",IF(G3&lt;=10,D22,J22),C23)</f>
        <v>4.5</v>
      </c>
      <c r="D21" s="1757"/>
      <c r="E21" s="1757"/>
      <c r="F21" s="1757"/>
      <c r="G21" s="1757"/>
      <c r="H21" s="1757"/>
      <c r="I21" s="1757"/>
      <c r="J21" s="1758"/>
      <c r="K21" s="2387"/>
      <c r="N21" s="3020" t="s">
        <v>2776</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2777</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1.0125</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2778</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798</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3753</v>
      </c>
      <c r="D29" s="1747">
        <f>'数据-取费表'!K6</f>
        <v>2125.98</v>
      </c>
      <c r="E29" s="1781">
        <f ca="1">ROUND(C29*D29/10000,0)</f>
        <v>798</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563</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25" t="s">
        <v>3050</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26"/>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26"/>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27"/>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167</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167</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2487</v>
      </c>
      <c r="G47" s="1500" t="s">
        <v>1850</v>
      </c>
      <c r="H47" s="2603" t="s">
        <v>2488</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3012</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3011</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2488</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3012</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3011</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2488</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3011</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1.0125</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2488</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3096</v>
      </c>
      <c r="D81" s="2601">
        <f t="shared" ref="D81:D88" si="25">SUMIF($J$80:$N$80,C81,J81:N81)</f>
        <v>6.4999999999999997E-3</v>
      </c>
      <c r="E81" s="1504">
        <f>ROUND(SUM(D81:D88),4)</f>
        <v>1.2500000000000001E-2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3095</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3096</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城市支路——永昌街</v>
      </c>
      <c r="C84" s="3368" t="s">
        <v>3107</v>
      </c>
      <c r="D84" s="2601">
        <f t="shared" si="25"/>
        <v>-2.0000000000000001E-4</v>
      </c>
      <c r="E84" s="1516"/>
      <c r="F84" s="1505"/>
      <c r="G84" s="2599">
        <v>2.0000000000000001E-4</v>
      </c>
      <c r="H84" s="2617">
        <f t="shared" si="26"/>
        <v>1E-3</v>
      </c>
      <c r="I84" s="1503">
        <v>0.04</v>
      </c>
      <c r="J84" s="2600">
        <f t="shared" si="27"/>
        <v>4.0000000000000002E-4</v>
      </c>
      <c r="K84" s="2600">
        <f t="shared" si="28"/>
        <v>2.0000000000000001E-4</v>
      </c>
      <c r="L84" s="2600">
        <v>0</v>
      </c>
      <c r="M84" s="2600">
        <f t="shared" si="29"/>
        <v>-2.0000000000000001E-4</v>
      </c>
      <c r="N84" s="2600">
        <f t="shared" si="29"/>
        <v>-4.0000000000000002E-4</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3095</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估价对象所在区域公共配套设施齐备情况；基础设施水平；综合评价公用设施及基础设施水平较好</v>
      </c>
      <c r="C86" s="3366" t="s">
        <v>3096</v>
      </c>
      <c r="D86" s="2601">
        <f t="shared" si="25"/>
        <v>3.7000000000000002E-3</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3099</v>
      </c>
      <c r="C87" s="3367" t="s">
        <v>3107</v>
      </c>
      <c r="D87" s="2601">
        <f t="shared" si="25"/>
        <v>-2.0000000000000001E-4</v>
      </c>
      <c r="E87" s="1516"/>
      <c r="F87" s="1505"/>
      <c r="G87" s="2599">
        <v>2.0000000000000001E-4</v>
      </c>
      <c r="H87" s="2617">
        <f t="shared" si="26"/>
        <v>1.1999999999999999E-3</v>
      </c>
      <c r="I87" s="1503">
        <v>0.05</v>
      </c>
      <c r="J87" s="2600">
        <f t="shared" si="27"/>
        <v>4.0000000000000002E-4</v>
      </c>
      <c r="K87" s="2600">
        <f t="shared" si="28"/>
        <v>2.0000000000000001E-4</v>
      </c>
      <c r="L87" s="2600">
        <v>0</v>
      </c>
      <c r="M87" s="2600">
        <f t="shared" si="29"/>
        <v>-2.0000000000000001E-4</v>
      </c>
      <c r="N87" s="2600">
        <f t="shared" si="29"/>
        <v>-4.0000000000000002E-4</v>
      </c>
      <c r="Z87" s="1627"/>
      <c r="AA87" s="1626"/>
      <c r="AG87" s="1625"/>
      <c r="AK87" s="1626"/>
    </row>
    <row r="88" spans="1:37" ht="36.75" thickBot="1">
      <c r="A88" s="1510" t="s">
        <v>1791</v>
      </c>
      <c r="B88" s="2598" t="str">
        <f>估价对象房地状况!G18</f>
        <v>该园区内无污染型企业，绿化较好，卫生条件良好，整体环境状况较好</v>
      </c>
      <c r="C88" s="1487" t="s">
        <v>3096</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717" t="s">
        <v>1760</v>
      </c>
      <c r="B90" s="3717"/>
      <c r="C90" s="3717"/>
      <c r="D90" s="3717"/>
      <c r="E90" s="3717"/>
      <c r="F90" s="3717"/>
      <c r="G90" s="3717"/>
      <c r="H90" s="3717"/>
      <c r="I90" s="3717"/>
      <c r="J90" s="3717"/>
      <c r="K90" s="2606"/>
      <c r="L90" s="2606"/>
      <c r="M90" s="2606"/>
      <c r="N90" s="2606"/>
    </row>
    <row r="91" spans="1:37">
      <c r="A91" s="3719" t="s">
        <v>68</v>
      </c>
      <c r="B91" s="3719" t="s">
        <v>1761</v>
      </c>
      <c r="C91" s="1586" t="s">
        <v>1762</v>
      </c>
      <c r="D91" s="1587"/>
      <c r="E91" s="1587"/>
      <c r="F91" s="1587"/>
      <c r="G91" s="1587"/>
      <c r="H91" s="1587"/>
      <c r="I91" s="1587"/>
      <c r="J91" s="1588"/>
      <c r="K91" s="1576"/>
      <c r="L91" s="1576"/>
      <c r="M91" s="1576"/>
      <c r="N91" s="1576"/>
    </row>
    <row r="92" spans="1:37">
      <c r="A92" s="3719"/>
      <c r="B92" s="3719"/>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20"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21"/>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21"/>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21"/>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21"/>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21"/>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21"/>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22"/>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20"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721"/>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721"/>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721"/>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721"/>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721"/>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721"/>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721"/>
      <c r="B108" s="3723"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22"/>
      <c r="B109" s="3724"/>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718" t="s">
        <v>1768</v>
      </c>
      <c r="B110" s="3718"/>
      <c r="C110" s="3718"/>
      <c r="D110" s="3718"/>
      <c r="E110" s="3718"/>
      <c r="F110" s="3718"/>
      <c r="G110" s="3718"/>
      <c r="H110" s="3718"/>
      <c r="I110" s="3718"/>
      <c r="J110" s="3718"/>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19" t="s">
        <v>1197</v>
      </c>
      <c r="B18" s="1572" t="s">
        <v>1574</v>
      </c>
      <c r="C18" s="1573" t="s">
        <v>1575</v>
      </c>
      <c r="D18" s="1574"/>
      <c r="E18" s="1572">
        <v>1</v>
      </c>
      <c r="F18" s="1575" t="s">
        <v>1576</v>
      </c>
      <c r="G18" s="1576"/>
      <c r="H18" s="1568"/>
      <c r="I18" s="1568"/>
    </row>
    <row r="19" spans="1:9" s="1577" customFormat="1" ht="19.5" customHeight="1">
      <c r="A19" s="3719"/>
      <c r="B19" s="3719" t="s">
        <v>1577</v>
      </c>
      <c r="C19" s="1573" t="s">
        <v>1578</v>
      </c>
      <c r="D19" s="1574"/>
      <c r="E19" s="1572">
        <v>0.9</v>
      </c>
      <c r="F19" s="1575" t="s">
        <v>1579</v>
      </c>
      <c r="G19" s="1576"/>
      <c r="H19" s="1568"/>
      <c r="I19" s="1568"/>
    </row>
    <row r="20" spans="1:9" s="1577" customFormat="1" ht="19.5" customHeight="1">
      <c r="A20" s="3719"/>
      <c r="B20" s="3719"/>
      <c r="C20" s="1573" t="s">
        <v>1580</v>
      </c>
      <c r="D20" s="1574"/>
      <c r="E20" s="1572">
        <v>1.1000000000000001</v>
      </c>
      <c r="F20" s="1575" t="s">
        <v>1581</v>
      </c>
      <c r="G20" s="1576"/>
      <c r="H20" s="1568"/>
      <c r="I20" s="1568"/>
    </row>
    <row r="21" spans="1:9" s="1577" customFormat="1" ht="19.5" customHeight="1">
      <c r="A21" s="3719"/>
      <c r="B21" s="3719"/>
      <c r="C21" s="1573" t="s">
        <v>1582</v>
      </c>
      <c r="D21" s="1574"/>
      <c r="E21" s="1572">
        <v>0.8</v>
      </c>
      <c r="F21" s="1575" t="s">
        <v>1583</v>
      </c>
      <c r="G21" s="1576"/>
      <c r="H21" s="1568"/>
      <c r="I21" s="1568"/>
    </row>
    <row r="22" spans="1:9" s="1577" customFormat="1" ht="19.5" customHeight="1">
      <c r="A22" s="3719"/>
      <c r="B22" s="3719"/>
      <c r="C22" s="1573" t="s">
        <v>1584</v>
      </c>
      <c r="D22" s="1574"/>
      <c r="E22" s="1572">
        <v>0.5</v>
      </c>
      <c r="F22" s="1575"/>
      <c r="G22" s="1576"/>
      <c r="H22" s="1568"/>
      <c r="I22" s="1568"/>
    </row>
    <row r="23" spans="1:9" s="1577" customFormat="1" ht="19.5" customHeight="1">
      <c r="A23" s="3719" t="s">
        <v>1198</v>
      </c>
      <c r="B23" s="1572" t="s">
        <v>1574</v>
      </c>
      <c r="C23" s="1573" t="s">
        <v>1585</v>
      </c>
      <c r="D23" s="1574"/>
      <c r="E23" s="1572">
        <v>1</v>
      </c>
      <c r="F23" s="1575" t="s">
        <v>1586</v>
      </c>
      <c r="G23" s="1576"/>
      <c r="H23" s="1568"/>
      <c r="I23" s="1568"/>
    </row>
    <row r="24" spans="1:9" s="1577" customFormat="1" ht="19.5" customHeight="1">
      <c r="A24" s="3719"/>
      <c r="B24" s="3719" t="s">
        <v>1577</v>
      </c>
      <c r="C24" s="1573" t="s">
        <v>1587</v>
      </c>
      <c r="D24" s="1574"/>
      <c r="E24" s="1572">
        <v>0.5</v>
      </c>
      <c r="F24" s="1575"/>
      <c r="G24" s="1576"/>
      <c r="H24" s="1568"/>
      <c r="I24" s="1568"/>
    </row>
    <row r="25" spans="1:9" s="1577" customFormat="1" ht="19.5" customHeight="1">
      <c r="A25" s="3719"/>
      <c r="B25" s="3719"/>
      <c r="C25" s="1573" t="s">
        <v>1588</v>
      </c>
      <c r="D25" s="1574"/>
      <c r="E25" s="1572">
        <v>1.1000000000000001</v>
      </c>
      <c r="F25" s="1575"/>
      <c r="G25" s="1576"/>
      <c r="H25" s="1568"/>
      <c r="I25" s="1568"/>
    </row>
    <row r="26" spans="1:9" s="1577" customFormat="1" ht="19.5" customHeight="1">
      <c r="A26" s="3719"/>
      <c r="B26" s="3719"/>
      <c r="C26" s="1573" t="s">
        <v>1589</v>
      </c>
      <c r="D26" s="1574"/>
      <c r="E26" s="1572">
        <v>1.1000000000000001</v>
      </c>
      <c r="F26" s="1575"/>
      <c r="G26" s="1576"/>
      <c r="H26" s="1568"/>
      <c r="I26" s="1568"/>
    </row>
    <row r="27" spans="1:9" s="1577" customFormat="1" ht="19.5" customHeight="1">
      <c r="A27" s="3719"/>
      <c r="B27" s="3719"/>
      <c r="C27" s="1573" t="s">
        <v>1590</v>
      </c>
      <c r="D27" s="1574"/>
      <c r="E27" s="1572">
        <v>0.9</v>
      </c>
      <c r="F27" s="1575" t="s">
        <v>1591</v>
      </c>
      <c r="G27" s="1576"/>
      <c r="H27" s="1568"/>
      <c r="I27" s="1568"/>
    </row>
    <row r="28" spans="1:9" s="1577" customFormat="1" ht="19.5" customHeight="1">
      <c r="A28" s="3719"/>
      <c r="B28" s="3719"/>
      <c r="C28" s="1573" t="s">
        <v>1592</v>
      </c>
      <c r="D28" s="1574"/>
      <c r="E28" s="1572">
        <v>0.9</v>
      </c>
      <c r="F28" s="1575" t="s">
        <v>1593</v>
      </c>
      <c r="G28" s="1576"/>
      <c r="H28" s="1568"/>
      <c r="I28" s="1568"/>
    </row>
    <row r="29" spans="1:9" s="1577" customFormat="1" ht="19.5" customHeight="1">
      <c r="A29" s="3719"/>
      <c r="B29" s="3719"/>
      <c r="C29" s="1573" t="s">
        <v>1594</v>
      </c>
      <c r="D29" s="1574"/>
      <c r="E29" s="1572">
        <v>0.9</v>
      </c>
      <c r="F29" s="1575" t="s">
        <v>1595</v>
      </c>
      <c r="G29" s="1576"/>
      <c r="H29" s="1568"/>
      <c r="I29" s="1568"/>
    </row>
    <row r="30" spans="1:9" s="1577" customFormat="1" ht="19.5" customHeight="1">
      <c r="A30" s="3719"/>
      <c r="B30" s="3719"/>
      <c r="C30" s="1573" t="s">
        <v>1596</v>
      </c>
      <c r="D30" s="1574"/>
      <c r="E30" s="1572">
        <v>0.9</v>
      </c>
      <c r="F30" s="1575" t="s">
        <v>1597</v>
      </c>
      <c r="G30" s="1576"/>
      <c r="H30" s="1568"/>
      <c r="I30" s="1568"/>
    </row>
    <row r="31" spans="1:9" s="1577" customFormat="1" ht="19.5" customHeight="1">
      <c r="A31" s="3719"/>
      <c r="B31" s="3719"/>
      <c r="C31" s="1573" t="s">
        <v>1598</v>
      </c>
      <c r="D31" s="1574"/>
      <c r="E31" s="1572">
        <v>0.8</v>
      </c>
      <c r="F31" s="1575" t="s">
        <v>1599</v>
      </c>
      <c r="G31" s="1576"/>
      <c r="H31" s="1568"/>
      <c r="I31" s="1568"/>
    </row>
    <row r="32" spans="1:9" s="1577" customFormat="1" ht="19.5" customHeight="1">
      <c r="A32" s="3719"/>
      <c r="B32" s="3719"/>
      <c r="C32" s="1573" t="s">
        <v>1600</v>
      </c>
      <c r="D32" s="1574"/>
      <c r="E32" s="1572">
        <v>0.8</v>
      </c>
      <c r="F32" s="1575" t="s">
        <v>1601</v>
      </c>
      <c r="G32" s="1576"/>
      <c r="H32" s="1568"/>
      <c r="I32" s="1568"/>
    </row>
    <row r="33" spans="1:9" s="1577" customFormat="1" ht="19.5" customHeight="1">
      <c r="A33" s="3719" t="s">
        <v>1199</v>
      </c>
      <c r="B33" s="1572" t="s">
        <v>1574</v>
      </c>
      <c r="C33" s="1573" t="s">
        <v>1602</v>
      </c>
      <c r="D33" s="1574"/>
      <c r="E33" s="1572">
        <v>1</v>
      </c>
      <c r="F33" s="1575" t="s">
        <v>1603</v>
      </c>
      <c r="G33" s="1576"/>
      <c r="H33" s="1568"/>
      <c r="I33" s="1568"/>
    </row>
    <row r="34" spans="1:9" s="1577" customFormat="1" ht="19.5" customHeight="1">
      <c r="A34" s="3719"/>
      <c r="B34" s="1572" t="s">
        <v>1577</v>
      </c>
      <c r="C34" s="1573" t="s">
        <v>1604</v>
      </c>
      <c r="D34" s="1574"/>
      <c r="E34" s="1572">
        <v>1.5</v>
      </c>
      <c r="F34" s="1575" t="s">
        <v>1605</v>
      </c>
      <c r="G34" s="1576"/>
      <c r="H34" s="1568"/>
      <c r="I34" s="1568"/>
    </row>
    <row r="35" spans="1:9" s="1577" customFormat="1" ht="19.5" customHeight="1">
      <c r="A35" s="3719" t="s">
        <v>1200</v>
      </c>
      <c r="B35" s="1572" t="s">
        <v>1574</v>
      </c>
      <c r="C35" s="1573" t="s">
        <v>1606</v>
      </c>
      <c r="D35" s="1574"/>
      <c r="E35" s="1572">
        <v>1</v>
      </c>
      <c r="F35" s="1575" t="s">
        <v>1607</v>
      </c>
      <c r="G35" s="1576"/>
      <c r="H35" s="1568"/>
      <c r="I35" s="1568"/>
    </row>
    <row r="36" spans="1:9" s="1577" customFormat="1" ht="19.5" customHeight="1">
      <c r="A36" s="3719"/>
      <c r="B36" s="3719" t="s">
        <v>1577</v>
      </c>
      <c r="C36" s="1573" t="s">
        <v>1608</v>
      </c>
      <c r="D36" s="1574"/>
      <c r="E36" s="1572">
        <v>1</v>
      </c>
      <c r="F36" s="1575" t="s">
        <v>1609</v>
      </c>
      <c r="G36" s="1576"/>
      <c r="H36" s="1568"/>
      <c r="I36" s="1568"/>
    </row>
    <row r="37" spans="1:9" s="1577" customFormat="1" ht="19.5" customHeight="1">
      <c r="A37" s="3719"/>
      <c r="B37" s="3719"/>
      <c r="C37" s="1573" t="s">
        <v>1610</v>
      </c>
      <c r="D37" s="1574"/>
      <c r="E37" s="1572">
        <v>1.5</v>
      </c>
      <c r="F37" s="1575" t="s">
        <v>1611</v>
      </c>
      <c r="G37" s="1576"/>
      <c r="H37" s="1568"/>
      <c r="I37" s="1568"/>
    </row>
    <row r="38" spans="1:9" s="1577" customFormat="1" ht="19.5" customHeight="1">
      <c r="A38" s="3719"/>
      <c r="B38" s="3719"/>
      <c r="C38" s="1573" t="s">
        <v>1612</v>
      </c>
      <c r="D38" s="1574"/>
      <c r="E38" s="1572">
        <v>1</v>
      </c>
      <c r="F38" s="1575" t="s">
        <v>1613</v>
      </c>
      <c r="G38" s="1576"/>
      <c r="H38" s="1568"/>
      <c r="I38" s="1568"/>
    </row>
    <row r="39" spans="1:9" s="1577" customFormat="1" ht="19.5" customHeight="1">
      <c r="A39" s="3719"/>
      <c r="B39" s="3719"/>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19" t="s">
        <v>1628</v>
      </c>
      <c r="C61" s="1498" t="s">
        <v>1629</v>
      </c>
      <c r="D61" s="1498" t="s">
        <v>1630</v>
      </c>
      <c r="E61" s="1585">
        <v>0.5</v>
      </c>
      <c r="F61" s="1572">
        <v>80</v>
      </c>
    </row>
    <row r="62" spans="1:8" s="1568" customFormat="1" ht="24">
      <c r="A62" s="1572">
        <v>2</v>
      </c>
      <c r="B62" s="3719"/>
      <c r="C62" s="1498" t="s">
        <v>1631</v>
      </c>
      <c r="D62" s="1498" t="s">
        <v>1632</v>
      </c>
      <c r="E62" s="1585">
        <v>0.5</v>
      </c>
      <c r="F62" s="1572">
        <v>80</v>
      </c>
    </row>
    <row r="63" spans="1:8" s="1568" customFormat="1" ht="36">
      <c r="A63" s="1572">
        <v>3</v>
      </c>
      <c r="B63" s="3719"/>
      <c r="C63" s="1498" t="s">
        <v>1633</v>
      </c>
      <c r="D63" s="1498" t="s">
        <v>1634</v>
      </c>
      <c r="E63" s="1585">
        <v>0.5</v>
      </c>
      <c r="F63" s="1572">
        <v>80</v>
      </c>
    </row>
    <row r="64" spans="1:8" s="1568" customFormat="1" ht="36">
      <c r="A64" s="1572">
        <v>4</v>
      </c>
      <c r="B64" s="3719"/>
      <c r="C64" s="1498" t="s">
        <v>1635</v>
      </c>
      <c r="D64" s="1498" t="s">
        <v>1636</v>
      </c>
      <c r="E64" s="1585">
        <v>0.4</v>
      </c>
      <c r="F64" s="1572">
        <v>60</v>
      </c>
    </row>
    <row r="65" spans="1:6" s="1568" customFormat="1" ht="36">
      <c r="A65" s="1572">
        <v>5</v>
      </c>
      <c r="B65" s="3719"/>
      <c r="C65" s="1498" t="s">
        <v>1637</v>
      </c>
      <c r="D65" s="1498" t="s">
        <v>1638</v>
      </c>
      <c r="E65" s="1585">
        <v>0.2</v>
      </c>
      <c r="F65" s="1572">
        <v>30</v>
      </c>
    </row>
    <row r="66" spans="1:6" s="1568" customFormat="1" ht="36">
      <c r="A66" s="1572">
        <v>6</v>
      </c>
      <c r="B66" s="3719"/>
      <c r="C66" s="1498" t="s">
        <v>1639</v>
      </c>
      <c r="D66" s="1498" t="s">
        <v>1640</v>
      </c>
      <c r="E66" s="1585">
        <v>0.3</v>
      </c>
      <c r="F66" s="1572">
        <v>50</v>
      </c>
    </row>
    <row r="67" spans="1:6" s="1568" customFormat="1" ht="36">
      <c r="A67" s="1572">
        <v>7</v>
      </c>
      <c r="B67" s="3719"/>
      <c r="C67" s="1498" t="s">
        <v>1641</v>
      </c>
      <c r="D67" s="1498" t="s">
        <v>1642</v>
      </c>
      <c r="E67" s="1585">
        <v>0.2</v>
      </c>
      <c r="F67" s="1572">
        <v>30</v>
      </c>
    </row>
    <row r="68" spans="1:6" s="1568" customFormat="1" ht="36">
      <c r="A68" s="1572">
        <v>8</v>
      </c>
      <c r="B68" s="3719"/>
      <c r="C68" s="1498" t="s">
        <v>1643</v>
      </c>
      <c r="D68" s="1498" t="s">
        <v>1644</v>
      </c>
      <c r="E68" s="1585">
        <v>0.2</v>
      </c>
      <c r="F68" s="1572">
        <v>30</v>
      </c>
    </row>
    <row r="69" spans="1:6" s="1568" customFormat="1" ht="36">
      <c r="A69" s="1572">
        <v>9</v>
      </c>
      <c r="B69" s="3719"/>
      <c r="C69" s="1498" t="s">
        <v>1645</v>
      </c>
      <c r="D69" s="1498" t="s">
        <v>1646</v>
      </c>
      <c r="E69" s="1585">
        <v>0.2</v>
      </c>
      <c r="F69" s="1572">
        <v>30</v>
      </c>
    </row>
    <row r="70" spans="1:6" s="1568" customFormat="1" ht="48">
      <c r="A70" s="1572">
        <v>10</v>
      </c>
      <c r="B70" s="3719"/>
      <c r="C70" s="1498" t="s">
        <v>1647</v>
      </c>
      <c r="D70" s="1498" t="s">
        <v>1648</v>
      </c>
      <c r="E70" s="1585">
        <v>0.2</v>
      </c>
      <c r="F70" s="1572">
        <v>30</v>
      </c>
    </row>
    <row r="71" spans="1:6" s="1568" customFormat="1" ht="48">
      <c r="A71" s="1572">
        <v>11</v>
      </c>
      <c r="B71" s="3719"/>
      <c r="C71" s="1498" t="s">
        <v>1649</v>
      </c>
      <c r="D71" s="1498" t="s">
        <v>1650</v>
      </c>
      <c r="E71" s="1585">
        <v>0.2</v>
      </c>
      <c r="F71" s="1572">
        <v>30</v>
      </c>
    </row>
    <row r="72" spans="1:6" s="1568" customFormat="1" ht="36">
      <c r="A72" s="1572">
        <v>12</v>
      </c>
      <c r="B72" s="3719"/>
      <c r="C72" s="1498" t="s">
        <v>1651</v>
      </c>
      <c r="D72" s="1498" t="s">
        <v>1652</v>
      </c>
      <c r="E72" s="1585">
        <v>0.5</v>
      </c>
      <c r="F72" s="1572">
        <v>80</v>
      </c>
    </row>
    <row r="73" spans="1:6" s="1568" customFormat="1" ht="24">
      <c r="A73" s="1572">
        <v>13</v>
      </c>
      <c r="B73" s="3719"/>
      <c r="C73" s="1498" t="s">
        <v>1653</v>
      </c>
      <c r="D73" s="1498" t="s">
        <v>1654</v>
      </c>
      <c r="E73" s="1585">
        <v>0.4</v>
      </c>
      <c r="F73" s="1572">
        <v>60</v>
      </c>
    </row>
    <row r="74" spans="1:6" s="1568" customFormat="1" ht="24">
      <c r="A74" s="1572">
        <v>14</v>
      </c>
      <c r="B74" s="3719"/>
      <c r="C74" s="1498" t="s">
        <v>1655</v>
      </c>
      <c r="D74" s="1498" t="s">
        <v>1656</v>
      </c>
      <c r="E74" s="1585">
        <v>0.2</v>
      </c>
      <c r="F74" s="1572">
        <v>30</v>
      </c>
    </row>
    <row r="75" spans="1:6" s="1568" customFormat="1" ht="24">
      <c r="A75" s="1572">
        <v>15</v>
      </c>
      <c r="B75" s="3719"/>
      <c r="C75" s="1498" t="s">
        <v>1657</v>
      </c>
      <c r="D75" s="1498" t="s">
        <v>1658</v>
      </c>
      <c r="E75" s="1585">
        <v>0.2</v>
      </c>
      <c r="F75" s="1572">
        <v>30</v>
      </c>
    </row>
    <row r="76" spans="1:6" s="1568" customFormat="1" ht="24">
      <c r="A76" s="1572">
        <v>16</v>
      </c>
      <c r="B76" s="3719" t="s">
        <v>1659</v>
      </c>
      <c r="C76" s="1498" t="s">
        <v>1660</v>
      </c>
      <c r="D76" s="1498" t="s">
        <v>1661</v>
      </c>
      <c r="E76" s="1585">
        <v>0.5</v>
      </c>
      <c r="F76" s="1572">
        <v>80</v>
      </c>
    </row>
    <row r="77" spans="1:6" s="1568" customFormat="1" ht="24">
      <c r="A77" s="1572">
        <v>17</v>
      </c>
      <c r="B77" s="3719"/>
      <c r="C77" s="1498" t="s">
        <v>1662</v>
      </c>
      <c r="D77" s="1498" t="s">
        <v>1663</v>
      </c>
      <c r="E77" s="1585">
        <v>0.5</v>
      </c>
      <c r="F77" s="1572">
        <v>80</v>
      </c>
    </row>
    <row r="78" spans="1:6" s="1568" customFormat="1" ht="24">
      <c r="A78" s="1572">
        <v>18</v>
      </c>
      <c r="B78" s="3719"/>
      <c r="C78" s="1498" t="s">
        <v>1664</v>
      </c>
      <c r="D78" s="1498" t="s">
        <v>1665</v>
      </c>
      <c r="E78" s="1585">
        <v>0.2</v>
      </c>
      <c r="F78" s="1572">
        <v>30</v>
      </c>
    </row>
    <row r="79" spans="1:6" s="1568" customFormat="1" ht="24">
      <c r="A79" s="1572">
        <v>19</v>
      </c>
      <c r="B79" s="3719"/>
      <c r="C79" s="1498" t="s">
        <v>1666</v>
      </c>
      <c r="D79" s="1498" t="s">
        <v>1667</v>
      </c>
      <c r="E79" s="1585">
        <v>0.5</v>
      </c>
      <c r="F79" s="1572">
        <v>80</v>
      </c>
    </row>
    <row r="80" spans="1:6" s="1568" customFormat="1" ht="36">
      <c r="A80" s="1572">
        <v>20</v>
      </c>
      <c r="B80" s="3719"/>
      <c r="C80" s="1498" t="s">
        <v>1668</v>
      </c>
      <c r="D80" s="1498" t="s">
        <v>1669</v>
      </c>
      <c r="E80" s="1585">
        <v>0.2</v>
      </c>
      <c r="F80" s="1572">
        <v>30</v>
      </c>
    </row>
    <row r="81" spans="1:6" s="1568" customFormat="1" ht="36">
      <c r="A81" s="1572">
        <v>21</v>
      </c>
      <c r="B81" s="3719"/>
      <c r="C81" s="1498" t="s">
        <v>1670</v>
      </c>
      <c r="D81" s="1498" t="s">
        <v>1671</v>
      </c>
      <c r="E81" s="1585">
        <v>0.2</v>
      </c>
      <c r="F81" s="1572">
        <v>30</v>
      </c>
    </row>
    <row r="82" spans="1:6" s="1568" customFormat="1" ht="48">
      <c r="A82" s="1572">
        <v>22</v>
      </c>
      <c r="B82" s="3719"/>
      <c r="C82" s="1498" t="s">
        <v>1672</v>
      </c>
      <c r="D82" s="1498" t="s">
        <v>1673</v>
      </c>
      <c r="E82" s="1585">
        <v>0.2</v>
      </c>
      <c r="F82" s="1572">
        <v>30</v>
      </c>
    </row>
    <row r="83" spans="1:6" s="1568" customFormat="1" ht="48">
      <c r="A83" s="1572">
        <v>23</v>
      </c>
      <c r="B83" s="3719"/>
      <c r="C83" s="1498" t="s">
        <v>1674</v>
      </c>
      <c r="D83" s="1498" t="s">
        <v>1675</v>
      </c>
      <c r="E83" s="1585">
        <v>0.2</v>
      </c>
      <c r="F83" s="1572">
        <v>30</v>
      </c>
    </row>
    <row r="84" spans="1:6" s="1568" customFormat="1" ht="36">
      <c r="A84" s="1572">
        <v>24</v>
      </c>
      <c r="B84" s="3719"/>
      <c r="C84" s="1498" t="s">
        <v>1676</v>
      </c>
      <c r="D84" s="1498" t="s">
        <v>1677</v>
      </c>
      <c r="E84" s="1585">
        <v>0.2</v>
      </c>
      <c r="F84" s="1572">
        <v>30</v>
      </c>
    </row>
    <row r="85" spans="1:6" s="1568" customFormat="1" ht="36">
      <c r="A85" s="1572">
        <v>25</v>
      </c>
      <c r="B85" s="3719"/>
      <c r="C85" s="1498" t="s">
        <v>1678</v>
      </c>
      <c r="D85" s="1498" t="s">
        <v>1679</v>
      </c>
      <c r="E85" s="1585">
        <v>0.5</v>
      </c>
      <c r="F85" s="1572">
        <v>80</v>
      </c>
    </row>
    <row r="86" spans="1:6" s="1568" customFormat="1" ht="36">
      <c r="A86" s="1572">
        <v>26</v>
      </c>
      <c r="B86" s="3719"/>
      <c r="C86" s="1498" t="s">
        <v>1680</v>
      </c>
      <c r="D86" s="1498" t="s">
        <v>1681</v>
      </c>
      <c r="E86" s="1585">
        <v>0.2</v>
      </c>
      <c r="F86" s="1572">
        <v>30</v>
      </c>
    </row>
    <row r="87" spans="1:6" s="1568" customFormat="1" ht="36">
      <c r="A87" s="1572">
        <v>27</v>
      </c>
      <c r="B87" s="3719"/>
      <c r="C87" s="1498" t="s">
        <v>1682</v>
      </c>
      <c r="D87" s="1498" t="s">
        <v>1683</v>
      </c>
      <c r="E87" s="1585">
        <v>0.2</v>
      </c>
      <c r="F87" s="1572">
        <v>30</v>
      </c>
    </row>
    <row r="88" spans="1:6" s="1568" customFormat="1" ht="36">
      <c r="A88" s="1572">
        <v>28</v>
      </c>
      <c r="B88" s="3719"/>
      <c r="C88" s="1498" t="s">
        <v>1684</v>
      </c>
      <c r="D88" s="1498" t="s">
        <v>1685</v>
      </c>
      <c r="E88" s="1585">
        <v>0.2</v>
      </c>
      <c r="F88" s="1572">
        <v>30</v>
      </c>
    </row>
    <row r="89" spans="1:6" s="1568" customFormat="1" ht="24">
      <c r="A89" s="1572">
        <v>29</v>
      </c>
      <c r="B89" s="3719"/>
      <c r="C89" s="1498" t="s">
        <v>1686</v>
      </c>
      <c r="D89" s="1498" t="s">
        <v>1687</v>
      </c>
      <c r="E89" s="1585">
        <v>0.2</v>
      </c>
      <c r="F89" s="1572">
        <v>30</v>
      </c>
    </row>
    <row r="90" spans="1:6" s="1568" customFormat="1" ht="24">
      <c r="A90" s="1572">
        <v>30</v>
      </c>
      <c r="B90" s="3719"/>
      <c r="C90" s="1498" t="s">
        <v>1688</v>
      </c>
      <c r="D90" s="1498" t="s">
        <v>1689</v>
      </c>
      <c r="E90" s="1585">
        <v>0.2</v>
      </c>
      <c r="F90" s="1572">
        <v>30</v>
      </c>
    </row>
    <row r="91" spans="1:6" s="1568" customFormat="1" ht="36">
      <c r="A91" s="1572">
        <v>31</v>
      </c>
      <c r="B91" s="3719"/>
      <c r="C91" s="1498" t="s">
        <v>1690</v>
      </c>
      <c r="D91" s="1498" t="s">
        <v>1691</v>
      </c>
      <c r="E91" s="1585">
        <v>0.2</v>
      </c>
      <c r="F91" s="1572">
        <v>30</v>
      </c>
    </row>
    <row r="92" spans="1:6" s="1568" customFormat="1" ht="24">
      <c r="A92" s="1572">
        <v>32</v>
      </c>
      <c r="B92" s="3719" t="s">
        <v>1692</v>
      </c>
      <c r="C92" s="1572" t="s">
        <v>1693</v>
      </c>
      <c r="D92" s="1498" t="s">
        <v>1694</v>
      </c>
      <c r="E92" s="1585">
        <v>0.2</v>
      </c>
      <c r="F92" s="1572">
        <v>30</v>
      </c>
    </row>
    <row r="93" spans="1:6" s="1568" customFormat="1" ht="36">
      <c r="A93" s="1572">
        <v>33</v>
      </c>
      <c r="B93" s="3719"/>
      <c r="C93" s="1572" t="s">
        <v>1695</v>
      </c>
      <c r="D93" s="1498" t="s">
        <v>1696</v>
      </c>
      <c r="E93" s="1585">
        <v>0.2</v>
      </c>
      <c r="F93" s="1572">
        <v>30</v>
      </c>
    </row>
    <row r="94" spans="1:6" s="1568" customFormat="1" ht="48">
      <c r="A94" s="1572">
        <v>34</v>
      </c>
      <c r="B94" s="3719"/>
      <c r="C94" s="1572" t="s">
        <v>1697</v>
      </c>
      <c r="D94" s="1498" t="s">
        <v>1698</v>
      </c>
      <c r="E94" s="1585">
        <v>0.2</v>
      </c>
      <c r="F94" s="1572">
        <v>30</v>
      </c>
    </row>
    <row r="95" spans="1:6" s="1568" customFormat="1" ht="36">
      <c r="A95" s="1572">
        <v>35</v>
      </c>
      <c r="B95" s="3719"/>
      <c r="C95" s="1572" t="s">
        <v>1699</v>
      </c>
      <c r="D95" s="1498" t="s">
        <v>1700</v>
      </c>
      <c r="E95" s="1585">
        <v>0.2</v>
      </c>
      <c r="F95" s="1572">
        <v>30</v>
      </c>
    </row>
    <row r="96" spans="1:6" s="1568" customFormat="1" ht="48">
      <c r="A96" s="1572">
        <v>36</v>
      </c>
      <c r="B96" s="3719"/>
      <c r="C96" s="1498" t="s">
        <v>1701</v>
      </c>
      <c r="D96" s="1498" t="s">
        <v>1702</v>
      </c>
      <c r="E96" s="1585">
        <v>0.2</v>
      </c>
      <c r="F96" s="1572">
        <v>30</v>
      </c>
    </row>
    <row r="97" spans="1:6" s="1568" customFormat="1" ht="36">
      <c r="A97" s="1572">
        <v>37</v>
      </c>
      <c r="B97" s="3719"/>
      <c r="C97" s="1572" t="s">
        <v>1703</v>
      </c>
      <c r="D97" s="1498" t="s">
        <v>1704</v>
      </c>
      <c r="E97" s="1585">
        <v>0.2</v>
      </c>
      <c r="F97" s="1572">
        <v>30</v>
      </c>
    </row>
    <row r="98" spans="1:6" s="1568" customFormat="1" ht="36">
      <c r="A98" s="1572">
        <v>38</v>
      </c>
      <c r="B98" s="3719"/>
      <c r="C98" s="1572" t="s">
        <v>1705</v>
      </c>
      <c r="D98" s="1498" t="s">
        <v>1706</v>
      </c>
      <c r="E98" s="1585">
        <v>0.2</v>
      </c>
      <c r="F98" s="1572">
        <v>30</v>
      </c>
    </row>
    <row r="99" spans="1:6" s="1568" customFormat="1" ht="36">
      <c r="A99" s="1572">
        <v>39</v>
      </c>
      <c r="B99" s="3719" t="s">
        <v>1707</v>
      </c>
      <c r="C99" s="1572" t="s">
        <v>1708</v>
      </c>
      <c r="D99" s="1498" t="s">
        <v>1709</v>
      </c>
      <c r="E99" s="1585">
        <v>0.3</v>
      </c>
      <c r="F99" s="1572">
        <v>50</v>
      </c>
    </row>
    <row r="100" spans="1:6" s="1568" customFormat="1" ht="24">
      <c r="A100" s="1572">
        <v>40</v>
      </c>
      <c r="B100" s="3719"/>
      <c r="C100" s="1572" t="s">
        <v>1710</v>
      </c>
      <c r="D100" s="1498" t="s">
        <v>1711</v>
      </c>
      <c r="E100" s="1585">
        <v>0.2</v>
      </c>
      <c r="F100" s="1572">
        <v>30</v>
      </c>
    </row>
    <row r="101" spans="1:6" s="1568" customFormat="1" ht="36">
      <c r="A101" s="1572">
        <v>41</v>
      </c>
      <c r="B101" s="3719"/>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19" t="s">
        <v>1722</v>
      </c>
      <c r="C105" s="1572" t="s">
        <v>1723</v>
      </c>
      <c r="D105" s="1498" t="s">
        <v>1724</v>
      </c>
      <c r="E105" s="1585">
        <v>0.2</v>
      </c>
      <c r="F105" s="1572">
        <v>30</v>
      </c>
    </row>
    <row r="106" spans="1:6" s="1568" customFormat="1" ht="36">
      <c r="A106" s="1572">
        <v>46</v>
      </c>
      <c r="B106" s="3719"/>
      <c r="C106" s="1572" t="s">
        <v>1725</v>
      </c>
      <c r="D106" s="1498" t="s">
        <v>1726</v>
      </c>
      <c r="E106" s="1585">
        <v>0.2</v>
      </c>
      <c r="F106" s="1572">
        <v>30</v>
      </c>
    </row>
    <row r="107" spans="1:6" s="1568" customFormat="1" ht="36">
      <c r="A107" s="1572">
        <v>47</v>
      </c>
      <c r="B107" s="3719" t="s">
        <v>1727</v>
      </c>
      <c r="C107" s="1572" t="s">
        <v>1728</v>
      </c>
      <c r="D107" s="1498" t="s">
        <v>1729</v>
      </c>
      <c r="E107" s="1585">
        <v>0.3</v>
      </c>
      <c r="F107" s="1572">
        <v>50</v>
      </c>
    </row>
    <row r="108" spans="1:6" s="1568" customFormat="1" ht="36">
      <c r="A108" s="1572">
        <v>48</v>
      </c>
      <c r="B108" s="3719"/>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19" t="s">
        <v>1738</v>
      </c>
      <c r="C111" s="1572" t="s">
        <v>1739</v>
      </c>
      <c r="D111" s="1498" t="s">
        <v>1740</v>
      </c>
      <c r="E111" s="1585">
        <v>0.2</v>
      </c>
      <c r="F111" s="1572">
        <v>30</v>
      </c>
    </row>
    <row r="112" spans="1:6" s="1568" customFormat="1" ht="24">
      <c r="A112" s="1572">
        <v>52</v>
      </c>
      <c r="B112" s="3719"/>
      <c r="C112" s="1572" t="s">
        <v>1741</v>
      </c>
      <c r="D112" s="1498" t="s">
        <v>1742</v>
      </c>
      <c r="E112" s="1585">
        <v>0.2</v>
      </c>
      <c r="F112" s="1572">
        <v>30</v>
      </c>
    </row>
    <row r="113" spans="1:6" s="1568" customFormat="1" ht="24">
      <c r="A113" s="1572">
        <v>53</v>
      </c>
      <c r="B113" s="3719"/>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19" t="s">
        <v>1751</v>
      </c>
      <c r="C116" s="1572" t="s">
        <v>1752</v>
      </c>
      <c r="D116" s="1498" t="s">
        <v>1753</v>
      </c>
      <c r="E116" s="1585">
        <v>0.2</v>
      </c>
      <c r="F116" s="1572">
        <v>30</v>
      </c>
    </row>
    <row r="117" spans="1:6" ht="36">
      <c r="A117" s="1572">
        <v>57</v>
      </c>
      <c r="B117" s="3719"/>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3047</v>
      </c>
    </row>
    <row r="2" spans="1:5" ht="14.25">
      <c r="A2" s="3341" t="s">
        <v>210</v>
      </c>
      <c r="B2" s="3338">
        <f ca="1">SUMIF(B6:B13,"&lt;&gt;#ref!",B6:B13)</f>
        <v>798</v>
      </c>
      <c r="C2" s="3341" t="s">
        <v>2660</v>
      </c>
      <c r="D2" s="3341" t="s">
        <v>3042</v>
      </c>
      <c r="E2" s="3338" t="e">
        <f ca="1">SUM(E6:E13)</f>
        <v>#REF!</v>
      </c>
    </row>
    <row r="3" spans="1:5" ht="14.25">
      <c r="A3" s="3341" t="s">
        <v>8</v>
      </c>
      <c r="B3" s="3338" t="e">
        <f ca="1">ROUND(B2*10000/E2,0)</f>
        <v>#REF!</v>
      </c>
      <c r="C3" s="3341" t="s">
        <v>2661</v>
      </c>
      <c r="D3" s="3339"/>
      <c r="E3" s="3339"/>
    </row>
    <row r="4" spans="1:5" ht="14.25">
      <c r="A4" s="3342"/>
      <c r="B4" s="3339"/>
      <c r="C4" s="3339"/>
      <c r="D4" s="3339"/>
      <c r="E4" s="3339"/>
    </row>
    <row r="5" spans="1:5" ht="28.5">
      <c r="A5" s="3343" t="s">
        <v>3045</v>
      </c>
      <c r="B5" s="3341" t="s">
        <v>3043</v>
      </c>
      <c r="C5" s="3338"/>
      <c r="D5" s="3339"/>
      <c r="E5" s="3341" t="s">
        <v>3044</v>
      </c>
    </row>
    <row r="6" spans="1:5" ht="14.25">
      <c r="A6" s="3344" t="s">
        <v>3046</v>
      </c>
      <c r="B6" s="3340">
        <f ca="1">SUMIF(INDIRECT("'"&amp;A6&amp;"'"&amp;"!A:A"),"总价",INDIRECT("'"&amp;A6&amp;"'"&amp;"!B:B"))</f>
        <v>798</v>
      </c>
      <c r="C6" s="3341" t="s">
        <v>2660</v>
      </c>
      <c r="D6" s="3339"/>
      <c r="E6" s="2787">
        <f ca="1">SUMIF(INDIRECT("'"&amp;A6&amp;"'"&amp;"!C:C"),"建筑面积",INDIRECT("'"&amp;A6&amp;"'"&amp;"!D:D"))</f>
        <v>2125.98</v>
      </c>
    </row>
    <row r="7" spans="1:5" ht="14.25">
      <c r="A7" s="3344"/>
      <c r="B7" s="3340" t="e">
        <f ca="1">SUMIF(INDIRECT("'"&amp;A7&amp;"'"&amp;"!A:A"),"总价",INDIRECT("'"&amp;A7&amp;"'"&amp;"!B:B"))</f>
        <v>#REF!</v>
      </c>
      <c r="C7" s="3341" t="s">
        <v>2660</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2660</v>
      </c>
      <c r="D8" s="3339"/>
      <c r="E8" s="2787" t="e">
        <f t="shared" ca="1" si="0"/>
        <v>#REF!</v>
      </c>
    </row>
    <row r="9" spans="1:5" ht="14.25">
      <c r="A9" s="3344"/>
      <c r="B9" s="3340" t="e">
        <f t="shared" ca="1" si="1"/>
        <v>#REF!</v>
      </c>
      <c r="C9" s="3341" t="s">
        <v>2660</v>
      </c>
      <c r="D9" s="3339"/>
      <c r="E9" s="2787" t="e">
        <f t="shared" ca="1" si="0"/>
        <v>#REF!</v>
      </c>
    </row>
    <row r="10" spans="1:5" ht="14.25">
      <c r="A10" s="3344"/>
      <c r="B10" s="3340" t="e">
        <f t="shared" ca="1" si="1"/>
        <v>#REF!</v>
      </c>
      <c r="C10" s="3341" t="s">
        <v>2660</v>
      </c>
      <c r="D10" s="3339"/>
      <c r="E10" s="2787" t="e">
        <f t="shared" ca="1" si="0"/>
        <v>#REF!</v>
      </c>
    </row>
    <row r="11" spans="1:5" ht="14.25">
      <c r="A11" s="3344"/>
      <c r="B11" s="3340" t="e">
        <f t="shared" ca="1" si="1"/>
        <v>#REF!</v>
      </c>
      <c r="C11" s="3341" t="s">
        <v>2660</v>
      </c>
      <c r="D11" s="3339"/>
      <c r="E11" s="2787" t="e">
        <f t="shared" ca="1" si="0"/>
        <v>#REF!</v>
      </c>
    </row>
    <row r="12" spans="1:5" ht="14.25">
      <c r="A12" s="3344"/>
      <c r="B12" s="3340" t="e">
        <f t="shared" ca="1" si="1"/>
        <v>#REF!</v>
      </c>
      <c r="C12" s="3341" t="s">
        <v>2660</v>
      </c>
      <c r="D12" s="3339"/>
      <c r="E12" s="2787" t="e">
        <f t="shared" ca="1" si="0"/>
        <v>#REF!</v>
      </c>
    </row>
    <row r="13" spans="1:5" ht="14.25">
      <c r="A13" s="3344"/>
      <c r="B13" s="3340" t="e">
        <f t="shared" ca="1" si="1"/>
        <v>#REF!</v>
      </c>
      <c r="C13" s="3341" t="s">
        <v>2660</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9" sqref="A19"/>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3" t="s">
        <v>2702</v>
      </c>
      <c r="C1" s="3733"/>
      <c r="D1" s="3733"/>
      <c r="E1" s="3733"/>
      <c r="F1" s="3733"/>
      <c r="G1" s="3732" t="s">
        <v>2703</v>
      </c>
      <c r="H1" s="3732"/>
      <c r="I1" s="3732"/>
      <c r="J1" s="3732"/>
      <c r="K1" s="3732"/>
      <c r="L1" s="3732"/>
      <c r="N1" s="3732" t="s">
        <v>2704</v>
      </c>
      <c r="O1" s="3732"/>
      <c r="P1" s="3732"/>
      <c r="Q1" s="3732"/>
      <c r="R1" s="2898"/>
      <c r="S1" s="3732" t="s">
        <v>2705</v>
      </c>
      <c r="T1" s="3732"/>
      <c r="U1" s="3732"/>
      <c r="V1" s="3732"/>
      <c r="X1" s="3731" t="s">
        <v>2706</v>
      </c>
      <c r="Y1" s="3732"/>
      <c r="Z1" s="3732"/>
      <c r="AA1" s="3732"/>
      <c r="AB1" s="3732"/>
      <c r="AD1" s="3731" t="s">
        <v>2707</v>
      </c>
      <c r="AE1" s="3732"/>
      <c r="AF1" s="3732"/>
      <c r="AG1" s="3732"/>
      <c r="AH1" s="3732"/>
    </row>
    <row r="2" spans="1:34" s="2899" customFormat="1" ht="14.25" thickBot="1">
      <c r="B2" s="2900" t="s">
        <v>2708</v>
      </c>
      <c r="C2" s="2900" t="s">
        <v>2709</v>
      </c>
      <c r="D2" s="2901" t="s">
        <v>2710</v>
      </c>
      <c r="E2" s="2901" t="s">
        <v>2711</v>
      </c>
      <c r="F2" s="2900" t="s">
        <v>2712</v>
      </c>
      <c r="G2" s="2902"/>
      <c r="H2" s="2903"/>
      <c r="I2" s="2900" t="s">
        <v>2708</v>
      </c>
      <c r="J2" s="2901" t="s">
        <v>3048</v>
      </c>
      <c r="K2" s="2901" t="s">
        <v>1845</v>
      </c>
      <c r="L2" s="2900" t="s">
        <v>2712</v>
      </c>
      <c r="N2" s="2900" t="s">
        <v>2708</v>
      </c>
      <c r="O2" s="2901" t="s">
        <v>3048</v>
      </c>
      <c r="P2" s="2901" t="s">
        <v>1845</v>
      </c>
      <c r="Q2" s="2900" t="s">
        <v>2712</v>
      </c>
      <c r="R2" s="2904"/>
      <c r="S2" s="2900" t="s">
        <v>2708</v>
      </c>
      <c r="T2" s="2901" t="s">
        <v>3048</v>
      </c>
      <c r="U2" s="2901" t="s">
        <v>1845</v>
      </c>
      <c r="V2" s="2900" t="s">
        <v>2712</v>
      </c>
      <c r="X2" s="2900" t="s">
        <v>2708</v>
      </c>
      <c r="Y2" s="2900" t="s">
        <v>2709</v>
      </c>
      <c r="Z2" s="2901" t="s">
        <v>2710</v>
      </c>
      <c r="AA2" s="2901" t="s">
        <v>2711</v>
      </c>
      <c r="AB2" s="2900" t="s">
        <v>2712</v>
      </c>
      <c r="AD2" s="2900" t="s">
        <v>2708</v>
      </c>
      <c r="AE2" s="2900" t="s">
        <v>2709</v>
      </c>
      <c r="AF2" s="2901" t="s">
        <v>2710</v>
      </c>
      <c r="AG2" s="2901" t="s">
        <v>2711</v>
      </c>
      <c r="AH2" s="2900" t="s">
        <v>2712</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2713</v>
      </c>
      <c r="B4" s="2914"/>
      <c r="C4" s="2914"/>
      <c r="D4" s="2914"/>
      <c r="E4" s="2914"/>
      <c r="F4" s="2914"/>
      <c r="G4" s="3734">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2714</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29"/>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2716</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3049</v>
      </c>
      <c r="B6" s="2933">
        <f t="shared" si="2"/>
        <v>419.31181600000002</v>
      </c>
      <c r="C6" s="2933">
        <f t="shared" si="3"/>
        <v>313.95436800000004</v>
      </c>
      <c r="D6" s="2933">
        <f t="shared" si="4"/>
        <v>313.95436800000004</v>
      </c>
      <c r="E6" s="2933">
        <f t="shared" si="5"/>
        <v>596.63028431999999</v>
      </c>
      <c r="F6" s="2933">
        <f t="shared" si="6"/>
        <v>274.74220703999998</v>
      </c>
      <c r="G6" s="3729"/>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2715</v>
      </c>
      <c r="B7" s="2933">
        <f>B8*(1+N7)</f>
        <v>405.524</v>
      </c>
      <c r="C7" s="2933">
        <f>C8*(1+O7)</f>
        <v>307.79840000000002</v>
      </c>
      <c r="D7" s="2933">
        <f>C7</f>
        <v>307.79840000000002</v>
      </c>
      <c r="E7" s="2933">
        <f>E8*(1+P7)</f>
        <v>574.67759999999998</v>
      </c>
      <c r="F7" s="2933">
        <f>F8*(1+Q7)</f>
        <v>270.20280000000002</v>
      </c>
      <c r="G7" s="3730"/>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34">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29"/>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29"/>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30"/>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28">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29"/>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29"/>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30"/>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28">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29"/>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29"/>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30"/>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2717</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2718</v>
      </c>
      <c r="B20" s="2925">
        <v>299</v>
      </c>
      <c r="C20" s="2925">
        <v>252</v>
      </c>
      <c r="D20" s="2925">
        <f t="shared" si="16"/>
        <v>252</v>
      </c>
      <c r="E20" s="2925">
        <v>409</v>
      </c>
      <c r="F20" s="2926">
        <v>227</v>
      </c>
      <c r="G20" s="3735">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2719</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6"/>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2720</v>
      </c>
      <c r="B22" s="2933">
        <f t="shared" si="25"/>
        <v>288.2649053828776</v>
      </c>
      <c r="C22" s="2933">
        <f t="shared" si="25"/>
        <v>243.64564425013293</v>
      </c>
      <c r="D22" s="2933">
        <f t="shared" si="16"/>
        <v>243.64564425013293</v>
      </c>
      <c r="E22" s="2933">
        <f t="shared" si="26"/>
        <v>393.31080825986544</v>
      </c>
      <c r="F22" s="2933">
        <f t="shared" si="26"/>
        <v>223.07903790551154</v>
      </c>
      <c r="G22" s="3736"/>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2721</v>
      </c>
      <c r="B23" s="2933">
        <f t="shared" si="25"/>
        <v>282.50186729015837</v>
      </c>
      <c r="C23" s="2933">
        <f t="shared" si="25"/>
        <v>238.09796174155468</v>
      </c>
      <c r="D23" s="2933">
        <f t="shared" si="16"/>
        <v>238.09796174155468</v>
      </c>
      <c r="E23" s="2933">
        <f t="shared" si="26"/>
        <v>385.33438646014054</v>
      </c>
      <c r="F23" s="2933">
        <f t="shared" si="26"/>
        <v>221.55034055567739</v>
      </c>
      <c r="G23" s="3737"/>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2722</v>
      </c>
      <c r="B24" s="2967">
        <v>278</v>
      </c>
      <c r="C24" s="2967">
        <v>234</v>
      </c>
      <c r="D24" s="2967">
        <f t="shared" si="16"/>
        <v>234</v>
      </c>
      <c r="E24" s="2967">
        <v>379</v>
      </c>
      <c r="F24" s="2968">
        <v>220</v>
      </c>
      <c r="G24" s="3728">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2723</v>
      </c>
      <c r="B25" s="2933">
        <f>B24/(1+N24)</f>
        <v>275.49301357645425</v>
      </c>
      <c r="C25" s="2933">
        <f>C24/(1+O24)</f>
        <v>232.41954707985698</v>
      </c>
      <c r="D25" s="2933">
        <f t="shared" si="16"/>
        <v>232.41954707985698</v>
      </c>
      <c r="E25" s="2933">
        <f t="shared" ref="E25:F27" si="27">E24/(1+P24)</f>
        <v>375.32184591008121</v>
      </c>
      <c r="F25" s="2933">
        <f t="shared" si="27"/>
        <v>218.03766105054513</v>
      </c>
      <c r="G25" s="3729"/>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2724</v>
      </c>
      <c r="B26" s="2933">
        <f>B25/(1+N25)</f>
        <v>275.24529281292263</v>
      </c>
      <c r="C26" s="2933">
        <f>C25/(1+O25)</f>
        <v>231.74747938962707</v>
      </c>
      <c r="D26" s="2933">
        <f t="shared" si="16"/>
        <v>231.74747938962707</v>
      </c>
      <c r="E26" s="2933">
        <f t="shared" si="27"/>
        <v>375.35938184826603</v>
      </c>
      <c r="F26" s="2933">
        <f t="shared" si="27"/>
        <v>216.78033510692495</v>
      </c>
      <c r="G26" s="3729"/>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2725</v>
      </c>
      <c r="B27" s="2933">
        <f>B26/(1+N26)</f>
        <v>275.19025476197027</v>
      </c>
      <c r="C27" s="2969">
        <v>232</v>
      </c>
      <c r="D27" s="2969">
        <f t="shared" si="16"/>
        <v>232</v>
      </c>
      <c r="E27" s="2933">
        <f t="shared" si="27"/>
        <v>375.65990977608692</v>
      </c>
      <c r="F27" s="2933">
        <f t="shared" si="27"/>
        <v>214.12518283971252</v>
      </c>
      <c r="G27" s="3730"/>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2726</v>
      </c>
      <c r="B28" s="2925">
        <v>275</v>
      </c>
      <c r="C28" s="2925">
        <v>232</v>
      </c>
      <c r="D28" s="2925">
        <f t="shared" si="16"/>
        <v>232</v>
      </c>
      <c r="E28" s="2925">
        <v>376</v>
      </c>
      <c r="F28" s="2926">
        <v>213</v>
      </c>
      <c r="G28" s="3728">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2727</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29">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2728</v>
      </c>
      <c r="B30" s="2933">
        <f t="shared" si="28"/>
        <v>275.19335084830601</v>
      </c>
      <c r="C30" s="2933">
        <f t="shared" si="28"/>
        <v>230.18088050139744</v>
      </c>
      <c r="D30" s="2933">
        <f t="shared" si="16"/>
        <v>230.18088050139744</v>
      </c>
      <c r="E30" s="2933">
        <f t="shared" si="29"/>
        <v>377.58482925212331</v>
      </c>
      <c r="F30" s="2933">
        <f t="shared" si="29"/>
        <v>210.90687997847917</v>
      </c>
      <c r="G30" s="3729">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2729</v>
      </c>
      <c r="B31" s="2933">
        <f t="shared" si="28"/>
        <v>276.29854502841971</v>
      </c>
      <c r="C31" s="2933">
        <f t="shared" si="28"/>
        <v>229.79023709833027</v>
      </c>
      <c r="D31" s="2933">
        <f t="shared" si="16"/>
        <v>229.79023709833027</v>
      </c>
      <c r="E31" s="2933">
        <f t="shared" si="29"/>
        <v>379.78759731655936</v>
      </c>
      <c r="F31" s="2933">
        <f t="shared" si="29"/>
        <v>211.32953905659235</v>
      </c>
      <c r="G31" s="3730">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2730</v>
      </c>
      <c r="B32" s="2925">
        <v>269</v>
      </c>
      <c r="C32" s="2925">
        <v>221</v>
      </c>
      <c r="D32" s="2925">
        <f t="shared" si="16"/>
        <v>221</v>
      </c>
      <c r="E32" s="2925">
        <v>373</v>
      </c>
      <c r="F32" s="2926">
        <v>196</v>
      </c>
      <c r="G32" s="3728">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2731</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29">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2732</v>
      </c>
      <c r="B34" s="2933">
        <f t="shared" si="30"/>
        <v>242.95398227588385</v>
      </c>
      <c r="C34" s="2933">
        <f t="shared" si="30"/>
        <v>199.59137053614126</v>
      </c>
      <c r="D34" s="2933">
        <f t="shared" si="16"/>
        <v>199.59137053614126</v>
      </c>
      <c r="E34" s="2933">
        <f t="shared" si="31"/>
        <v>335.92189522342125</v>
      </c>
      <c r="F34" s="2933">
        <f t="shared" si="31"/>
        <v>183.10139991109489</v>
      </c>
      <c r="G34" s="3729">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2733</v>
      </c>
      <c r="B35" s="2933">
        <f t="shared" si="30"/>
        <v>232.06990378821649</v>
      </c>
      <c r="C35" s="2933">
        <f t="shared" si="30"/>
        <v>192.74878854286936</v>
      </c>
      <c r="D35" s="2933">
        <f t="shared" si="16"/>
        <v>192.74878854286936</v>
      </c>
      <c r="E35" s="2933">
        <f t="shared" si="31"/>
        <v>319.71247284992984</v>
      </c>
      <c r="F35" s="2933">
        <f t="shared" si="31"/>
        <v>175.67053622862409</v>
      </c>
      <c r="G35" s="3730">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2734</v>
      </c>
      <c r="B36" s="2925">
        <v>220</v>
      </c>
      <c r="C36" s="2925">
        <v>187</v>
      </c>
      <c r="D36" s="2925">
        <f t="shared" si="16"/>
        <v>187</v>
      </c>
      <c r="E36" s="2925">
        <v>301</v>
      </c>
      <c r="F36" s="2926">
        <v>168</v>
      </c>
      <c r="G36" s="3728">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2735</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29">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2736</v>
      </c>
      <c r="B38" s="2933">
        <f t="shared" si="32"/>
        <v>210.630522469011</v>
      </c>
      <c r="C38" s="2933">
        <f t="shared" si="32"/>
        <v>181.69567812247232</v>
      </c>
      <c r="D38" s="2933">
        <f t="shared" si="16"/>
        <v>181.69567812247232</v>
      </c>
      <c r="E38" s="2933">
        <f t="shared" si="33"/>
        <v>286.13517466736738</v>
      </c>
      <c r="F38" s="2933">
        <f t="shared" si="33"/>
        <v>165.47535084591149</v>
      </c>
      <c r="G38" s="3729">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2737</v>
      </c>
      <c r="B39" s="2933">
        <f t="shared" si="32"/>
        <v>208.83454537875372</v>
      </c>
      <c r="C39" s="2933">
        <f t="shared" si="32"/>
        <v>183.77230517090351</v>
      </c>
      <c r="D39" s="2933">
        <f t="shared" si="16"/>
        <v>183.77230517090351</v>
      </c>
      <c r="E39" s="2933">
        <f t="shared" si="33"/>
        <v>281.10342338870947</v>
      </c>
      <c r="F39" s="2933">
        <f t="shared" si="33"/>
        <v>168.97309388942256</v>
      </c>
      <c r="G39" s="3730">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2738</v>
      </c>
      <c r="B40" s="2967">
        <v>214</v>
      </c>
      <c r="C40" s="2967">
        <v>188</v>
      </c>
      <c r="D40" s="2967">
        <f t="shared" si="16"/>
        <v>188</v>
      </c>
      <c r="E40" s="2967">
        <v>289</v>
      </c>
      <c r="F40" s="2968">
        <v>166</v>
      </c>
      <c r="G40" s="3728">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2739</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29">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2740</v>
      </c>
      <c r="B42" s="2933">
        <f t="shared" si="34"/>
        <v>206.31694671589116</v>
      </c>
      <c r="C42" s="2933">
        <f t="shared" si="34"/>
        <v>183.61041121036101</v>
      </c>
      <c r="D42" s="2933">
        <f t="shared" si="16"/>
        <v>183.61041121036101</v>
      </c>
      <c r="E42" s="2933">
        <f t="shared" si="35"/>
        <v>276.66850301795557</v>
      </c>
      <c r="F42" s="2933">
        <f t="shared" si="35"/>
        <v>165.1360938278614</v>
      </c>
      <c r="G42" s="3729">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2741</v>
      </c>
      <c r="B43" s="2970">
        <f t="shared" si="34"/>
        <v>196.62341248059772</v>
      </c>
      <c r="C43" s="2970">
        <f t="shared" si="34"/>
        <v>170.99125648199012</v>
      </c>
      <c r="D43" s="2970">
        <f t="shared" si="16"/>
        <v>170.99125648199012</v>
      </c>
      <c r="E43" s="2970">
        <f t="shared" si="35"/>
        <v>266.07857570490052</v>
      </c>
      <c r="F43" s="2970">
        <f t="shared" si="35"/>
        <v>154.53499328828505</v>
      </c>
      <c r="G43" s="3730">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2742</v>
      </c>
      <c r="B44" s="2925">
        <v>188</v>
      </c>
      <c r="C44" s="2925">
        <v>165</v>
      </c>
      <c r="D44" s="2925">
        <f t="shared" si="16"/>
        <v>165</v>
      </c>
      <c r="E44" s="2925">
        <v>254</v>
      </c>
      <c r="F44" s="2926">
        <v>148</v>
      </c>
      <c r="G44" s="3728">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2743</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29">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2744</v>
      </c>
      <c r="B46" s="2933">
        <f t="shared" si="38"/>
        <v>168.82017748715555</v>
      </c>
      <c r="C46" s="2933">
        <f t="shared" si="38"/>
        <v>148.06267029972753</v>
      </c>
      <c r="D46" s="2933">
        <f t="shared" si="16"/>
        <v>148.06267029972753</v>
      </c>
      <c r="E46" s="2933">
        <f t="shared" si="39"/>
        <v>216.46288379323747</v>
      </c>
      <c r="F46" s="2933">
        <f t="shared" si="39"/>
        <v>134.23529411764704</v>
      </c>
      <c r="G46" s="3729">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2745</v>
      </c>
      <c r="B47" s="2933">
        <f t="shared" si="38"/>
        <v>163.84913591779542</v>
      </c>
      <c r="C47" s="2933">
        <f t="shared" si="38"/>
        <v>145.0283378746594</v>
      </c>
      <c r="D47" s="2933">
        <f t="shared" si="16"/>
        <v>145.0283378746594</v>
      </c>
      <c r="E47" s="2933">
        <f t="shared" si="39"/>
        <v>204.95180722891567</v>
      </c>
      <c r="F47" s="2933">
        <f t="shared" si="39"/>
        <v>125.95920303605313</v>
      </c>
      <c r="G47" s="3730">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2746</v>
      </c>
      <c r="B48" s="2946">
        <v>159</v>
      </c>
      <c r="C48" s="2946">
        <v>141</v>
      </c>
      <c r="D48" s="2946">
        <f t="shared" si="16"/>
        <v>141</v>
      </c>
      <c r="E48" s="2946">
        <v>195</v>
      </c>
      <c r="F48" s="2947">
        <v>122</v>
      </c>
      <c r="G48" s="3728">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2747</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29">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2748</v>
      </c>
      <c r="B50" s="2933">
        <f t="shared" si="42"/>
        <v>146.57412060301507</v>
      </c>
      <c r="C50" s="2933">
        <f t="shared" si="42"/>
        <v>136.46831955922866</v>
      </c>
      <c r="D50" s="2933">
        <f t="shared" si="16"/>
        <v>136.46831955922866</v>
      </c>
      <c r="E50" s="2933">
        <f t="shared" si="43"/>
        <v>166.73864894795128</v>
      </c>
      <c r="F50" s="2933">
        <f t="shared" si="43"/>
        <v>115.05882352941177</v>
      </c>
      <c r="G50" s="3729">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2749</v>
      </c>
      <c r="B51" s="2933">
        <f t="shared" si="42"/>
        <v>144.04145728643215</v>
      </c>
      <c r="C51" s="2933">
        <f t="shared" si="42"/>
        <v>136.12396694214877</v>
      </c>
      <c r="D51" s="2933">
        <f t="shared" si="16"/>
        <v>136.12396694214877</v>
      </c>
      <c r="E51" s="2933">
        <f t="shared" si="43"/>
        <v>158.32225913621264</v>
      </c>
      <c r="F51" s="2933">
        <f t="shared" si="43"/>
        <v>114.04278074866311</v>
      </c>
      <c r="G51" s="3730">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2750</v>
      </c>
      <c r="B52" s="2946">
        <v>138</v>
      </c>
      <c r="C52" s="2946">
        <v>131</v>
      </c>
      <c r="D52" s="2946">
        <f t="shared" si="16"/>
        <v>131</v>
      </c>
      <c r="E52" s="2946">
        <v>155</v>
      </c>
      <c r="F52" s="2947">
        <v>114</v>
      </c>
      <c r="G52" s="3728">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2751</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29">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2752</v>
      </c>
      <c r="B54" s="2933">
        <f t="shared" si="46"/>
        <v>124.29032258064517</v>
      </c>
      <c r="C54" s="2933">
        <f t="shared" si="46"/>
        <v>123.8968609865471</v>
      </c>
      <c r="D54" s="2933">
        <f t="shared" si="16"/>
        <v>123.8968609865471</v>
      </c>
      <c r="E54" s="2933">
        <f t="shared" si="47"/>
        <v>138.00507614213197</v>
      </c>
      <c r="F54" s="2933">
        <f t="shared" si="47"/>
        <v>107.96106557377048</v>
      </c>
      <c r="G54" s="3729">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2753</v>
      </c>
      <c r="B55" s="2933">
        <f t="shared" si="46"/>
        <v>122.57204301075269</v>
      </c>
      <c r="C55" s="2933">
        <f t="shared" si="46"/>
        <v>123.4932735426009</v>
      </c>
      <c r="D55" s="2933">
        <f t="shared" si="16"/>
        <v>123.4932735426009</v>
      </c>
      <c r="E55" s="2933">
        <f t="shared" si="47"/>
        <v>129.82233502538071</v>
      </c>
      <c r="F55" s="2933">
        <f t="shared" si="47"/>
        <v>107.39446721311475</v>
      </c>
      <c r="G55" s="3730">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2754</v>
      </c>
      <c r="B56" s="2967">
        <v>121</v>
      </c>
      <c r="C56" s="2967">
        <v>122</v>
      </c>
      <c r="D56" s="2967">
        <f t="shared" si="16"/>
        <v>122</v>
      </c>
      <c r="E56" s="2967">
        <v>124</v>
      </c>
      <c r="F56" s="2968">
        <v>107</v>
      </c>
      <c r="G56" s="3728">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2755</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29">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2756</v>
      </c>
      <c r="B58" s="2933">
        <f t="shared" si="50"/>
        <v>116.99099099099099</v>
      </c>
      <c r="C58" s="2933">
        <f t="shared" si="50"/>
        <v>118.84848484848486</v>
      </c>
      <c r="D58" s="2933">
        <f t="shared" si="16"/>
        <v>118.84848484848486</v>
      </c>
      <c r="E58" s="2933">
        <f t="shared" si="51"/>
        <v>117.60960960960961</v>
      </c>
      <c r="F58" s="2933">
        <f t="shared" si="51"/>
        <v>104</v>
      </c>
      <c r="G58" s="3729">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2757</v>
      </c>
      <c r="B59" s="2970">
        <f t="shared" si="50"/>
        <v>112.48648648648648</v>
      </c>
      <c r="C59" s="2970">
        <f t="shared" si="50"/>
        <v>115.21212121212122</v>
      </c>
      <c r="D59" s="2970">
        <f t="shared" si="16"/>
        <v>115.21212121212122</v>
      </c>
      <c r="E59" s="2970">
        <f t="shared" si="51"/>
        <v>110.4024024024024</v>
      </c>
      <c r="F59" s="2970">
        <f t="shared" si="51"/>
        <v>104</v>
      </c>
      <c r="G59" s="3730">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2758</v>
      </c>
      <c r="B60" s="2988">
        <v>111</v>
      </c>
      <c r="C60" s="2988">
        <v>114</v>
      </c>
      <c r="D60" s="2988">
        <f t="shared" si="16"/>
        <v>114</v>
      </c>
      <c r="E60" s="2988">
        <v>108</v>
      </c>
      <c r="F60" s="2989">
        <v>104</v>
      </c>
      <c r="G60" s="3728">
        <v>2003</v>
      </c>
      <c r="H60" s="2978">
        <v>4</v>
      </c>
      <c r="I60" s="2990"/>
      <c r="J60" s="2990"/>
      <c r="K60" s="2990"/>
      <c r="L60" s="2990"/>
      <c r="N60" s="2991"/>
      <c r="O60" s="2990"/>
      <c r="P60" s="2990"/>
      <c r="Q60" s="2990"/>
      <c r="S60" s="2991"/>
      <c r="T60" s="2990"/>
      <c r="U60" s="2990"/>
      <c r="V60" s="2990"/>
      <c r="X60" s="2982"/>
      <c r="Y60" s="2982"/>
      <c r="Z60" s="2982"/>
    </row>
    <row r="61" spans="1:26">
      <c r="A61" s="2913" t="s">
        <v>2759</v>
      </c>
      <c r="B61" s="2992">
        <f t="shared" ref="B61:C63" si="52">B62+(B$60-B$64)/4</f>
        <v>109.75</v>
      </c>
      <c r="C61" s="2992">
        <f t="shared" si="52"/>
        <v>112.25</v>
      </c>
      <c r="D61" s="2992">
        <f t="shared" si="16"/>
        <v>112.25</v>
      </c>
      <c r="E61" s="2992">
        <f t="shared" ref="E61:F63" si="53">E62+(E$60-E$64)/4</f>
        <v>107.25</v>
      </c>
      <c r="F61" s="2992">
        <f t="shared" si="53"/>
        <v>103.5</v>
      </c>
      <c r="G61" s="3729">
        <v>2003</v>
      </c>
      <c r="H61" s="2943">
        <v>3</v>
      </c>
      <c r="I61" s="2990"/>
      <c r="J61" s="2990"/>
      <c r="K61" s="2990"/>
      <c r="L61" s="2990"/>
      <c r="X61" s="2982"/>
      <c r="Y61" s="2982"/>
      <c r="Z61" s="2982"/>
    </row>
    <row r="62" spans="1:26">
      <c r="A62" s="2913" t="s">
        <v>2760</v>
      </c>
      <c r="B62" s="2992">
        <f t="shared" si="52"/>
        <v>108.5</v>
      </c>
      <c r="C62" s="2992">
        <f t="shared" si="52"/>
        <v>110.5</v>
      </c>
      <c r="D62" s="2992">
        <f t="shared" si="16"/>
        <v>110.5</v>
      </c>
      <c r="E62" s="2992">
        <f t="shared" si="53"/>
        <v>106.5</v>
      </c>
      <c r="F62" s="2992">
        <f t="shared" si="53"/>
        <v>103</v>
      </c>
      <c r="G62" s="3729">
        <v>2003</v>
      </c>
      <c r="H62" s="2919">
        <v>2</v>
      </c>
      <c r="I62" s="2990"/>
      <c r="J62" s="2990"/>
      <c r="K62" s="2990"/>
      <c r="L62" s="2990"/>
      <c r="X62" s="2982"/>
      <c r="Y62" s="2982"/>
      <c r="Z62" s="2982"/>
    </row>
    <row r="63" spans="1:26" ht="13.5" thickBot="1">
      <c r="A63" s="2913" t="s">
        <v>2761</v>
      </c>
      <c r="B63" s="2992">
        <f t="shared" si="52"/>
        <v>107.25</v>
      </c>
      <c r="C63" s="2992">
        <f t="shared" si="52"/>
        <v>108.75</v>
      </c>
      <c r="D63" s="2992">
        <f t="shared" si="16"/>
        <v>108.75</v>
      </c>
      <c r="E63" s="2992">
        <f t="shared" si="53"/>
        <v>105.75</v>
      </c>
      <c r="F63" s="2992">
        <f t="shared" si="53"/>
        <v>102.5</v>
      </c>
      <c r="G63" s="3730">
        <v>2003</v>
      </c>
      <c r="H63" s="2993">
        <v>1</v>
      </c>
      <c r="I63" s="2990"/>
      <c r="J63" s="2990"/>
      <c r="K63" s="2990"/>
      <c r="L63" s="2990"/>
      <c r="S63" s="2928"/>
      <c r="T63" s="2929"/>
      <c r="U63" s="2929"/>
      <c r="X63" s="2982"/>
      <c r="Y63" s="2982"/>
      <c r="Z63" s="2982"/>
    </row>
    <row r="64" spans="1:26" ht="13.5" thickBot="1">
      <c r="A64" s="2913" t="s">
        <v>2762</v>
      </c>
      <c r="B64" s="2994">
        <v>106</v>
      </c>
      <c r="C64" s="2994">
        <v>107</v>
      </c>
      <c r="D64" s="2994">
        <f t="shared" si="16"/>
        <v>107</v>
      </c>
      <c r="E64" s="2994">
        <v>105</v>
      </c>
      <c r="F64" s="2995">
        <v>102</v>
      </c>
      <c r="G64" s="3728">
        <v>2002</v>
      </c>
      <c r="H64" s="2938">
        <v>4</v>
      </c>
      <c r="I64" s="2990"/>
      <c r="J64" s="2990"/>
      <c r="K64" s="2990"/>
      <c r="L64" s="2990"/>
      <c r="N64" s="2991"/>
      <c r="O64" s="2990"/>
      <c r="P64" s="2990"/>
      <c r="Q64" s="2990"/>
      <c r="S64" s="2991"/>
      <c r="T64" s="2990"/>
      <c r="U64" s="2990"/>
      <c r="V64" s="2990"/>
      <c r="X64" s="2982"/>
      <c r="Y64" s="2982"/>
      <c r="Z64" s="2982"/>
    </row>
    <row r="65" spans="1:26">
      <c r="A65" s="2913" t="s">
        <v>2763</v>
      </c>
      <c r="B65" s="2992">
        <f t="shared" ref="B65:C67" si="54">B66+(B$64-B$68)/4</f>
        <v>105</v>
      </c>
      <c r="C65" s="2992">
        <f t="shared" si="54"/>
        <v>106</v>
      </c>
      <c r="D65" s="2992">
        <f t="shared" si="16"/>
        <v>106</v>
      </c>
      <c r="E65" s="2992">
        <f t="shared" ref="E65:F67" si="55">E66+(E$64-E$68)/4</f>
        <v>104.5</v>
      </c>
      <c r="F65" s="2992">
        <f t="shared" si="55"/>
        <v>101.5</v>
      </c>
      <c r="G65" s="3729">
        <v>2002</v>
      </c>
      <c r="H65" s="2943">
        <v>3</v>
      </c>
      <c r="I65" s="2990"/>
      <c r="J65" s="2990"/>
      <c r="K65" s="2990"/>
      <c r="L65" s="2990"/>
      <c r="X65" s="2982"/>
      <c r="Y65" s="2982"/>
      <c r="Z65" s="2982"/>
    </row>
    <row r="66" spans="1:26">
      <c r="A66" s="2913" t="s">
        <v>2764</v>
      </c>
      <c r="B66" s="2992">
        <f t="shared" si="54"/>
        <v>104</v>
      </c>
      <c r="C66" s="2992">
        <f t="shared" si="54"/>
        <v>105</v>
      </c>
      <c r="D66" s="2992">
        <f t="shared" si="16"/>
        <v>105</v>
      </c>
      <c r="E66" s="2992">
        <f t="shared" si="55"/>
        <v>104</v>
      </c>
      <c r="F66" s="2992">
        <f t="shared" si="55"/>
        <v>101</v>
      </c>
      <c r="G66" s="3729">
        <v>2002</v>
      </c>
      <c r="H66" s="2919">
        <v>2</v>
      </c>
      <c r="I66" s="2990"/>
      <c r="J66" s="2990"/>
      <c r="K66" s="2990"/>
      <c r="L66" s="2990"/>
      <c r="X66" s="2982"/>
      <c r="Y66" s="2982"/>
      <c r="Z66" s="2982"/>
    </row>
    <row r="67" spans="1:26" s="2954" customFormat="1" ht="13.5" thickBot="1">
      <c r="A67" s="2950" t="s">
        <v>2765</v>
      </c>
      <c r="B67" s="2996">
        <f t="shared" si="54"/>
        <v>103</v>
      </c>
      <c r="C67" s="2996">
        <f t="shared" si="54"/>
        <v>104</v>
      </c>
      <c r="D67" s="2996">
        <f t="shared" si="16"/>
        <v>104</v>
      </c>
      <c r="E67" s="2996">
        <f t="shared" si="55"/>
        <v>103.5</v>
      </c>
      <c r="F67" s="2996">
        <f t="shared" si="55"/>
        <v>100.5</v>
      </c>
      <c r="G67" s="3730">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2766</v>
      </c>
      <c r="G70" s="3006"/>
      <c r="N70" s="3006"/>
      <c r="S70" s="3006"/>
    </row>
    <row r="71" spans="1:26" s="3005" customFormat="1">
      <c r="A71" s="3005" t="s">
        <v>2767</v>
      </c>
      <c r="G71" s="3006"/>
      <c r="N71" s="3006"/>
      <c r="S71" s="3006"/>
    </row>
    <row r="72" spans="1:26" s="3005" customFormat="1">
      <c r="A72" s="3005" t="s">
        <v>2768</v>
      </c>
      <c r="G72" s="3006"/>
      <c r="I72" s="3007"/>
      <c r="J72" s="3007"/>
      <c r="K72" s="3007"/>
      <c r="L72" s="3007"/>
      <c r="N72" s="3008"/>
      <c r="O72" s="3007"/>
      <c r="P72" s="3007"/>
      <c r="Q72" s="3007"/>
      <c r="S72" s="3008"/>
      <c r="T72" s="3007"/>
      <c r="U72" s="3007"/>
      <c r="V72" s="3007"/>
    </row>
    <row r="73" spans="1:26" s="3005" customFormat="1">
      <c r="A73" s="3005" t="s">
        <v>2769</v>
      </c>
      <c r="G73" s="3006"/>
      <c r="N73" s="3006"/>
      <c r="S73" s="3006"/>
    </row>
    <row r="80" spans="1:26" ht="13.5" thickBot="1"/>
    <row r="81" spans="14:22" s="2927" customFormat="1">
      <c r="N81" s="2942"/>
      <c r="S81" s="3009" t="s">
        <v>2770</v>
      </c>
      <c r="T81" s="3010" t="s">
        <v>2771</v>
      </c>
      <c r="U81" s="3010" t="s">
        <v>2772</v>
      </c>
      <c r="V81" s="3010" t="s">
        <v>2773</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2377</v>
      </c>
      <c r="C1" s="3741" t="s">
        <v>2378</v>
      </c>
      <c r="D1" s="3742"/>
      <c r="E1" s="3742"/>
      <c r="F1" s="3742"/>
      <c r="G1" s="3742"/>
      <c r="H1" s="3742"/>
      <c r="I1" s="3742"/>
      <c r="J1" s="3742"/>
      <c r="K1" s="3742"/>
      <c r="L1" s="3742"/>
      <c r="M1" s="3742"/>
      <c r="N1" s="3742"/>
      <c r="O1" s="3742"/>
      <c r="P1" s="3742"/>
      <c r="Q1" s="3742"/>
      <c r="R1" s="3742"/>
      <c r="S1" s="3743"/>
      <c r="T1" s="2439" t="s">
        <v>2379</v>
      </c>
    </row>
    <row r="2" spans="1:45" s="1115" customFormat="1">
      <c r="A2" s="2440"/>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3018</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3017</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3016</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3015</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3014</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3013</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2381</v>
      </c>
      <c r="B17" s="2483" t="s">
        <v>2382</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3051</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3052</v>
      </c>
      <c r="E20" s="3352"/>
      <c r="F20" s="2439" t="e">
        <f ca="1">SUMIF(INDIRECT("'"&amp;H20&amp;"'"&amp;"!A:A"),"承租人权益价值",INDIRECT("'"&amp;H20&amp;"'"&amp;"!c:c"))</f>
        <v>#REF!</v>
      </c>
      <c r="G20" s="3353" t="s">
        <v>3039</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8" t="s">
        <v>169</v>
      </c>
      <c r="D22" s="3739"/>
      <c r="E22" s="3739"/>
      <c r="F22" s="3739"/>
      <c r="G22" s="3739"/>
      <c r="H22" s="3739"/>
      <c r="I22" s="3739"/>
      <c r="J22" s="3739"/>
      <c r="K22" s="3739"/>
      <c r="L22" s="3739"/>
      <c r="M22" s="3739"/>
      <c r="N22" s="3739"/>
      <c r="O22" s="3739"/>
      <c r="P22" s="3739"/>
      <c r="Q22" s="3740"/>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tr">
        <f>IF(项目基本情况!B9="房地产市场价值","估价结果一览表（市场价值不需“结果表-1”）","估价结果一览表")</f>
        <v>估价结果一览表</v>
      </c>
      <c r="B3" s="3375"/>
      <c r="C3" s="3375"/>
      <c r="D3" s="3375"/>
      <c r="E3" s="3375"/>
    </row>
    <row r="4" spans="1:5" ht="19.5" thickBot="1">
      <c r="A4" s="1974"/>
      <c r="B4" s="3373" t="s">
        <v>2032</v>
      </c>
      <c r="C4" s="3373"/>
      <c r="D4" s="3373"/>
      <c r="E4" s="1974"/>
    </row>
    <row r="5" spans="1:5" ht="16.5" thickTop="1">
      <c r="A5" s="1962"/>
      <c r="B5" s="3371" t="s">
        <v>2028</v>
      </c>
      <c r="C5" s="1964" t="s">
        <v>2033</v>
      </c>
      <c r="D5" s="1965">
        <f ca="1">结果表!H101</f>
        <v>1695</v>
      </c>
      <c r="E5" s="1962"/>
    </row>
    <row r="6" spans="1:5" ht="15.75">
      <c r="A6" s="1962"/>
      <c r="B6" s="3371"/>
      <c r="C6" s="1964" t="s">
        <v>2863</v>
      </c>
      <c r="D6" s="1965" t="str">
        <f ca="1">NUMBERSTRING(INT(D5*10000),2)&amp;"元整"</f>
        <v>壹仟陆佰玖拾伍万元整</v>
      </c>
      <c r="E6" s="1962"/>
    </row>
    <row r="7" spans="1:5" ht="15.75">
      <c r="A7" s="1962"/>
      <c r="B7" s="3376"/>
      <c r="C7" s="1966" t="s">
        <v>2034</v>
      </c>
      <c r="D7" s="1967">
        <f ca="1">结果表!H102</f>
        <v>7973</v>
      </c>
      <c r="E7" s="1962"/>
    </row>
    <row r="8" spans="1:5" ht="15.75">
      <c r="A8" s="1962"/>
      <c r="B8" s="3377" t="str">
        <f>结果表!E103</f>
        <v>2.估价师知悉的法定优先受偿款</v>
      </c>
      <c r="C8" s="1968" t="s">
        <v>2035</v>
      </c>
      <c r="D8" s="1967">
        <f>结果表!H103</f>
        <v>0</v>
      </c>
      <c r="E8" s="1962"/>
    </row>
    <row r="9" spans="1:5" ht="15.75">
      <c r="A9" s="1962"/>
      <c r="B9" s="3379"/>
      <c r="C9" s="1964" t="s">
        <v>2863</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70" t="str">
        <f>结果表!E107</f>
        <v>3.房地产抵押价值</v>
      </c>
      <c r="C13" s="1972" t="s">
        <v>2033</v>
      </c>
      <c r="D13" s="1975">
        <f ca="1">结果表!H107</f>
        <v>1695</v>
      </c>
      <c r="E13" s="1962"/>
    </row>
    <row r="14" spans="1:5" ht="15.75">
      <c r="A14" s="1962"/>
      <c r="B14" s="3371"/>
      <c r="C14" s="1964" t="s">
        <v>2863</v>
      </c>
      <c r="D14" s="1965" t="str">
        <f ca="1">NUMBERSTRING(INT(D13*10000),2)&amp;"元整"</f>
        <v>壹仟陆佰玖拾伍万元整</v>
      </c>
      <c r="E14" s="1962"/>
    </row>
    <row r="15" spans="1:5" ht="15">
      <c r="A15" s="1962"/>
      <c r="B15" s="3376"/>
      <c r="C15" s="1966" t="s">
        <v>2034</v>
      </c>
      <c r="D15" s="2077">
        <f ca="1">结果表!H108</f>
        <v>7973</v>
      </c>
      <c r="E15" s="1962"/>
    </row>
    <row r="16" spans="1:5" ht="14.25">
      <c r="A16" s="1962"/>
      <c r="B16" s="3377" t="str">
        <f>结果表!E109</f>
        <v>——</v>
      </c>
      <c r="C16" s="1972" t="s">
        <v>2033</v>
      </c>
      <c r="D16" s="2078" t="str">
        <f>结果表!H109</f>
        <v>——</v>
      </c>
      <c r="E16" s="1962"/>
    </row>
    <row r="17" spans="1:5" ht="15.75">
      <c r="A17" s="1962"/>
      <c r="B17" s="3378"/>
      <c r="C17" s="1964" t="s">
        <v>2863</v>
      </c>
      <c r="D17" s="1965" t="e">
        <f>NUMBERSTRING(INT(D16*10000),2)&amp;"元整"</f>
        <v>#VALUE!</v>
      </c>
      <c r="E17" s="1962"/>
    </row>
    <row r="18" spans="1:5" ht="15">
      <c r="A18" s="1962"/>
      <c r="B18" s="3379"/>
      <c r="C18" s="1966" t="s">
        <v>2034</v>
      </c>
      <c r="D18" s="2077" t="str">
        <f>结果表!H110</f>
        <v>——</v>
      </c>
      <c r="E18" s="1962"/>
    </row>
    <row r="19" spans="1:5" ht="15.75">
      <c r="A19" s="1962"/>
      <c r="B19" s="3370" t="str">
        <f>结果表!E111</f>
        <v>——</v>
      </c>
      <c r="C19" s="1972" t="s">
        <v>2033</v>
      </c>
      <c r="D19" s="1967" t="str">
        <f>结果表!H111</f>
        <v>——</v>
      </c>
      <c r="E19" s="1962"/>
    </row>
    <row r="20" spans="1:5" ht="15.75">
      <c r="A20" s="1962"/>
      <c r="B20" s="3371"/>
      <c r="C20" s="1964" t="s">
        <v>2863</v>
      </c>
      <c r="D20" s="1965" t="e">
        <f>NUMBERSTRING(INT(D19*10000),2)&amp;"元整"</f>
        <v>#VALUE!</v>
      </c>
      <c r="E20" s="1962"/>
    </row>
    <row r="21" spans="1:5" ht="15.75" thickBot="1">
      <c r="A21" s="1962"/>
      <c r="B21" s="3372"/>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2497</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2673</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f>IF(G19="已包含在土地取得成本中","0",ROUND(D19*E19/10000,0))</f>
        <v>43</v>
      </c>
      <c r="D19" s="1911">
        <f>'数据-汇总表'!E3</f>
        <v>2125.98</v>
      </c>
      <c r="E19" s="586">
        <f>'数据-取费表'!B31</f>
        <v>200</v>
      </c>
      <c r="F19" s="606"/>
      <c r="G19" s="84" t="s">
        <v>2520</v>
      </c>
    </row>
    <row r="20" spans="1:7" s="589" customFormat="1" ht="13.5" customHeight="1">
      <c r="A20" s="1801" t="s">
        <v>2500</v>
      </c>
      <c r="B20" s="585" t="s">
        <v>836</v>
      </c>
      <c r="C20" s="607">
        <f>ROUND((C5+C19)*F20,0)</f>
        <v>310</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2504</v>
      </c>
      <c r="C23" s="2698">
        <f ca="1">ROUND(IF('数据-取费表'!B22&lt;=1,C5*F22*'数据-取费表'!B23,C5*(POWER((1+F22),'数据-取费表'!B23)-1)),0)</f>
        <v>897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2501</v>
      </c>
      <c r="C25" s="2698">
        <f ca="1">ROUND(IF('数据-取费表'!B22&lt;=1,C20*F22*'数据-取费表'!B23/2,C20*(POWER((1+F22),'数据-取费表'!B23/2)-1)),0)</f>
        <v>7</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2512</v>
      </c>
    </row>
    <row r="28" spans="1:7" s="589" customFormat="1" ht="13.5" customHeight="1">
      <c r="A28" s="1804" t="s">
        <v>1924</v>
      </c>
      <c r="B28" s="623" t="s">
        <v>2505</v>
      </c>
      <c r="C28" s="624">
        <f>ROUND((C5+C19+C20)*F27*'数据-取费表'!B21/'数据-取费表'!B20,0)</f>
        <v>2096</v>
      </c>
      <c r="D28" s="610"/>
      <c r="E28" s="611"/>
      <c r="F28" s="621"/>
      <c r="G28" s="622"/>
    </row>
    <row r="29" spans="1:7" s="589" customFormat="1" ht="13.5" customHeight="1">
      <c r="A29" s="1804" t="s">
        <v>1922</v>
      </c>
      <c r="B29" s="623" t="s">
        <v>2506</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2514</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2504</v>
      </c>
      <c r="C42" s="613">
        <f ca="1">ROUND(IF('数据-取费表'!B22&lt;=1,C33*F22*'数据-取费表'!B21/2,C33*(POWER((1+F22),'数据-取费表'!B21/2)-1)),0)</f>
        <v>11</v>
      </c>
      <c r="D42" s="613"/>
      <c r="E42" s="613"/>
      <c r="F42" s="614"/>
      <c r="G42" s="3562" t="s">
        <v>853</v>
      </c>
    </row>
    <row r="43" spans="1:7" ht="13.5" customHeight="1">
      <c r="A43" s="1804" t="s">
        <v>1922</v>
      </c>
      <c r="B43" s="590" t="s">
        <v>2507</v>
      </c>
      <c r="C43" s="613">
        <f ca="1">ROUND(IF('数据-取费表'!B22&lt;=1,C39*F22*'数据-取费表'!B21/2,C39*(POWER((1+F22),'数据-取费表'!B21/2)-1)),0)</f>
        <v>0</v>
      </c>
      <c r="D43" s="613"/>
      <c r="E43" s="613"/>
      <c r="F43" s="614"/>
      <c r="G43" s="3563"/>
    </row>
    <row r="44" spans="1:7" ht="13.5" customHeight="1">
      <c r="A44" s="1804" t="s">
        <v>1923</v>
      </c>
      <c r="B44" s="590" t="s">
        <v>2509</v>
      </c>
      <c r="C44" s="613">
        <f ca="1">ROUND(IF('数据-取费表'!B22&lt;=1,C40*F22*'数据-取费表'!B21/2,C40*(POWER((1+F22),'数据-取费表'!B21/2)-1)),4)</f>
        <v>2.9999999999999997E-4</v>
      </c>
      <c r="D44" s="613"/>
      <c r="E44" s="613"/>
      <c r="F44" s="614"/>
      <c r="G44" s="3564"/>
    </row>
    <row r="45" spans="1:7" s="589" customFormat="1" ht="13.5" customHeight="1">
      <c r="A45" s="1801" t="s">
        <v>1916</v>
      </c>
      <c r="B45" s="619" t="s">
        <v>844</v>
      </c>
      <c r="C45" s="620">
        <f>C46</f>
        <v>50</v>
      </c>
      <c r="D45" s="610">
        <f>C47</f>
        <v>1.5E-3</v>
      </c>
      <c r="E45" s="611" t="s">
        <v>861</v>
      </c>
      <c r="F45" s="621"/>
      <c r="G45" s="622" t="s">
        <v>2515</v>
      </c>
    </row>
    <row r="46" spans="1:7" s="589" customFormat="1" ht="13.5" customHeight="1">
      <c r="A46" s="1804" t="s">
        <v>1924</v>
      </c>
      <c r="B46" s="623" t="s">
        <v>2508</v>
      </c>
      <c r="C46" s="624">
        <f>ROUND((C33+C39)*F27,0)</f>
        <v>50</v>
      </c>
      <c r="D46" s="638"/>
      <c r="E46" s="611"/>
      <c r="F46" s="621"/>
      <c r="G46" s="622"/>
    </row>
    <row r="47" spans="1:7" s="589" customFormat="1" ht="13.5" customHeight="1">
      <c r="A47" s="1804" t="s">
        <v>1922</v>
      </c>
      <c r="B47" s="623" t="s">
        <v>2510</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4" t="s">
        <v>1170</v>
      </c>
      <c r="B1" s="3744"/>
      <c r="C1" s="3744"/>
      <c r="D1" s="3744"/>
      <c r="E1" s="3744"/>
      <c r="F1" s="3744"/>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45" t="s">
        <v>1183</v>
      </c>
      <c r="B2" s="3745"/>
      <c r="C2" s="3745"/>
      <c r="D2" s="3745"/>
      <c r="E2" s="3745"/>
      <c r="F2" s="3745"/>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46"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47"/>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2489</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2489</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4" t="s">
        <v>2129</v>
      </c>
      <c r="B1" s="3744"/>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2895</v>
      </c>
      <c r="C1" s="3195">
        <f>项目基本情况!D3</f>
        <v>42982</v>
      </c>
      <c r="D1" s="3201" t="s">
        <v>2896</v>
      </c>
      <c r="E1" s="3196">
        <f>'数据-取费表'!B22</f>
        <v>1</v>
      </c>
      <c r="F1" s="3201" t="s">
        <v>2897</v>
      </c>
      <c r="G1" s="3197">
        <f ca="1">INDIRECT("d"&amp;$K$1)/100</f>
        <v>4.3499999999999997E-2</v>
      </c>
      <c r="H1" s="3201" t="s">
        <v>2927</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2898</v>
      </c>
      <c r="E2" s="3137"/>
      <c r="F2" s="3137" t="s">
        <v>2899</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2900</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2901</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2902</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2903</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2904</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2905</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2906</v>
      </c>
      <c r="C10" s="3165"/>
      <c r="D10" s="3165"/>
      <c r="E10" s="3165"/>
      <c r="F10" s="3165"/>
      <c r="G10" s="3165"/>
      <c r="H10" s="3165"/>
      <c r="I10" s="3139"/>
      <c r="J10" s="3139"/>
      <c r="K10" s="3165"/>
      <c r="L10" s="3166" t="s">
        <v>2907</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2908</v>
      </c>
      <c r="C11" s="3170" t="s">
        <v>2909</v>
      </c>
      <c r="D11" s="3171" t="s">
        <v>2910</v>
      </c>
      <c r="E11" s="3172"/>
      <c r="F11" s="3171" t="s">
        <v>2911</v>
      </c>
      <c r="G11" s="3173"/>
      <c r="H11" s="3172"/>
      <c r="I11" s="3171" t="s">
        <v>2912</v>
      </c>
      <c r="J11" s="3172"/>
      <c r="K11" s="3168"/>
      <c r="L11" s="3169" t="s">
        <v>2908</v>
      </c>
      <c r="M11" s="3170" t="s">
        <v>2909</v>
      </c>
      <c r="N11" s="3169" t="s">
        <v>2913</v>
      </c>
      <c r="O11" s="3171" t="s">
        <v>2914</v>
      </c>
      <c r="P11" s="3173"/>
      <c r="Q11" s="3173"/>
      <c r="R11" s="3173"/>
      <c r="S11" s="3173"/>
      <c r="T11" s="3172"/>
      <c r="U11" s="3171" t="s">
        <v>2915</v>
      </c>
      <c r="V11" s="3173"/>
      <c r="W11" s="3172"/>
      <c r="X11" s="3169" t="s">
        <v>2916</v>
      </c>
      <c r="Y11" s="3169" t="s">
        <v>2917</v>
      </c>
      <c r="Z11" s="3169" t="s">
        <v>2918</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2919</v>
      </c>
      <c r="E12" s="3178" t="s">
        <v>2920</v>
      </c>
      <c r="F12" s="3178" t="s">
        <v>2921</v>
      </c>
      <c r="G12" s="3178" t="s">
        <v>2922</v>
      </c>
      <c r="H12" s="3178" t="s">
        <v>2904</v>
      </c>
      <c r="I12" s="3179" t="s">
        <v>2923</v>
      </c>
      <c r="J12" s="3179" t="s">
        <v>2923</v>
      </c>
      <c r="K12" s="3175"/>
      <c r="L12" s="3176"/>
      <c r="M12" s="3177"/>
      <c r="N12" s="3176"/>
      <c r="O12" s="3179" t="s">
        <v>2924</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2925</v>
      </c>
      <c r="C13" s="3183">
        <v>42301</v>
      </c>
      <c r="D13" s="3184">
        <v>4.3499999999999996</v>
      </c>
      <c r="E13" s="3184">
        <v>4.3499999999999996</v>
      </c>
      <c r="F13" s="3184">
        <v>4.75</v>
      </c>
      <c r="G13" s="3184">
        <v>4.75</v>
      </c>
      <c r="H13" s="3184">
        <v>4.9000000000000004</v>
      </c>
      <c r="I13" s="3184">
        <v>2.75</v>
      </c>
      <c r="J13" s="3184">
        <v>3.25</v>
      </c>
      <c r="K13" s="3181"/>
      <c r="L13" s="3182" t="s">
        <v>2925</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2926</v>
      </c>
      <c r="Y42" s="3188" t="s">
        <v>2926</v>
      </c>
      <c r="Z42" s="3188" t="s">
        <v>2926</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2926</v>
      </c>
      <c r="Y43" s="3188" t="s">
        <v>2926</v>
      </c>
      <c r="Z43" s="3188" t="s">
        <v>2926</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2926</v>
      </c>
      <c r="Y44" s="3188" t="s">
        <v>2926</v>
      </c>
      <c r="Z44" s="3188" t="s">
        <v>2926</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2926</v>
      </c>
      <c r="Y45" s="3188" t="s">
        <v>2926</v>
      </c>
      <c r="Z45" s="3188" t="s">
        <v>2926</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2926</v>
      </c>
      <c r="Y46" s="3188" t="s">
        <v>2926</v>
      </c>
      <c r="Z46" s="3188" t="s">
        <v>2926</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2926</v>
      </c>
      <c r="Y47" s="3188" t="s">
        <v>2926</v>
      </c>
      <c r="Z47" s="3188" t="s">
        <v>2926</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2926</v>
      </c>
      <c r="Y48" s="3188" t="s">
        <v>2926</v>
      </c>
      <c r="Z48" s="3188" t="s">
        <v>2926</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2926</v>
      </c>
      <c r="Y49" s="3188" t="s">
        <v>2926</v>
      </c>
      <c r="Z49" s="3188" t="s">
        <v>2926</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2926</v>
      </c>
      <c r="Y50" s="3188" t="s">
        <v>2926</v>
      </c>
      <c r="Z50" s="3188" t="s">
        <v>2926</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2926</v>
      </c>
      <c r="V51" s="3188" t="s">
        <v>2926</v>
      </c>
      <c r="W51" s="3188" t="s">
        <v>2926</v>
      </c>
      <c r="X51" s="3188" t="s">
        <v>2926</v>
      </c>
      <c r="Y51" s="3188" t="s">
        <v>2926</v>
      </c>
      <c r="Z51" s="3188" t="s">
        <v>2926</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2926</v>
      </c>
      <c r="J55" s="3188" t="s">
        <v>2926</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3025</v>
      </c>
      <c r="E1" s="3324" t="s">
        <v>3029</v>
      </c>
      <c r="F1" s="3325" t="s">
        <v>3033</v>
      </c>
    </row>
    <row r="2" spans="1:13" ht="20.25">
      <c r="A2" s="3331" t="s">
        <v>3026</v>
      </c>
    </row>
    <row r="3" spans="1:13" ht="16.5">
      <c r="A3" s="3332" t="s">
        <v>3027</v>
      </c>
    </row>
    <row r="4" spans="1:13" ht="14.25">
      <c r="A4" s="3322" t="s">
        <v>3028</v>
      </c>
      <c r="B4" s="3327" t="s">
        <v>3030</v>
      </c>
      <c r="C4" s="3328"/>
      <c r="D4" s="3329"/>
      <c r="E4" s="3327" t="s">
        <v>141</v>
      </c>
      <c r="F4" s="3328"/>
      <c r="G4" s="3329"/>
      <c r="H4" s="3327" t="s">
        <v>3031</v>
      </c>
      <c r="I4" s="3328"/>
      <c r="J4" s="3329"/>
      <c r="K4" s="3327" t="s">
        <v>39</v>
      </c>
      <c r="L4" s="3328"/>
      <c r="M4" s="3329"/>
    </row>
    <row r="5" spans="1:13" ht="14.25">
      <c r="A5" s="3323" t="s">
        <v>3032</v>
      </c>
      <c r="B5" s="3322" t="s">
        <v>3034</v>
      </c>
      <c r="C5" s="3322" t="s">
        <v>3035</v>
      </c>
      <c r="D5" s="3322" t="s">
        <v>3036</v>
      </c>
      <c r="E5" s="3322" t="s">
        <v>3034</v>
      </c>
      <c r="F5" s="3322" t="s">
        <v>3035</v>
      </c>
      <c r="G5" s="3322" t="s">
        <v>3036</v>
      </c>
      <c r="H5" s="3322" t="s">
        <v>3034</v>
      </c>
      <c r="I5" s="3322" t="s">
        <v>3035</v>
      </c>
      <c r="J5" s="3322" t="s">
        <v>3036</v>
      </c>
      <c r="K5" s="3322" t="s">
        <v>3034</v>
      </c>
      <c r="L5" s="3322" t="s">
        <v>3035</v>
      </c>
      <c r="M5" s="3322" t="s">
        <v>3036</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0" t="str">
        <f>IF(项目基本情况!B9="房地产市场价值","估价结果一览表","结果表-2")</f>
        <v>结果表-2</v>
      </c>
      <c r="B1" s="3390"/>
      <c r="C1" s="3390"/>
      <c r="D1" s="3390"/>
      <c r="E1" s="3390"/>
      <c r="F1" s="3390"/>
      <c r="G1" s="3390"/>
      <c r="H1" s="3390"/>
      <c r="I1" s="3390"/>
    </row>
    <row r="2" spans="1:9" ht="30" customHeight="1" thickTop="1">
      <c r="A2" s="3391" t="s">
        <v>2864</v>
      </c>
      <c r="B2" s="3391" t="s">
        <v>2036</v>
      </c>
      <c r="C2" s="3391" t="s">
        <v>2037</v>
      </c>
      <c r="D2" s="3391" t="str">
        <f>结果表!D116</f>
        <v>出让国有建设用地使用权价值</v>
      </c>
      <c r="E2" s="3391"/>
      <c r="F2" s="3391" t="str">
        <f>结果表!F116</f>
        <v>在建建筑物价值</v>
      </c>
      <c r="G2" s="3391"/>
      <c r="H2" s="3391" t="str">
        <f>IF(项目基本情况!B9="房地产市场价值","房地产市场价值","房地产价值")</f>
        <v>房地产价值</v>
      </c>
      <c r="I2" s="3391"/>
    </row>
    <row r="3" spans="1:9" ht="14.25">
      <c r="A3" s="3385"/>
      <c r="B3" s="3385"/>
      <c r="C3" s="3385"/>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1205</v>
      </c>
      <c r="E4" s="1976">
        <f ca="1">结果表!E118</f>
        <v>5668</v>
      </c>
      <c r="F4" s="1976">
        <f ca="1">结果表!F118</f>
        <v>490</v>
      </c>
      <c r="G4" s="1976">
        <f ca="1">结果表!G118</f>
        <v>2305</v>
      </c>
      <c r="H4" s="1976">
        <f ca="1">结果表!H118</f>
        <v>1695</v>
      </c>
      <c r="I4" s="1976">
        <f ca="1">结果表!I118</f>
        <v>7973</v>
      </c>
    </row>
    <row r="5" spans="1:9" ht="30" customHeight="1">
      <c r="A5" s="3385" t="s">
        <v>9</v>
      </c>
      <c r="B5" s="3385"/>
      <c r="C5" s="3385"/>
      <c r="D5" s="3386" t="str">
        <f ca="1">结果表!D119</f>
        <v>壹仟贰佰零伍万元整</v>
      </c>
      <c r="E5" s="3386"/>
      <c r="F5" s="3386" t="str">
        <f ca="1">结果表!F119</f>
        <v>肆佰玖拾万元整</v>
      </c>
      <c r="G5" s="3386"/>
      <c r="H5" s="3386" t="str">
        <f ca="1">结果表!H119</f>
        <v>壹仟陆佰玖拾伍万元整</v>
      </c>
      <c r="I5" s="3386"/>
    </row>
    <row r="6" spans="1:9" ht="15.75">
      <c r="A6" s="3383" t="str">
        <f>结果表!A120</f>
        <v>估价师知悉的法定优先受偿款</v>
      </c>
      <c r="B6" s="3383"/>
      <c r="C6" s="3383"/>
      <c r="D6" s="3384">
        <f>结果表!D120</f>
        <v>0</v>
      </c>
      <c r="E6" s="3384"/>
      <c r="F6" s="3384"/>
      <c r="G6" s="3384"/>
      <c r="H6" s="3384"/>
      <c r="I6" s="3384"/>
    </row>
    <row r="7" spans="1:9" ht="14.25">
      <c r="A7" s="3385" t="s">
        <v>9</v>
      </c>
      <c r="B7" s="3385"/>
      <c r="C7" s="3385"/>
      <c r="D7" s="3387" t="str">
        <f>结果表!D121</f>
        <v>零元整</v>
      </c>
      <c r="E7" s="3388"/>
      <c r="F7" s="3388"/>
      <c r="G7" s="3388"/>
      <c r="H7" s="3388"/>
      <c r="I7" s="3389"/>
    </row>
    <row r="8" spans="1:9" ht="15.75">
      <c r="A8" s="3383" t="str">
        <f>结果表!A122</f>
        <v>房地产抵押价值</v>
      </c>
      <c r="B8" s="3383"/>
      <c r="C8" s="3383"/>
      <c r="D8" s="3384">
        <f ca="1">结果表!D122</f>
        <v>1695</v>
      </c>
      <c r="E8" s="3384"/>
      <c r="F8" s="3384"/>
      <c r="G8" s="3384"/>
      <c r="H8" s="3384"/>
      <c r="I8" s="3384"/>
    </row>
    <row r="9" spans="1:9" ht="14.25">
      <c r="A9" s="3385" t="s">
        <v>9</v>
      </c>
      <c r="B9" s="3385"/>
      <c r="C9" s="3385"/>
      <c r="D9" s="3386" t="str">
        <f ca="1">结果表!D123</f>
        <v>壹仟陆佰玖拾伍万元整</v>
      </c>
      <c r="E9" s="3386"/>
      <c r="F9" s="3386"/>
      <c r="G9" s="3386"/>
      <c r="H9" s="3386"/>
      <c r="I9" s="3386"/>
    </row>
    <row r="10" spans="1:9" ht="15.75">
      <c r="A10" s="3383" t="str">
        <f>结果表!A124</f>
        <v/>
      </c>
      <c r="B10" s="3383"/>
      <c r="C10" s="3383"/>
      <c r="D10" s="3384" t="str">
        <f>结果表!D124</f>
        <v>——</v>
      </c>
      <c r="E10" s="3384"/>
      <c r="F10" s="3384"/>
      <c r="G10" s="3384"/>
      <c r="H10" s="3384"/>
      <c r="I10" s="3384"/>
    </row>
    <row r="11" spans="1:9" ht="14.25">
      <c r="A11" s="3385" t="s">
        <v>9</v>
      </c>
      <c r="B11" s="3385"/>
      <c r="C11" s="3385"/>
      <c r="D11" s="3386" t="e">
        <f>结果表!D125</f>
        <v>#VALUE!</v>
      </c>
      <c r="E11" s="3386"/>
      <c r="F11" s="3386"/>
      <c r="G11" s="3386"/>
      <c r="H11" s="3386"/>
      <c r="I11" s="3386"/>
    </row>
    <row r="12" spans="1:9" ht="15.75">
      <c r="A12" s="3383" t="str">
        <f>结果表!A126</f>
        <v/>
      </c>
      <c r="B12" s="3383"/>
      <c r="C12" s="3383"/>
      <c r="D12" s="3384" t="str">
        <f>结果表!D126</f>
        <v>——</v>
      </c>
      <c r="E12" s="3384"/>
      <c r="F12" s="3384"/>
      <c r="G12" s="3384"/>
      <c r="H12" s="3384"/>
      <c r="I12" s="3384"/>
    </row>
    <row r="13" spans="1:9" ht="15" thickBot="1">
      <c r="A13" s="3380" t="s">
        <v>9</v>
      </c>
      <c r="B13" s="3380"/>
      <c r="C13" s="3380"/>
      <c r="D13" s="3381" t="e">
        <f>结果表!D127</f>
        <v>#VALUE!</v>
      </c>
      <c r="E13" s="3381"/>
      <c r="F13" s="3381"/>
      <c r="G13" s="3381"/>
      <c r="H13" s="3381"/>
      <c r="I13" s="3381"/>
    </row>
    <row r="14" spans="1:9" ht="14.25" thickTop="1">
      <c r="A14" s="3382" t="s">
        <v>2039</v>
      </c>
      <c r="B14" s="3382"/>
      <c r="C14" s="3382"/>
      <c r="D14" s="3382"/>
      <c r="E14" s="3382"/>
      <c r="F14" s="3382"/>
      <c r="G14" s="3382"/>
      <c r="H14" s="3382"/>
      <c r="I14" s="3382"/>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8" t="s">
        <v>2841</v>
      </c>
      <c r="B1" s="3398"/>
      <c r="C1" s="3398"/>
      <c r="D1" s="3398"/>
    </row>
    <row r="2" spans="1:4" ht="18.75">
      <c r="A2" s="3399" t="s">
        <v>2107</v>
      </c>
      <c r="B2" s="3399"/>
      <c r="C2" s="3399"/>
      <c r="D2" s="3399"/>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99" t="s">
        <v>2605</v>
      </c>
      <c r="B6" s="3399"/>
      <c r="C6" s="3399"/>
      <c r="D6" s="3399"/>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400" t="s">
        <v>2696</v>
      </c>
      <c r="B11" s="3392"/>
      <c r="C11" s="3392"/>
      <c r="D11" s="3392"/>
    </row>
    <row r="12" spans="1:4" ht="14.25">
      <c r="A12" s="33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7"/>
      <c r="C12" s="3397"/>
      <c r="D12" s="3397"/>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7"/>
      <c r="C13" s="3397"/>
      <c r="D13" s="3397"/>
    </row>
    <row r="14" spans="1:4" ht="15.75" customHeight="1">
      <c r="A14" s="3392" t="str">
        <f>IF(项目基本情况!B8="抵押","4.本次评估估价师所知悉的法定优先受偿款情况说明如下：","——")</f>
        <v>4.本次评估估价师所知悉的法定优先受偿款情况说明如下：</v>
      </c>
      <c r="B14" s="3397"/>
      <c r="C14" s="3397"/>
      <c r="D14" s="3397"/>
    </row>
    <row r="15" spans="1:4" ht="42" customHeight="1">
      <c r="A15" s="3392" t="str">
        <f>IF(项目基本情况!B8="抵押","（1）"&amp;CONCATENATE(项目基本情况!L20,项目基本情况!L21,项目基本情况!L22),"——")</f>
        <v>（1）根据估价对象《不动产权证书》复印件，截至价值时点，估价对象抵押权未见登记。</v>
      </c>
      <c r="B15" s="3392"/>
      <c r="C15" s="3392"/>
      <c r="D15" s="3392"/>
    </row>
    <row r="16" spans="1:4" ht="30" customHeight="1">
      <c r="A16" s="3394" t="s">
        <v>2119</v>
      </c>
      <c r="B16" s="3394"/>
      <c r="C16" s="3394"/>
      <c r="D16" s="3394"/>
    </row>
    <row r="17" spans="1:4" ht="144" customHeight="1">
      <c r="A17" s="3394" t="s">
        <v>2120</v>
      </c>
      <c r="B17" s="3394"/>
      <c r="C17" s="3394"/>
      <c r="D17" s="3394"/>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2"/>
      <c r="C20" s="3392"/>
      <c r="D20" s="3392"/>
    </row>
    <row r="21" spans="1:4" ht="57.75" customHeight="1">
      <c r="A21" s="33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5"/>
      <c r="C21" s="3395"/>
      <c r="D21" s="3395"/>
    </row>
    <row r="22" spans="1:4" ht="18.75" customHeight="1">
      <c r="A22" s="3396" t="s">
        <v>2862</v>
      </c>
      <c r="B22" s="3396"/>
      <c r="C22" s="3396"/>
      <c r="D22" s="3396"/>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93">
        <v>42551</v>
      </c>
      <c r="D31" s="339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6" t="s">
        <v>557</v>
      </c>
      <c r="B15" s="3401" t="s">
        <v>1135</v>
      </c>
      <c r="C15" s="3402"/>
    </row>
    <row r="16" spans="1:7" ht="13.5">
      <c r="A16" s="3407"/>
      <c r="B16" s="3401" t="s">
        <v>530</v>
      </c>
      <c r="C16" s="3402"/>
    </row>
    <row r="17" spans="1:3" ht="13.5">
      <c r="A17" s="3407"/>
      <c r="B17" s="3404" t="s">
        <v>558</v>
      </c>
      <c r="C17" s="1149" t="s">
        <v>557</v>
      </c>
    </row>
    <row r="18" spans="1:3" ht="13.5">
      <c r="A18" s="3407"/>
      <c r="B18" s="3404"/>
      <c r="C18" s="1149" t="s">
        <v>559</v>
      </c>
    </row>
    <row r="19" spans="1:3" ht="13.5">
      <c r="A19" s="3407"/>
      <c r="B19" s="3404"/>
      <c r="C19" s="1149" t="s">
        <v>560</v>
      </c>
    </row>
    <row r="20" spans="1:3" ht="13.5">
      <c r="A20" s="3408"/>
      <c r="B20" s="3403" t="s">
        <v>561</v>
      </c>
      <c r="C20" s="3402"/>
    </row>
    <row r="21" spans="1:3" ht="13.5">
      <c r="A21" s="1150" t="s">
        <v>562</v>
      </c>
      <c r="B21" s="1151"/>
      <c r="C21" s="1152"/>
    </row>
    <row r="22" spans="1:3" ht="13.5">
      <c r="A22" s="3405" t="s">
        <v>563</v>
      </c>
      <c r="B22" s="3403" t="s">
        <v>564</v>
      </c>
      <c r="C22" s="3402"/>
    </row>
    <row r="23" spans="1:3" ht="13.5">
      <c r="A23" s="3405"/>
      <c r="B23" s="3403" t="s">
        <v>565</v>
      </c>
      <c r="C23" s="3402"/>
    </row>
    <row r="24" spans="1:3" ht="13.5">
      <c r="A24" s="3405"/>
      <c r="B24" s="3403" t="s">
        <v>566</v>
      </c>
      <c r="C24" s="3402"/>
    </row>
    <row r="25" spans="1:3" ht="13.5">
      <c r="A25" s="3405"/>
      <c r="B25" s="3404" t="s">
        <v>567</v>
      </c>
      <c r="C25" s="1149" t="s">
        <v>568</v>
      </c>
    </row>
    <row r="26" spans="1:3" ht="13.5">
      <c r="A26" s="3405"/>
      <c r="B26" s="3404"/>
      <c r="C26" s="1149" t="s">
        <v>569</v>
      </c>
    </row>
    <row r="27" spans="1:3" ht="13.5">
      <c r="A27" s="3405"/>
      <c r="B27" s="3404"/>
      <c r="C27" s="1149" t="s">
        <v>570</v>
      </c>
    </row>
    <row r="28" spans="1:3" ht="13.5">
      <c r="A28" s="3405"/>
      <c r="B28" s="3404"/>
      <c r="C28" s="1149" t="s">
        <v>571</v>
      </c>
    </row>
    <row r="29" spans="1:3" ht="13.5">
      <c r="A29" s="3405"/>
      <c r="B29" s="3404"/>
      <c r="C29" s="1149" t="s">
        <v>572</v>
      </c>
    </row>
    <row r="30" spans="1:3" ht="13.5">
      <c r="A30" s="3405"/>
      <c r="B30" s="3404"/>
      <c r="C30" s="1149" t="s">
        <v>573</v>
      </c>
    </row>
    <row r="31" spans="1:3" ht="13.5">
      <c r="A31" s="3405"/>
      <c r="B31" s="3404"/>
      <c r="C31" s="1149" t="s">
        <v>574</v>
      </c>
    </row>
    <row r="32" spans="1:3" ht="13.5">
      <c r="A32" s="3405"/>
      <c r="B32" s="3404"/>
      <c r="C32" s="1149" t="s">
        <v>575</v>
      </c>
    </row>
    <row r="33" spans="1:3" ht="13.5">
      <c r="A33" s="3405"/>
      <c r="B33" s="3404"/>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42986</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2694</v>
      </c>
      <c r="B15" s="1895">
        <v>1120070085</v>
      </c>
      <c r="C15" s="3204">
        <v>43814</v>
      </c>
      <c r="D15" s="3205" t="s">
        <v>2694</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2928</v>
      </c>
      <c r="B24" s="3205" t="s">
        <v>2928</v>
      </c>
      <c r="C24" s="3205" t="s">
        <v>2928</v>
      </c>
      <c r="D24" s="3205" t="s">
        <v>2928</v>
      </c>
      <c r="E24" s="3205" t="s">
        <v>2928</v>
      </c>
      <c r="F24" s="3205" t="s">
        <v>2928</v>
      </c>
    </row>
    <row r="25" spans="1:7" ht="24" customHeight="1">
      <c r="A25" s="3409" t="s">
        <v>1990</v>
      </c>
      <c r="B25" s="3409"/>
      <c r="C25" s="3409"/>
      <c r="D25" s="3409"/>
      <c r="E25" s="3409"/>
      <c r="F25" s="3409"/>
      <c r="G25" s="3409"/>
    </row>
    <row r="26" spans="1:7" s="1899" customFormat="1" ht="24" customHeight="1">
      <c r="A26" s="3410" t="s">
        <v>1991</v>
      </c>
      <c r="B26" s="3410"/>
      <c r="C26" s="3410"/>
      <c r="D26" s="1898"/>
      <c r="E26" s="3410" t="s">
        <v>1992</v>
      </c>
      <c r="F26" s="3410"/>
      <c r="G26" s="3410"/>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3037</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2017-09-08T02:33:17Z</dcterms:modified>
</cp:coreProperties>
</file>