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1000"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基准地价修正" sheetId="4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典型户型修正" sheetId="31"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T18" i="80" l="1"/>
  <c r="T19" i="80"/>
  <c r="T20" i="80"/>
  <c r="T21" i="80"/>
  <c r="T17" i="80"/>
  <c r="P22" i="80"/>
  <c r="R18" i="80"/>
  <c r="R19" i="80"/>
  <c r="R20" i="80"/>
  <c r="F21" i="80" l="1"/>
  <c r="F20" i="80"/>
  <c r="F19" i="80"/>
  <c r="F18" i="80"/>
  <c r="F17" i="80"/>
  <c r="L19" i="80" l="1"/>
  <c r="M19" i="80" l="1"/>
  <c r="L18" i="80" l="1"/>
  <c r="M18" i="80" l="1"/>
  <c r="H21" i="80" l="1"/>
  <c r="I21" i="80" l="1"/>
  <c r="L21" i="80" l="1"/>
  <c r="R21" i="80" s="1"/>
  <c r="J21" i="80"/>
  <c r="M21" i="80" l="1"/>
  <c r="H20" i="80" l="1"/>
  <c r="I20" i="80" l="1"/>
  <c r="J20" i="80" l="1"/>
  <c r="L20" i="80" l="1"/>
  <c r="M20" i="80" l="1"/>
  <c r="H19" i="80" l="1"/>
  <c r="I19" i="80" l="1"/>
  <c r="J19" i="80" l="1"/>
  <c r="H18" i="80" l="1"/>
  <c r="I18" i="80" l="1"/>
  <c r="J18" i="80" l="1"/>
  <c r="N22" i="80" l="1"/>
  <c r="C66" i="9" l="1"/>
  <c r="D104" i="33"/>
  <c r="E104" i="33" s="1"/>
  <c r="F104" i="33" s="1"/>
  <c r="G104" i="33" s="1"/>
  <c r="H104" i="33" s="1"/>
  <c r="C75" i="9" l="1"/>
  <c r="C119" i="33"/>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B35" i="1" l="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AA38" i="71" s="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s="1"/>
  <c r="Z35" i="71" s="1"/>
  <c r="N35" i="71"/>
  <c r="X35" i="71" s="1"/>
  <c r="Q34" i="71"/>
  <c r="P34" i="71"/>
  <c r="O34" i="71"/>
  <c r="N34" i="71"/>
  <c r="X34" i="71" s="1"/>
  <c r="Q33" i="71"/>
  <c r="F34" i="71" s="1"/>
  <c r="P33" i="71"/>
  <c r="AA33" i="71" s="1"/>
  <c r="O33" i="71"/>
  <c r="N33" i="71"/>
  <c r="D33" i="71"/>
  <c r="Q32" i="71"/>
  <c r="AB32" i="71" s="1"/>
  <c r="P32" i="71"/>
  <c r="O32" i="71"/>
  <c r="Y32" i="71" s="1"/>
  <c r="Z32" i="71" s="1"/>
  <c r="N32" i="71"/>
  <c r="Q31" i="71"/>
  <c r="AB29" i="71" s="1"/>
  <c r="P31" i="71"/>
  <c r="O31" i="71"/>
  <c r="Y31" i="71" s="1"/>
  <c r="Z31" i="71" s="1"/>
  <c r="N31" i="71"/>
  <c r="Q30" i="71"/>
  <c r="P30" i="71"/>
  <c r="AA30" i="71" s="1"/>
  <c r="O30" i="71"/>
  <c r="N30" i="71"/>
  <c r="Q29" i="71"/>
  <c r="F30" i="71" s="1"/>
  <c r="F31" i="71" s="1"/>
  <c r="P29" i="71"/>
  <c r="AA29" i="71" s="1"/>
  <c r="O29" i="71"/>
  <c r="N29" i="71"/>
  <c r="X26" i="71" s="1"/>
  <c r="D29" i="71"/>
  <c r="O28" i="71"/>
  <c r="Y25" i="71" s="1"/>
  <c r="Z25" i="71" s="1"/>
  <c r="N28" i="71"/>
  <c r="B30" i="71"/>
  <c r="B31" i="71" s="1"/>
  <c r="B32" i="71" s="1"/>
  <c r="S32" i="71" s="1"/>
  <c r="E30" i="71"/>
  <c r="E31" i="71" s="1"/>
  <c r="E32" i="71" s="1"/>
  <c r="U32" i="71" s="1"/>
  <c r="B34" i="71"/>
  <c r="B35" i="71" s="1"/>
  <c r="B36" i="71" s="1"/>
  <c r="S36" i="71" s="1"/>
  <c r="X33" i="71"/>
  <c r="X37" i="71"/>
  <c r="AA37" i="71"/>
  <c r="N68" i="71"/>
  <c r="E34" i="71"/>
  <c r="E35" i="71" s="1"/>
  <c r="E36" i="71" s="1"/>
  <c r="U36" i="71" s="1"/>
  <c r="C30" i="71"/>
  <c r="D30" i="71" s="1"/>
  <c r="X30" i="71"/>
  <c r="X31" i="71"/>
  <c r="X32" i="71"/>
  <c r="C34" i="71"/>
  <c r="C35" i="71" s="1"/>
  <c r="AB33" i="71"/>
  <c r="AA34" i="71"/>
  <c r="AA35" i="71"/>
  <c r="AA36" i="71"/>
  <c r="C38" i="71"/>
  <c r="C39" i="71" s="1"/>
  <c r="Y37" i="71"/>
  <c r="Z37" i="71" s="1"/>
  <c r="AB37" i="71"/>
  <c r="X38" i="71"/>
  <c r="C28" i="71"/>
  <c r="C27" i="71" s="1"/>
  <c r="Y26" i="71"/>
  <c r="Z26" i="71" s="1"/>
  <c r="Y28" i="71"/>
  <c r="Z28" i="71" s="1"/>
  <c r="B28" i="71"/>
  <c r="B27" i="71" s="1"/>
  <c r="B26" i="71" s="1"/>
  <c r="X25" i="71"/>
  <c r="X27" i="71"/>
  <c r="C31" i="71"/>
  <c r="C32" i="71" s="1"/>
  <c r="D34" i="71"/>
  <c r="D38" i="71"/>
  <c r="C51" i="71"/>
  <c r="C52" i="71" s="1"/>
  <c r="D50" i="71"/>
  <c r="P28" i="71"/>
  <c r="E28" i="71" s="1"/>
  <c r="E27" i="71" s="1"/>
  <c r="E26" i="71" s="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D75" i="71" s="1"/>
  <c r="E75" i="71"/>
  <c r="E74" i="71" s="1"/>
  <c r="D76" i="71"/>
  <c r="C79" i="71"/>
  <c r="E79" i="71"/>
  <c r="E78" i="71" s="1"/>
  <c r="D80" i="71"/>
  <c r="C83" i="71"/>
  <c r="D83" i="71" s="1"/>
  <c r="C87" i="71"/>
  <c r="C86" i="71" s="1"/>
  <c r="D86" i="71" s="1"/>
  <c r="T28" i="71"/>
  <c r="F28" i="71"/>
  <c r="F27" i="71" s="1"/>
  <c r="F26" i="71" s="1"/>
  <c r="AB26" i="71"/>
  <c r="AB28" i="71"/>
  <c r="AA3" i="71"/>
  <c r="AA26" i="71"/>
  <c r="AA28" i="71"/>
  <c r="C66" i="71"/>
  <c r="D66" i="71" s="1"/>
  <c r="O67" i="71"/>
  <c r="D67" i="71"/>
  <c r="C82" i="71"/>
  <c r="D82" i="71" s="1"/>
  <c r="C74" i="71"/>
  <c r="D74" i="71" s="1"/>
  <c r="N65" i="71"/>
  <c r="N66" i="71"/>
  <c r="D87" i="71"/>
  <c r="D79" i="71"/>
  <c r="C78" i="71"/>
  <c r="D78" i="71" s="1"/>
  <c r="D71" i="71"/>
  <c r="C70" i="71"/>
  <c r="D70" i="71"/>
  <c r="D59" i="71"/>
  <c r="E66" i="71"/>
  <c r="P66" i="71" s="1"/>
  <c r="D51" i="71"/>
  <c r="D31" i="71"/>
  <c r="O66" i="71"/>
  <c r="O6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S21" i="33" s="1"/>
  <c r="E83" i="21"/>
  <c r="F83" i="21" s="1"/>
  <c r="G83" i="21" s="1"/>
  <c r="S21" i="21"/>
  <c r="H1" i="69"/>
  <c r="W25" i="40"/>
  <c r="U25" i="40"/>
  <c r="U29" i="39"/>
  <c r="W29" i="39"/>
  <c r="W18" i="36"/>
  <c r="AB21" i="37"/>
  <c r="U21" i="37"/>
  <c r="U21" i="34"/>
  <c r="AA21" i="33"/>
  <c r="AC18" i="35"/>
  <c r="J21" i="37"/>
  <c r="W21" i="37" s="1"/>
  <c r="J21" i="34"/>
  <c r="W21" i="34" s="1"/>
  <c r="J21" i="33"/>
  <c r="W21" i="33" s="1"/>
  <c r="H21" i="21"/>
  <c r="U21" i="21" s="1"/>
  <c r="F38" i="69"/>
  <c r="E37" i="69"/>
  <c r="F36" i="69"/>
  <c r="F35" i="69"/>
  <c r="F21" i="69"/>
  <c r="F40" i="69" s="1"/>
  <c r="F20" i="69"/>
  <c r="F39" i="69" s="1"/>
  <c r="E10" i="69"/>
  <c r="E9" i="69"/>
  <c r="C7" i="69"/>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AC13" i="3"/>
  <c r="H14" i="3"/>
  <c r="K18" i="80" s="1"/>
  <c r="AC14" i="3"/>
  <c r="H15" i="3"/>
  <c r="K19" i="80" s="1"/>
  <c r="AC15" i="3"/>
  <c r="H16" i="3"/>
  <c r="K20" i="80" s="1"/>
  <c r="AC16" i="3"/>
  <c r="H17" i="3"/>
  <c r="K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30" i="21"/>
  <c r="AA14" i="37"/>
  <c r="AC13" i="36"/>
  <c r="S11" i="36"/>
  <c r="S45" i="33"/>
  <c r="AB31" i="33"/>
  <c r="W29"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BQ543" i="3"/>
  <c r="BL543" i="3" s="1"/>
  <c r="BQ541" i="3"/>
  <c r="BL541" i="3"/>
  <c r="AZ541" i="3" s="1"/>
  <c r="BQ539" i="3"/>
  <c r="BL539" i="3" s="1"/>
  <c r="BQ537" i="3"/>
  <c r="BL537" i="3" s="1"/>
  <c r="AZ537" i="3" s="1"/>
  <c r="BQ535" i="3"/>
  <c r="BL535" i="3" s="1"/>
  <c r="BQ533" i="3"/>
  <c r="BL533" i="3" s="1"/>
  <c r="AZ533" i="3" s="1"/>
  <c r="BQ531" i="3"/>
  <c r="BL531" i="3" s="1"/>
  <c r="BQ529" i="3"/>
  <c r="BL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AA12" i="35"/>
  <c r="W14" i="37"/>
  <c r="AB28" i="37"/>
  <c r="U33" i="37"/>
  <c r="U39" i="37"/>
  <c r="W47" i="34"/>
  <c r="AC36" i="34"/>
  <c r="AC31"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s="1"/>
  <c r="S11" i="39"/>
  <c r="G4" i="4"/>
  <c r="I4" i="4"/>
  <c r="A2" i="9"/>
  <c r="F61" i="43"/>
  <c r="H64"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c r="BL144" i="3"/>
  <c r="G145" i="3"/>
  <c r="BA147" i="3"/>
  <c r="AZ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67" i="3"/>
  <c r="AZ71" i="3"/>
  <c r="AZ83" i="3"/>
  <c r="AZ152" i="3"/>
  <c r="AZ184" i="3"/>
  <c r="AZ85" i="3"/>
  <c r="AZ97"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46" i="3"/>
  <c r="AZ178" i="3"/>
  <c r="AZ500" i="3"/>
  <c r="BA16" i="3"/>
  <c r="BL303" i="3"/>
  <c r="G304" i="3"/>
  <c r="BA306" i="3"/>
  <c r="AZ306" i="3" s="1"/>
  <c r="BL307" i="3"/>
  <c r="G308" i="3"/>
  <c r="BA310" i="3"/>
  <c r="BL311" i="3"/>
  <c r="AZ311" i="3" s="1"/>
  <c r="G312" i="3"/>
  <c r="BA314" i="3"/>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G340" i="3"/>
  <c r="BL343" i="3"/>
  <c r="G344" i="3"/>
  <c r="G348" i="3"/>
  <c r="G355" i="3"/>
  <c r="AZ218" i="3"/>
  <c r="G342" i="3"/>
  <c r="BL345" i="3"/>
  <c r="G346" i="3"/>
  <c r="BL349" i="3"/>
  <c r="BL352" i="3"/>
  <c r="AZ352" i="3" s="1"/>
  <c r="G353" i="3"/>
  <c r="BA357" i="3"/>
  <c r="AZ357" i="3" s="1"/>
  <c r="BL358" i="3"/>
  <c r="AZ358" i="3" s="1"/>
  <c r="G359" i="3"/>
  <c r="BA361" i="3"/>
  <c r="BL362" i="3"/>
  <c r="G363" i="3"/>
  <c r="BA365" i="3"/>
  <c r="AZ365" i="3" s="1"/>
  <c r="BL366" i="3"/>
  <c r="G367" i="3"/>
  <c r="BA369" i="3"/>
  <c r="AZ369" i="3" s="1"/>
  <c r="BL370" i="3"/>
  <c r="G371" i="3"/>
  <c r="BA373" i="3"/>
  <c r="AZ373" i="3" s="1"/>
  <c r="BL374" i="3"/>
  <c r="G375" i="3"/>
  <c r="BA377" i="3"/>
  <c r="AZ377" i="3"/>
  <c r="AZ229" i="3"/>
  <c r="AZ241" i="3"/>
  <c r="AZ245" i="3"/>
  <c r="BA379" i="3"/>
  <c r="BL380" i="3"/>
  <c r="G381" i="3"/>
  <c r="BA383" i="3"/>
  <c r="AZ383" i="3" s="1"/>
  <c r="BL384" i="3"/>
  <c r="AZ384" i="3" s="1"/>
  <c r="G385" i="3"/>
  <c r="BA387" i="3"/>
  <c r="AZ387" i="3" s="1"/>
  <c r="BL388" i="3"/>
  <c r="AZ388" i="3" s="1"/>
  <c r="G389" i="3"/>
  <c r="BA391" i="3"/>
  <c r="AZ391" i="3" s="1"/>
  <c r="BL392" i="3"/>
  <c r="AZ392" i="3" s="1"/>
  <c r="G393" i="3"/>
  <c r="AZ287" i="3"/>
  <c r="AZ295" i="3"/>
  <c r="AZ299" i="3"/>
  <c r="BO5" i="3"/>
  <c r="BM5" i="3"/>
  <c r="BJ5" i="3"/>
  <c r="BH5" i="3"/>
  <c r="BF5" i="3"/>
  <c r="BD5" i="3"/>
  <c r="AZ333" i="3"/>
  <c r="BQ5" i="3"/>
  <c r="AC5" i="3"/>
  <c r="AZ549" i="3"/>
  <c r="AZ506" i="3"/>
  <c r="AZ496" i="3"/>
  <c r="G548" i="3"/>
  <c r="G538" i="3"/>
  <c r="G520" i="3"/>
  <c r="G502" i="3"/>
  <c r="BS5" i="3"/>
  <c r="BP5" i="3"/>
  <c r="BN5" i="3"/>
  <c r="BK5" i="3"/>
  <c r="BI5" i="3"/>
  <c r="BG5" i="3"/>
  <c r="BE5" i="3"/>
  <c r="BC5" i="3"/>
  <c r="G19" i="6" s="1"/>
  <c r="G27" i="6" s="1"/>
  <c r="D37" i="43" s="1"/>
  <c r="H37" i="43" s="1"/>
  <c r="G17" i="3"/>
  <c r="BA17" i="3"/>
  <c r="BT5" i="3"/>
  <c r="BA15" i="3"/>
  <c r="BB5" i="3"/>
  <c r="F19" i="6" s="1"/>
  <c r="E19" i="6" s="1"/>
  <c r="K6" i="1" s="1"/>
  <c r="AP6" i="1" s="1"/>
  <c r="BR5" i="3"/>
  <c r="AZ380" i="3"/>
  <c r="AZ396" i="3"/>
  <c r="G509" i="3"/>
  <c r="BL493" i="3"/>
  <c r="AZ390" i="3"/>
  <c r="AZ493" i="3"/>
  <c r="U36" i="40"/>
  <c r="F83" i="43"/>
  <c r="H85" i="43" s="1"/>
  <c r="F50" i="43"/>
  <c r="H54" i="43" s="1"/>
  <c r="F72" i="43"/>
  <c r="H75" i="43" s="1"/>
  <c r="U17" i="39"/>
  <c r="S14" i="35"/>
  <c r="U43" i="21"/>
  <c r="U35" i="21"/>
  <c r="AC35" i="21"/>
  <c r="G8" i="1"/>
  <c r="G10" i="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80" i="3"/>
  <c r="AZ288" i="3"/>
  <c r="AZ117" i="3"/>
  <c r="AZ42" i="3"/>
  <c r="AZ69" i="3"/>
  <c r="AZ94" i="3"/>
  <c r="F23" i="39"/>
  <c r="AA23" i="39" s="1"/>
  <c r="H27" i="36"/>
  <c r="U27" i="36" s="1"/>
  <c r="F27" i="36"/>
  <c r="AA27" i="36" s="1"/>
  <c r="H33" i="34"/>
  <c r="U33" i="34" s="1"/>
  <c r="F32" i="37"/>
  <c r="AA32" i="37" s="1"/>
  <c r="F20" i="36"/>
  <c r="AA20" i="36" s="1"/>
  <c r="J33" i="34"/>
  <c r="AC33" i="34" s="1"/>
  <c r="H23" i="39"/>
  <c r="U23" i="39" s="1"/>
  <c r="K9" i="1"/>
  <c r="M9" i="1" s="1"/>
  <c r="D93" i="9"/>
  <c r="W27" i="34"/>
  <c r="AC27" i="34"/>
  <c r="AB34" i="36"/>
  <c r="U34" i="36"/>
  <c r="AB33" i="36"/>
  <c r="U33" i="36"/>
  <c r="AC12" i="39"/>
  <c r="W12" i="39"/>
  <c r="AZ401" i="3"/>
  <c r="AZ412" i="3"/>
  <c r="AZ417" i="3"/>
  <c r="W12" i="33"/>
  <c r="AC12" i="33"/>
  <c r="AA32" i="36"/>
  <c r="S32" i="36"/>
  <c r="AZ408" i="3"/>
  <c r="AZ437" i="3"/>
  <c r="AZ441" i="3"/>
  <c r="AZ473" i="3"/>
  <c r="AZ490" i="3"/>
  <c r="AA39" i="34"/>
  <c r="F28" i="6"/>
  <c r="BL14" i="3"/>
  <c r="U30" i="33"/>
  <c r="AC13" i="34"/>
  <c r="AA47" i="34"/>
  <c r="W28" i="37"/>
  <c r="S19" i="39"/>
  <c r="F12" i="33"/>
  <c r="H12" i="39"/>
  <c r="AB12" i="39" s="1"/>
  <c r="F39" i="40"/>
  <c r="BA14" i="3"/>
  <c r="AZ14" i="3" s="1"/>
  <c r="AZ213" i="3"/>
  <c r="AZ234" i="3"/>
  <c r="AZ250" i="3"/>
  <c r="AZ286" i="3"/>
  <c r="AZ297" i="3"/>
  <c r="AZ173" i="3"/>
  <c r="B12" i="1"/>
  <c r="E12" i="1" s="1"/>
  <c r="B10" i="1"/>
  <c r="E10" i="1" s="1"/>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S19" i="37"/>
  <c r="AA19" i="37"/>
  <c r="AA23" i="37"/>
  <c r="J23" i="37"/>
  <c r="AC23" i="37" s="1"/>
  <c r="G79" i="37"/>
  <c r="J10" i="37"/>
  <c r="W10" i="37" s="1"/>
  <c r="G63" i="37"/>
  <c r="H63" i="37" s="1"/>
  <c r="I63" i="37" s="1"/>
  <c r="J63" i="37" s="1"/>
  <c r="K63" i="37" s="1"/>
  <c r="L63" i="37" s="1"/>
  <c r="M63" i="37" s="1"/>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J23" i="21"/>
  <c r="W23" i="21" s="1"/>
  <c r="F85" i="21"/>
  <c r="G85" i="21" s="1"/>
  <c r="H23" i="21"/>
  <c r="U23" i="21" s="1"/>
  <c r="D6" i="52"/>
  <c r="AP7" i="1"/>
  <c r="AB9" i="21"/>
  <c r="S32" i="21"/>
  <c r="AC9" i="21"/>
  <c r="U32" i="21"/>
  <c r="W32" i="39"/>
  <c r="AC19" i="37"/>
  <c r="W23" i="37"/>
  <c r="J11" i="37"/>
  <c r="AC11" i="37" s="1"/>
  <c r="H70" i="34"/>
  <c r="I70" i="34" s="1"/>
  <c r="J70" i="34" s="1"/>
  <c r="K70" i="34" s="1"/>
  <c r="L70" i="34" s="1"/>
  <c r="M70" i="34" s="1"/>
  <c r="J11" i="34"/>
  <c r="W11" i="34" s="1"/>
  <c r="AD3" i="71"/>
  <c r="J1" i="73"/>
  <c r="H69" i="43"/>
  <c r="H50" i="4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C20" i="71" s="1"/>
  <c r="D21" i="71"/>
  <c r="F42" i="67"/>
  <c r="B11" i="76"/>
  <c r="M9" i="15"/>
  <c r="F36" i="67"/>
  <c r="J15" i="67"/>
  <c r="M29" i="67"/>
  <c r="F42" i="15"/>
  <c r="B13" i="76"/>
  <c r="F40" i="67"/>
  <c r="M6" i="67"/>
  <c r="B10" i="76"/>
  <c r="L47" i="15"/>
  <c r="M23" i="15"/>
  <c r="F43" i="67"/>
  <c r="F38" i="67"/>
  <c r="E13" i="76"/>
  <c r="C76" i="15"/>
  <c r="M22" i="67"/>
  <c r="F16" i="67"/>
  <c r="B8" i="76"/>
  <c r="F26" i="67"/>
  <c r="M22" i="15"/>
  <c r="J15" i="15"/>
  <c r="F26" i="15"/>
  <c r="E9" i="76"/>
  <c r="M26" i="15"/>
  <c r="AO13" i="1"/>
  <c r="M8" i="15"/>
  <c r="M6" i="15"/>
  <c r="B7" i="76"/>
  <c r="E12" i="76"/>
  <c r="E2" i="69"/>
  <c r="F7" i="67"/>
  <c r="F6" i="73"/>
  <c r="E10" i="76"/>
  <c r="F9" i="67"/>
  <c r="F5" i="73"/>
  <c r="F6" i="67"/>
  <c r="M28" i="15"/>
  <c r="L47" i="67"/>
  <c r="F13" i="67"/>
  <c r="D6" i="73"/>
  <c r="E7" i="76"/>
  <c r="F13" i="15"/>
  <c r="F9" i="15"/>
  <c r="M9" i="67"/>
  <c r="F3" i="73"/>
  <c r="F8" i="15"/>
  <c r="F36" i="15"/>
  <c r="M29" i="15"/>
  <c r="E2" i="68"/>
  <c r="F38" i="15"/>
  <c r="F8" i="67"/>
  <c r="M26" i="67"/>
  <c r="F7" i="73"/>
  <c r="F4" i="73"/>
  <c r="F43" i="15"/>
  <c r="M24" i="67"/>
  <c r="M8" i="67"/>
  <c r="E11" i="76"/>
  <c r="E8" i="76"/>
  <c r="F37" i="67"/>
  <c r="L48" i="67"/>
  <c r="F20" i="31"/>
  <c r="B12" i="76"/>
  <c r="F7" i="15"/>
  <c r="F16" i="15"/>
  <c r="F40" i="15"/>
  <c r="D3" i="73"/>
  <c r="F6" i="15"/>
  <c r="B9" i="76"/>
  <c r="C76" i="67"/>
  <c r="M28" i="67"/>
  <c r="M23" i="67"/>
  <c r="D7" i="73"/>
  <c r="M24" i="15"/>
  <c r="L48" i="15"/>
  <c r="F37" i="15"/>
  <c r="C19" i="71" l="1"/>
  <c r="T20" i="71"/>
  <c r="D20" i="71"/>
  <c r="U20" i="71" s="1"/>
  <c r="AB23" i="21"/>
  <c r="U32" i="39"/>
  <c r="S13" i="21"/>
  <c r="W17" i="21"/>
  <c r="S32" i="37"/>
  <c r="AZ361" i="3"/>
  <c r="AZ310" i="3"/>
  <c r="AZ351" i="3"/>
  <c r="AZ313" i="3"/>
  <c r="AZ378" i="3"/>
  <c r="AZ376" i="3"/>
  <c r="AZ529" i="3"/>
  <c r="AZ545" i="3"/>
  <c r="AZ516" i="3"/>
  <c r="AZ524" i="3"/>
  <c r="AZ528" i="3"/>
  <c r="AZ532" i="3"/>
  <c r="AZ536" i="3"/>
  <c r="AZ544" i="3"/>
  <c r="AZ554" i="3"/>
  <c r="AZ558" i="3"/>
  <c r="AZ566" i="3"/>
  <c r="AZ574" i="3"/>
  <c r="AZ582" i="3"/>
  <c r="AZ560" i="3"/>
  <c r="S44" i="34"/>
  <c r="AB45" i="33"/>
  <c r="AC30" i="34"/>
  <c r="U31" i="34"/>
  <c r="AB23" i="34"/>
  <c r="E117" i="33"/>
  <c r="F117" i="33" s="1"/>
  <c r="G117" i="33" s="1"/>
  <c r="J39" i="33"/>
  <c r="AC39" i="33" s="1"/>
  <c r="H9" i="36"/>
  <c r="F9" i="36"/>
  <c r="F38" i="40"/>
  <c r="J38" i="40"/>
  <c r="AZ565" i="3"/>
  <c r="AZ569" i="3"/>
  <c r="AZ573" i="3"/>
  <c r="AZ577" i="3"/>
  <c r="H23" i="35"/>
  <c r="J23" i="35"/>
  <c r="J26" i="37"/>
  <c r="H26" i="37"/>
  <c r="J39" i="40"/>
  <c r="H39" i="40"/>
  <c r="F40" i="33"/>
  <c r="S40" i="33" s="1"/>
  <c r="G562" i="3"/>
  <c r="G558" i="3"/>
  <c r="G542" i="3"/>
  <c r="BL16" i="3"/>
  <c r="AZ16" i="3" s="1"/>
  <c r="F6" i="1"/>
  <c r="G398" i="3"/>
  <c r="BA399" i="3"/>
  <c r="BL399" i="3"/>
  <c r="G400" i="3"/>
  <c r="G401" i="3"/>
  <c r="BL402" i="3"/>
  <c r="G403" i="3"/>
  <c r="BL404" i="3"/>
  <c r="G405" i="3"/>
  <c r="BL406" i="3"/>
  <c r="G407" i="3"/>
  <c r="G408" i="3"/>
  <c r="BL409" i="3"/>
  <c r="G410" i="3"/>
  <c r="BA411" i="3"/>
  <c r="BL411" i="3"/>
  <c r="G412" i="3"/>
  <c r="BL414" i="3"/>
  <c r="G415" i="3"/>
  <c r="G419" i="3"/>
  <c r="G421" i="3"/>
  <c r="G423" i="3"/>
  <c r="BA424" i="3"/>
  <c r="AZ424" i="3" s="1"/>
  <c r="BL424" i="3"/>
  <c r="BA425" i="3"/>
  <c r="AZ425" i="3" s="1"/>
  <c r="BL427" i="3"/>
  <c r="G428" i="3"/>
  <c r="BA429" i="3"/>
  <c r="BL429" i="3"/>
  <c r="BA430" i="3"/>
  <c r="AZ430" i="3" s="1"/>
  <c r="BL432" i="3"/>
  <c r="G433" i="3"/>
  <c r="G435" i="3"/>
  <c r="G437" i="3"/>
  <c r="BL438" i="3"/>
  <c r="G439" i="3"/>
  <c r="BL443" i="3"/>
  <c r="G444" i="3"/>
  <c r="G449" i="3"/>
  <c r="G451"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74" i="3"/>
  <c r="BL375" i="3"/>
  <c r="AZ375" i="3" s="1"/>
  <c r="BA385" i="3"/>
  <c r="BL385" i="3"/>
  <c r="G208" i="3"/>
  <c r="BL209" i="3"/>
  <c r="G210" i="3"/>
  <c r="G213" i="3"/>
  <c r="G215" i="3"/>
  <c r="G218" i="3"/>
  <c r="G221" i="3"/>
  <c r="BL222" i="3"/>
  <c r="G223" i="3"/>
  <c r="BL224" i="3"/>
  <c r="G225" i="3"/>
  <c r="G229" i="3"/>
  <c r="G232" i="3"/>
  <c r="G234" i="3"/>
  <c r="G236" i="3"/>
  <c r="K22" i="80"/>
  <c r="BL236" i="3"/>
  <c r="G237" i="3"/>
  <c r="BL238" i="3"/>
  <c r="G239" i="3"/>
  <c r="G241" i="3"/>
  <c r="G245" i="3"/>
  <c r="G248" i="3"/>
  <c r="G250" i="3"/>
  <c r="G252" i="3"/>
  <c r="BA253" i="3"/>
  <c r="AZ253" i="3" s="1"/>
  <c r="BA254" i="3"/>
  <c r="AZ254" i="3" s="1"/>
  <c r="BA256" i="3"/>
  <c r="BL256" i="3"/>
  <c r="BL258" i="3"/>
  <c r="G259" i="3"/>
  <c r="BA260" i="3"/>
  <c r="BL260" i="3"/>
  <c r="BL262" i="3"/>
  <c r="G263" i="3"/>
  <c r="BA264" i="3"/>
  <c r="BL264" i="3"/>
  <c r="BA266" i="3"/>
  <c r="BL266" i="3"/>
  <c r="BA267" i="3"/>
  <c r="AZ267" i="3" s="1"/>
  <c r="BA268" i="3"/>
  <c r="AZ268" i="3" s="1"/>
  <c r="BA269" i="3"/>
  <c r="AZ269" i="3" s="1"/>
  <c r="BA271" i="3"/>
  <c r="AZ271" i="3" s="1"/>
  <c r="BL271" i="3"/>
  <c r="BA272" i="3"/>
  <c r="AZ272"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AZ131" i="3" s="1"/>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G203" i="3"/>
  <c r="BA204" i="3"/>
  <c r="AZ204" i="3" s="1"/>
  <c r="G205" i="3"/>
  <c r="G207" i="3"/>
  <c r="BA18" i="3"/>
  <c r="BL18" i="3"/>
  <c r="BA20" i="3"/>
  <c r="BL20" i="3"/>
  <c r="BL22" i="3"/>
  <c r="G23" i="3"/>
  <c r="D32" i="71"/>
  <c r="T32" i="71"/>
  <c r="D27" i="71"/>
  <c r="C26" i="71"/>
  <c r="D26" i="71" s="1"/>
  <c r="BA23" i="3"/>
  <c r="BL23" i="3"/>
  <c r="BL25" i="3"/>
  <c r="G26" i="3"/>
  <c r="BA27" i="3"/>
  <c r="BL27" i="3"/>
  <c r="BA29" i="3"/>
  <c r="BL29" i="3"/>
  <c r="BA30" i="3"/>
  <c r="AZ30" i="3" s="1"/>
  <c r="BA31" i="3"/>
  <c r="AZ31" i="3" s="1"/>
  <c r="BA32" i="3"/>
  <c r="AZ32" i="3" s="1"/>
  <c r="BA33" i="3"/>
  <c r="AZ33" i="3" s="1"/>
  <c r="BA35" i="3"/>
  <c r="BL35" i="3"/>
  <c r="BA36" i="3"/>
  <c r="AZ36" i="3" s="1"/>
  <c r="BA37" i="3"/>
  <c r="AZ37" i="3" s="1"/>
  <c r="BA39" i="3"/>
  <c r="BL39" i="3"/>
  <c r="G40" i="3"/>
  <c r="G42" i="3"/>
  <c r="G44" i="3"/>
  <c r="BL45" i="3"/>
  <c r="G46" i="3"/>
  <c r="G48" i="3"/>
  <c r="BA49" i="3"/>
  <c r="BL49" i="3"/>
  <c r="BA51" i="3"/>
  <c r="BL51" i="3"/>
  <c r="BA52" i="3"/>
  <c r="AZ52" i="3" s="1"/>
  <c r="BA53" i="3"/>
  <c r="AZ53" i="3" s="1"/>
  <c r="BA55" i="3"/>
  <c r="BL55" i="3"/>
  <c r="BA56" i="3"/>
  <c r="AZ56" i="3" s="1"/>
  <c r="BA58" i="3"/>
  <c r="AZ58" i="3" s="1"/>
  <c r="BL58" i="3"/>
  <c r="BL60" i="3"/>
  <c r="G61" i="3"/>
  <c r="BA62" i="3"/>
  <c r="BL62" i="3"/>
  <c r="BL64" i="3"/>
  <c r="G65" i="3"/>
  <c r="G67" i="3"/>
  <c r="G71" i="3"/>
  <c r="G73" i="3"/>
  <c r="BL74" i="3"/>
  <c r="G75" i="3"/>
  <c r="BA76" i="3"/>
  <c r="BL76" i="3"/>
  <c r="BL78" i="3"/>
  <c r="G79" i="3"/>
  <c r="BL80" i="3"/>
  <c r="G81" i="3"/>
  <c r="G83" i="3"/>
  <c r="G85" i="3"/>
  <c r="G87" i="3"/>
  <c r="D60" i="71"/>
  <c r="T60" i="71"/>
  <c r="D52" i="71"/>
  <c r="T52" i="71"/>
  <c r="BL88" i="3"/>
  <c r="G89" i="3"/>
  <c r="BA90" i="3"/>
  <c r="BL90" i="3"/>
  <c r="BL91" i="3"/>
  <c r="G92" i="3"/>
  <c r="G94" i="3"/>
  <c r="G97" i="3"/>
  <c r="BA99" i="3"/>
  <c r="BL99" i="3"/>
  <c r="BL100" i="3"/>
  <c r="G101" i="3"/>
  <c r="BL102" i="3"/>
  <c r="G103" i="3"/>
  <c r="G107" i="3"/>
  <c r="BL109" i="3"/>
  <c r="G110" i="3"/>
  <c r="BL111" i="3"/>
  <c r="G112" i="3"/>
  <c r="AC21" i="37"/>
  <c r="U18" i="35"/>
  <c r="AB21" i="33"/>
  <c r="C25" i="40"/>
  <c r="P65" i="71"/>
  <c r="D28" i="71"/>
  <c r="U28" i="71" s="1"/>
  <c r="AA27" i="71"/>
  <c r="AA25" i="71"/>
  <c r="AB27" i="71"/>
  <c r="AB25" i="71"/>
  <c r="X28" i="71"/>
  <c r="Y27" i="71"/>
  <c r="Z27" i="71" s="1"/>
  <c r="X36" i="71"/>
  <c r="Y33" i="71"/>
  <c r="Z33" i="71" s="1"/>
  <c r="AA32" i="71"/>
  <c r="AA31" i="71"/>
  <c r="Y29" i="71"/>
  <c r="Z29" i="71" s="1"/>
  <c r="F32" i="71"/>
  <c r="V32" i="71" s="1"/>
  <c r="Y30" i="71"/>
  <c r="Z30" i="71" s="1"/>
  <c r="AB30" i="71"/>
  <c r="Y34" i="71"/>
  <c r="Z34" i="71" s="1"/>
  <c r="AB34" i="71"/>
  <c r="B23" i="71"/>
  <c r="B22" i="71" s="1"/>
  <c r="B21" i="71" s="1"/>
  <c r="B20" i="71" s="1"/>
  <c r="AC23" i="21"/>
  <c r="AB45" i="21"/>
  <c r="AB15" i="21"/>
  <c r="U23" i="35"/>
  <c r="AB23" i="35"/>
  <c r="AC26" i="37"/>
  <c r="W26" i="37"/>
  <c r="AC12" i="40"/>
  <c r="W12" i="40"/>
  <c r="AB40" i="40"/>
  <c r="U40" i="40"/>
  <c r="BL586" i="3"/>
  <c r="AZ586" i="3" s="1"/>
  <c r="BL585" i="3"/>
  <c r="AZ585" i="3" s="1"/>
  <c r="G6" i="1"/>
  <c r="I24" i="43"/>
  <c r="A15" i="62"/>
  <c r="B61" i="72" s="1"/>
  <c r="BL400" i="3"/>
  <c r="BA403" i="3"/>
  <c r="BL403" i="3"/>
  <c r="BA404" i="3"/>
  <c r="AZ404" i="3" s="1"/>
  <c r="BA409" i="3"/>
  <c r="AZ409" i="3" s="1"/>
  <c r="BL413" i="3"/>
  <c r="BA414" i="3"/>
  <c r="AZ414" i="3" s="1"/>
  <c r="G417" i="3"/>
  <c r="AZ438" i="3"/>
  <c r="AZ443" i="3"/>
  <c r="AC11" i="39"/>
  <c r="AZ379" i="3"/>
  <c r="AZ345" i="3"/>
  <c r="AZ318" i="3"/>
  <c r="AZ372" i="3"/>
  <c r="AZ337" i="3"/>
  <c r="AZ320" i="3"/>
  <c r="AZ305" i="3"/>
  <c r="AZ362" i="3"/>
  <c r="AZ343" i="3"/>
  <c r="AC12" i="37"/>
  <c r="AC45" i="33"/>
  <c r="AA13" i="33"/>
  <c r="AB13" i="34"/>
  <c r="AZ497" i="3"/>
  <c r="AZ501" i="3"/>
  <c r="AZ503" i="3"/>
  <c r="AZ507" i="3"/>
  <c r="AZ523" i="3"/>
  <c r="AZ527" i="3"/>
  <c r="AZ531" i="3"/>
  <c r="AZ535" i="3"/>
  <c r="AZ539" i="3"/>
  <c r="AZ543" i="3"/>
  <c r="AZ547" i="3"/>
  <c r="AZ568" i="3"/>
  <c r="AZ576" i="3"/>
  <c r="AC28" i="21"/>
  <c r="AA14" i="34"/>
  <c r="AB46" i="34"/>
  <c r="W31" i="34"/>
  <c r="S28" i="34"/>
  <c r="AB17" i="34"/>
  <c r="U33" i="35"/>
  <c r="F9" i="33"/>
  <c r="AA9" i="33" s="1"/>
  <c r="J40" i="33"/>
  <c r="AC40" i="33" s="1"/>
  <c r="J12" i="35"/>
  <c r="J9" i="36"/>
  <c r="F26" i="37"/>
  <c r="F44" i="39"/>
  <c r="G582" i="3"/>
  <c r="G566" i="3"/>
  <c r="G552" i="3"/>
  <c r="BA551" i="3"/>
  <c r="AZ551" i="3" s="1"/>
  <c r="G551" i="3"/>
  <c r="BL550" i="3"/>
  <c r="BA550" i="3"/>
  <c r="BL548" i="3"/>
  <c r="AZ548" i="3" s="1"/>
  <c r="G14" i="3"/>
  <c r="AZ399" i="3"/>
  <c r="AZ400" i="3"/>
  <c r="AZ402" i="3"/>
  <c r="AZ406" i="3"/>
  <c r="BL407" i="3"/>
  <c r="AZ411" i="3"/>
  <c r="AZ413" i="3"/>
  <c r="BA418" i="3"/>
  <c r="BL418" i="3"/>
  <c r="G420" i="3"/>
  <c r="BL420" i="3"/>
  <c r="BA421" i="3"/>
  <c r="AZ421" i="3" s="1"/>
  <c r="BA422" i="3"/>
  <c r="AZ422" i="3" s="1"/>
  <c r="BL422" i="3"/>
  <c r="BA423" i="3"/>
  <c r="AZ423" i="3" s="1"/>
  <c r="G426" i="3"/>
  <c r="BL426" i="3"/>
  <c r="BA427" i="3"/>
  <c r="AZ427" i="3" s="1"/>
  <c r="BA428" i="3"/>
  <c r="AZ428" i="3" s="1"/>
  <c r="G431" i="3"/>
  <c r="BL431" i="3"/>
  <c r="BA432" i="3"/>
  <c r="AZ432" i="3" s="1"/>
  <c r="BA433" i="3"/>
  <c r="AZ433" i="3" s="1"/>
  <c r="BA434" i="3"/>
  <c r="BL434" i="3"/>
  <c r="G436" i="3"/>
  <c r="BL436" i="3"/>
  <c r="AZ436" i="3" s="1"/>
  <c r="G441" i="3"/>
  <c r="G442" i="3"/>
  <c r="G446" i="3"/>
  <c r="G448" i="3"/>
  <c r="BL448" i="3"/>
  <c r="BA449" i="3"/>
  <c r="AZ449" i="3" s="1"/>
  <c r="BA450" i="3"/>
  <c r="BL450" i="3"/>
  <c r="AZ458" i="3"/>
  <c r="AZ462" i="3"/>
  <c r="AZ469"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454" i="3"/>
  <c r="G456" i="3"/>
  <c r="BL456" i="3"/>
  <c r="AZ456" i="3" s="1"/>
  <c r="BA459" i="3"/>
  <c r="BL459" i="3"/>
  <c r="BA460" i="3"/>
  <c r="AZ460" i="3" s="1"/>
  <c r="G465" i="3"/>
  <c r="G466" i="3"/>
  <c r="BL466" i="3"/>
  <c r="AZ466" i="3" s="1"/>
  <c r="BA467" i="3"/>
  <c r="AZ467" i="3" s="1"/>
  <c r="G472" i="3"/>
  <c r="BL472" i="3"/>
  <c r="G475" i="3"/>
  <c r="BL475" i="3"/>
  <c r="BA476" i="3"/>
  <c r="AZ476" i="3" s="1"/>
  <c r="BA477" i="3"/>
  <c r="BL477" i="3"/>
  <c r="BA478" i="3"/>
  <c r="AZ478" i="3" s="1"/>
  <c r="G481" i="3"/>
  <c r="G483" i="3"/>
  <c r="BL483" i="3"/>
  <c r="BA484" i="3"/>
  <c r="AZ484" i="3" s="1"/>
  <c r="G487" i="3"/>
  <c r="G489" i="3"/>
  <c r="BL489" i="3"/>
  <c r="BL491" i="3"/>
  <c r="AZ491" i="3" s="1"/>
  <c r="BA492" i="3"/>
  <c r="AZ49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AZ217" i="3" s="1"/>
  <c r="G220" i="3"/>
  <c r="BL220" i="3"/>
  <c r="AZ220" i="3" s="1"/>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AZ106" i="3"/>
  <c r="D39" i="71"/>
  <c r="C40" i="71"/>
  <c r="C63" i="71"/>
  <c r="D62" i="71"/>
  <c r="E23" i="71"/>
  <c r="E22" i="71" s="1"/>
  <c r="E21" i="71" s="1"/>
  <c r="E20" i="71" s="1"/>
  <c r="V24" i="71"/>
  <c r="G34" i="3"/>
  <c r="BL34" i="3"/>
  <c r="G37" i="3"/>
  <c r="G38" i="3"/>
  <c r="BL38" i="3"/>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AZ70" i="3" s="1"/>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C55" i="71"/>
  <c r="D54" i="71"/>
  <c r="BA88" i="3"/>
  <c r="AZ88" i="3" s="1"/>
  <c r="BA89" i="3"/>
  <c r="AZ89" i="3" s="1"/>
  <c r="BA91" i="3"/>
  <c r="AZ91" i="3" s="1"/>
  <c r="BL93" i="3"/>
  <c r="AZ93" i="3" s="1"/>
  <c r="G96" i="3"/>
  <c r="BL96" i="3"/>
  <c r="AZ96" i="3" s="1"/>
  <c r="BA98" i="3"/>
  <c r="AZ98" i="3" s="1"/>
  <c r="BA100" i="3"/>
  <c r="AZ100" i="3" s="1"/>
  <c r="BA101" i="3"/>
  <c r="AZ101" i="3" s="1"/>
  <c r="BA102" i="3"/>
  <c r="AZ102" i="3" s="1"/>
  <c r="G105" i="3"/>
  <c r="G106" i="3"/>
  <c r="BL106" i="3"/>
  <c r="BA108" i="3"/>
  <c r="AZ108" i="3" s="1"/>
  <c r="BA109" i="3"/>
  <c r="AZ109" i="3" s="1"/>
  <c r="BA110" i="3"/>
  <c r="AZ110" i="3" s="1"/>
  <c r="BA111" i="3"/>
  <c r="AZ111" i="3" s="1"/>
  <c r="D55" i="43"/>
  <c r="D58" i="43"/>
  <c r="AC21" i="34"/>
  <c r="S21" i="37"/>
  <c r="C29" i="39"/>
  <c r="B68" i="43"/>
  <c r="B77" i="43"/>
  <c r="V28" i="71"/>
  <c r="S28" i="71"/>
  <c r="X29" i="71"/>
  <c r="AB31" i="71"/>
  <c r="F35" i="71"/>
  <c r="F36" i="71" s="1"/>
  <c r="V36" i="71" s="1"/>
  <c r="AB35"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AC25" i="33"/>
  <c r="U25" i="33"/>
  <c r="AA44" i="33"/>
  <c r="G29" i="6"/>
  <c r="D52" i="43"/>
  <c r="BL15" i="3"/>
  <c r="AZ15" i="3" s="1"/>
  <c r="K56" i="9"/>
  <c r="C28" i="67"/>
  <c r="E19" i="71"/>
  <c r="E18" i="71" s="1"/>
  <c r="E17" i="71" s="1"/>
  <c r="E16" i="71" s="1"/>
  <c r="V20" i="71"/>
  <c r="AZ521" i="3"/>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5" i="73"/>
  <c r="C16" i="15"/>
  <c r="D9" i="68"/>
  <c r="D4" i="73"/>
  <c r="C36" i="68"/>
  <c r="C16" i="67"/>
  <c r="S27" i="33" l="1"/>
  <c r="W39" i="40"/>
  <c r="AC39" i="40"/>
  <c r="AC38" i="40"/>
  <c r="W38" i="40"/>
  <c r="AA9" i="36"/>
  <c r="S9" i="36"/>
  <c r="B19" i="71"/>
  <c r="B18" i="71" s="1"/>
  <c r="B17" i="71" s="1"/>
  <c r="B16" i="71" s="1"/>
  <c r="S20" i="71"/>
  <c r="AZ55" i="3"/>
  <c r="AZ51" i="3"/>
  <c r="AZ39" i="3"/>
  <c r="AZ35" i="3"/>
  <c r="AZ29" i="3"/>
  <c r="AZ27" i="3"/>
  <c r="AZ23" i="3"/>
  <c r="AZ20" i="3"/>
  <c r="AZ18" i="3"/>
  <c r="AZ162" i="3"/>
  <c r="AZ157" i="3"/>
  <c r="AZ129" i="3"/>
  <c r="AZ302" i="3"/>
  <c r="AZ273" i="3"/>
  <c r="AZ266" i="3"/>
  <c r="AZ264" i="3"/>
  <c r="AZ260" i="3"/>
  <c r="AZ256" i="3"/>
  <c r="AZ481" i="3"/>
  <c r="AZ454" i="3"/>
  <c r="AZ429" i="3"/>
  <c r="U39" i="40"/>
  <c r="AB39" i="40"/>
  <c r="AB26" i="37"/>
  <c r="U26" i="37"/>
  <c r="AC23" i="35"/>
  <c r="W23" i="35"/>
  <c r="AA38" i="40"/>
  <c r="S38" i="40"/>
  <c r="AB9" i="36"/>
  <c r="U9" i="36"/>
  <c r="C18" i="71"/>
  <c r="D19" i="71"/>
  <c r="K1" i="73"/>
  <c r="D40" i="71"/>
  <c r="T40" i="71"/>
  <c r="AA44" i="39"/>
  <c r="S44" i="39"/>
  <c r="AC9" i="36"/>
  <c r="W9" i="36"/>
  <c r="AZ403" i="3"/>
  <c r="BA5" i="3"/>
  <c r="D33" i="43"/>
  <c r="D1" i="43" s="1"/>
  <c r="U2" i="43"/>
  <c r="W41" i="33"/>
  <c r="D55" i="71"/>
  <c r="C56" i="71"/>
  <c r="C64" i="71"/>
  <c r="D63" i="71"/>
  <c r="AZ477" i="3"/>
  <c r="AZ459" i="3"/>
  <c r="AZ450" i="3"/>
  <c r="AZ434" i="3"/>
  <c r="AZ418" i="3"/>
  <c r="AZ550" i="3"/>
  <c r="AA26" i="37"/>
  <c r="S26" i="37"/>
  <c r="W12" i="35"/>
  <c r="AC12" i="35"/>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41" i="67"/>
  <c r="F27" i="68"/>
  <c r="C17" i="71" l="1"/>
  <c r="D18" i="71"/>
  <c r="B40" i="1"/>
  <c r="L36" i="43" s="1"/>
  <c r="P36" i="43" s="1"/>
  <c r="J36" i="33"/>
  <c r="W36" i="33" s="1"/>
  <c r="D56" i="71"/>
  <c r="T56" i="71"/>
  <c r="D64" i="71"/>
  <c r="T64" i="71"/>
  <c r="H111" i="33"/>
  <c r="I111" i="33" s="1"/>
  <c r="J111" i="33" s="1"/>
  <c r="K111" i="33" s="1"/>
  <c r="L111" i="33" s="1"/>
  <c r="M111" i="33" s="1"/>
  <c r="H36" i="33"/>
  <c r="AC36" i="33"/>
  <c r="AA36" i="33"/>
  <c r="S36" i="33"/>
  <c r="F89" i="33"/>
  <c r="G85" i="33"/>
  <c r="G89" i="33" s="1"/>
  <c r="AC26" i="33"/>
  <c r="W26" i="33"/>
  <c r="AA26" i="33"/>
  <c r="S26" i="33"/>
  <c r="U26" i="33"/>
  <c r="AB26" i="33"/>
  <c r="E65" i="39"/>
  <c r="B11" i="71"/>
  <c r="B10" i="71" s="1"/>
  <c r="B9" i="71" s="1"/>
  <c r="B8" i="71" s="1"/>
  <c r="B7" i="71" s="1"/>
  <c r="B6" i="71" s="1"/>
  <c r="B5" i="71" s="1"/>
  <c r="S12"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M27" i="15"/>
  <c r="F41" i="15"/>
  <c r="L37" i="43" l="1"/>
  <c r="P37" i="43" s="1"/>
  <c r="F25" i="12"/>
  <c r="C26" i="12" s="1"/>
  <c r="D25" i="12" s="1"/>
  <c r="C16" i="71"/>
  <c r="D17" i="71"/>
  <c r="F22" i="68"/>
  <c r="C44" i="68" s="1"/>
  <c r="D41" i="68" s="1"/>
  <c r="F24" i="67"/>
  <c r="C24" i="67" s="1"/>
  <c r="F24" i="15"/>
  <c r="C24" i="15" s="1"/>
  <c r="F22" i="11"/>
  <c r="C44" i="11" s="1"/>
  <c r="D41" i="11" s="1"/>
  <c r="F22" i="69"/>
  <c r="F41" i="69" s="1"/>
  <c r="O36" i="43"/>
  <c r="N36" i="43"/>
  <c r="M36" i="43"/>
  <c r="Q36" i="43"/>
  <c r="U36" i="33"/>
  <c r="AB36" i="33"/>
  <c r="J33" i="33"/>
  <c r="F33" i="33"/>
  <c r="H33" i="3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C14" i="67"/>
  <c r="C17" i="67"/>
  <c r="C17" i="15"/>
  <c r="D10" i="68"/>
  <c r="O37" i="43" l="1"/>
  <c r="C26" i="69"/>
  <c r="D22" i="69" s="1"/>
  <c r="F41" i="68"/>
  <c r="M37" i="43"/>
  <c r="N37" i="43"/>
  <c r="Q37" i="43"/>
  <c r="M23" i="43"/>
  <c r="D16" i="71"/>
  <c r="U16" i="71" s="1"/>
  <c r="T16" i="71"/>
  <c r="C15" i="71"/>
  <c r="C26" i="68"/>
  <c r="D22" i="68" s="1"/>
  <c r="C26" i="11"/>
  <c r="D22" i="11" s="1"/>
  <c r="C23" i="11"/>
  <c r="C24" i="11"/>
  <c r="C44" i="69"/>
  <c r="D41" i="69" s="1"/>
  <c r="B2" i="74"/>
  <c r="C14" i="74"/>
  <c r="AB33" i="33"/>
  <c r="T48" i="33" s="1"/>
  <c r="G48" i="33" s="1"/>
  <c r="U33" i="33"/>
  <c r="AC33" i="33"/>
  <c r="V48" i="33" s="1"/>
  <c r="I48" i="33" s="1"/>
  <c r="I52" i="33" s="1"/>
  <c r="J52" i="33" s="1"/>
  <c r="W33" i="33"/>
  <c r="AA33" i="33"/>
  <c r="R48" i="33" s="1"/>
  <c r="S33" i="33"/>
  <c r="C25" i="1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B6" i="76"/>
  <c r="C14" i="15"/>
  <c r="C34" i="68"/>
  <c r="E6" i="76"/>
  <c r="D15" i="71" l="1"/>
  <c r="C14" i="71"/>
  <c r="C22" i="11"/>
  <c r="C31" i="11" s="1"/>
  <c r="E48" i="33"/>
  <c r="R49" i="33"/>
  <c r="G52" i="33"/>
  <c r="H52" i="33" s="1"/>
  <c r="G53" i="33"/>
  <c r="H53" i="33" s="1"/>
  <c r="B3" i="43"/>
  <c r="C6" i="68"/>
  <c r="C7" i="68" s="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21" i="12" l="1"/>
  <c r="C22" i="12" s="1"/>
  <c r="C13" i="71"/>
  <c r="D14" i="71"/>
  <c r="C5" i="68"/>
  <c r="C23" i="68" s="1"/>
  <c r="C48" i="33"/>
  <c r="C49" i="33"/>
  <c r="I53" i="33"/>
  <c r="J53" i="33" s="1"/>
  <c r="E53" i="33"/>
  <c r="F53" i="33" s="1"/>
  <c r="E52" i="33"/>
  <c r="F52" i="33"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C27" i="12" l="1"/>
  <c r="C25" i="12" s="1"/>
  <c r="C30" i="12"/>
  <c r="C28" i="12" s="1"/>
  <c r="C12" i="71"/>
  <c r="D13" i="71"/>
  <c r="C20" i="68"/>
  <c r="C28" i="68" s="1"/>
  <c r="C27" i="68"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32" i="12" l="1"/>
  <c r="B2" i="12" s="1"/>
  <c r="B3" i="12" s="1"/>
  <c r="C11" i="71"/>
  <c r="D12" i="71"/>
  <c r="U12" i="71" s="1"/>
  <c r="T12" i="71"/>
  <c r="C25" i="68"/>
  <c r="C22" i="68" s="1"/>
  <c r="C31" i="68"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19" i="9"/>
  <c r="B3" i="68"/>
  <c r="D35" i="9"/>
  <c r="D102" i="9" l="1"/>
  <c r="D21" i="9"/>
  <c r="D10" i="71"/>
  <c r="C9" i="71"/>
  <c r="C56"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0" i="9"/>
  <c r="D34" i="9"/>
  <c r="L51" i="67"/>
  <c r="D2" i="33"/>
  <c r="D103" i="9" l="1"/>
  <c r="H17" i="80" s="1"/>
  <c r="C8" i="71"/>
  <c r="D9" i="71"/>
  <c r="Q67" i="67"/>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5"/>
  <c r="D2" i="37"/>
  <c r="D2" i="36"/>
  <c r="C19" i="9"/>
  <c r="D2" i="34"/>
  <c r="L51" i="15"/>
  <c r="C7" i="71" l="1"/>
  <c r="D8" i="71"/>
  <c r="C102" i="9"/>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6" i="1"/>
  <c r="AO11" i="1"/>
  <c r="AO9" i="1"/>
  <c r="AO10" i="1"/>
  <c r="AO7" i="1"/>
  <c r="AO8" i="1"/>
  <c r="AO12" i="1"/>
  <c r="C6" i="71" l="1"/>
  <c r="D7" i="71"/>
  <c r="C103" i="9"/>
  <c r="I17" i="80" s="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E18" i="80" l="1"/>
  <c r="E17" i="80"/>
  <c r="D6" i="71"/>
  <c r="C5" i="71"/>
  <c r="D5" i="71" s="1"/>
  <c r="M24" i="43" s="1"/>
  <c r="E19" i="80"/>
  <c r="E20" i="80"/>
  <c r="E21" i="80"/>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G118" i="9" l="1"/>
  <c r="I118" i="9"/>
  <c r="H118" i="9" s="1"/>
  <c r="D14" i="74" s="1"/>
  <c r="H4" i="52" l="1"/>
  <c r="G4" i="52"/>
  <c r="B52" i="72" s="1"/>
  <c r="F118" i="9"/>
  <c r="C104" i="9"/>
  <c r="H101" i="9"/>
  <c r="H109" i="9" s="1"/>
  <c r="H119" i="9"/>
  <c r="H5" i="52" s="1"/>
  <c r="D16" i="53"/>
  <c r="D124" i="9"/>
  <c r="H110" i="9"/>
  <c r="D18" i="53" s="1"/>
  <c r="B35" i="72" s="1"/>
  <c r="B5" i="74"/>
  <c r="D5" i="74" s="1"/>
  <c r="F14" i="74"/>
  <c r="E14" i="74"/>
  <c r="D5" i="53"/>
  <c r="H107" i="9"/>
  <c r="D45" i="9"/>
  <c r="M48" i="9"/>
  <c r="C105" i="9"/>
  <c r="J17" i="80" s="1"/>
  <c r="H102" i="9"/>
  <c r="E118" i="9"/>
  <c r="I4" i="52"/>
  <c r="E4" i="52" l="1"/>
  <c r="B48" i="72" s="1"/>
  <c r="D118" i="9"/>
  <c r="F4" i="52"/>
  <c r="B51" i="72" s="1"/>
  <c r="F119" i="9"/>
  <c r="F5" i="52" s="1"/>
  <c r="B53" i="72" s="1"/>
  <c r="H14" i="74"/>
  <c r="B7" i="74" s="1"/>
  <c r="D125" i="9"/>
  <c r="D11" i="52" s="1"/>
  <c r="D10" i="52"/>
  <c r="B34" i="72"/>
  <c r="D17" i="53"/>
  <c r="B36" i="72" s="1"/>
  <c r="L17" i="80"/>
  <c r="R17" i="80" s="1"/>
  <c r="D53" i="9"/>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4" i="52" l="1"/>
  <c r="B47" i="72" s="1"/>
  <c r="D119" i="9"/>
  <c r="D5" i="52" s="1"/>
  <c r="B49" i="72" s="1"/>
  <c r="D7" i="74"/>
  <c r="C7" i="74"/>
  <c r="D59" i="9"/>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M17" i="80" s="1"/>
  <c r="N61" i="9"/>
  <c r="H112" i="9" s="1"/>
  <c r="D126" i="9" l="1"/>
  <c r="I14" i="74" s="1"/>
  <c r="B8" i="74" s="1"/>
  <c r="D8" i="74" s="1"/>
  <c r="D19" i="53"/>
  <c r="D21" i="53"/>
  <c r="B39" i="72" s="1"/>
  <c r="C8" i="74" l="1"/>
  <c r="D12" i="52"/>
  <c r="D127" i="9"/>
  <c r="D13" i="52" s="1"/>
  <c r="B38" i="72"/>
  <c r="D20" i="53"/>
  <c r="B40" i="72" s="1"/>
  <c r="L22" i="80" l="1"/>
  <c r="J22" i="80" l="1"/>
  <c r="R22" i="80"/>
  <c r="M22"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<sst xmlns="http://schemas.openxmlformats.org/spreadsheetml/2006/main" count="7998" uniqueCount="3521">
  <si>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</si>
  <si>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</si>
  <si>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</si>
  <si>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</si>
  <si>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</si>
  <si>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</si>
  <si>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</si>
  <si>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</si>
  <si>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</si>
  <si>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</si>
  <si>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</si>
  <si>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</si>
  <si>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</si>
  <si>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</si>
  <si>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</si>
  <si>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</si>
  <si>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</si>
  <si>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</si>
  <si>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</si>
  <si>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</si>
  <si>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</si>
  <si>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</si>
  <si>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</si>
  <si>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</si>
  <si>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</si>
  <si>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</si>
  <si>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</si>
  <si>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</si>
  <si>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</si>
  <si>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</si>
  <si>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</si>
  <si>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</si>
  <si>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</si>
  <si>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</si>
  <si>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</si>
  <si>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</si>
  <si>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</si>
  <si>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</si>
  <si>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</si>
  <si>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</si>
  <si>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</si>
  <si>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</si>
  <si>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</si>
  <si>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</si>
  <si>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</si>
  <si>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</si>
  <si>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</si>
  <si>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</si>
  <si>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</si>
  <si>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</si>
  <si>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</si>
  <si>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</si>
  <si>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</si>
  <si>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</si>
  <si>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</si>
  <si>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</si>
  <si>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</si>
  <si>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</si>
  <si>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</si>
  <si>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</si>
  <si>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</si>
  <si>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</si>
  <si>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</si>
  <si>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</si>
  <si>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</si>
  <si>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</si>
  <si>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</si>
  <si>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</si>
  <si>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</si>
  <si>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</si>
  <si>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</si>
  <si>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</si>
  <si>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</si>
  <si>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</si>
  <si>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</si>
  <si>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</si>
  <si>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</si>
  <si>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</si>
  <si>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</si>
  <si>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</si>
  <si>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</si>
  <si>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</si>
  <si>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</si>
  <si>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</si>
  <si>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</si>
  <si>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</si>
  <si>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</si>
  <si>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</si>
  <si>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</si>
  <si>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</si>
  <si>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</si>
  <si>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</si>
  <si>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</si>
  <si>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</si>
  <si>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</si>
  <si>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</si>
  <si>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</si>
  <si>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</si>
  <si>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</si>
  <si>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</si>
  <si>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</si>
  <si>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</si>
  <si>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</si>
  <si>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</si>
  <si>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</si>
  <si>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</si>
  <si>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</si>
  <si>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</si>
  <si>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</si>
  <si>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</si>
  <si>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</si>
  <si>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</si>
  <si>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</si>
  <si>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</si>
  <si>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</si>
  <si>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</si>
  <si>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</si>
  <si>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</si>
  <si>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</si>
  <si>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</si>
  <si>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</si>
  <si>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</si>
  <si>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</si>
  <si>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</si>
  <si>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</si>
  <si>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</si>
  <si>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</si>
  <si>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</si>
  <si>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</si>
  <si>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</si>
  <si>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</si>
  <si>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</si>
  <si>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</si>
  <si>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</si>
  <si>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</si>
  <si>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</si>
  <si>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</si>
  <si>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</si>
  <si>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</si>
  <si>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</si>
  <si>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</si>
  <si>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</si>
  <si>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</si>
  <si>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</si>
  <si>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</si>
  <si>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</si>
  <si>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</si>
  <si>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</si>
  <si>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</si>
  <si>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</si>
  <si>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</si>
  <si>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</si>
  <si>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</si>
  <si>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</si>
  <si>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</si>
  <si>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</si>
  <si>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</si>
  <si>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</si>
  <si>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</si>
  <si>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</si>
  <si>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</si>
  <si>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</si>
  <si>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</si>
  <si>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</si>
  <si>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</si>
  <si>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</si>
  <si>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</si>
  <si>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</si>
  <si>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</si>
  <si>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</si>
  <si>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</si>
  <si>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</si>
  <si>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</si>
  <si>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</si>
  <si>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</si>
  <si>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</si>
  <si>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</si>
  <si>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</si>
  <si>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</si>
  <si>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</si>
  <si>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</si>
  <si>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</si>
  <si>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</si>
  <si>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</si>
  <si>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</si>
  <si>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</si>
  <si>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</si>
  <si>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</si>
  <si>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</si>
  <si>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</si>
  <si>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</si>
  <si>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</si>
  <si>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</si>
  <si>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</si>
  <si>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</si>
  <si>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</si>
  <si>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</si>
  <si>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</si>
  <si>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</si>
  <si>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</si>
  <si>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</si>
  <si>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</si>
  <si>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</si>
  <si>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</si>
  <si>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</si>
  <si>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</si>
  <si>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</si>
  <si>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</si>
  <si>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</si>
  <si>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</si>
  <si>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</si>
  <si>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</si>
  <si>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</si>
  <si>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</si>
  <si>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</si>
  <si>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</si>
  <si>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</si>
  <si>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</si>
  <si>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</si>
  <si>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</si>
  <si>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</si>
  <si>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</si>
  <si>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</si>
  <si>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</si>
  <si>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</si>
  <si>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</si>
  <si>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</si>
  <si>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</si>
  <si>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</si>
  <si>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</si>
  <si>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</si>
  <si>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</si>
  <si>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</si>
  <si>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</si>
  <si>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</si>
  <si>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</si>
  <si>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</si>
  <si>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</si>
  <si>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</si>
  <si>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</si>
  <si>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</si>
  <si>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</si>
  <si>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</si>
  <si>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</si>
  <si>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</si>
  <si>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</si>
  <si>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</si>
  <si>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</si>
  <si>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</si>
  <si>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</si>
  <si>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</si>
  <si>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</si>
  <si>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</si>
  <si>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</si>
  <si>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</si>
  <si>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</si>
  <si>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</si>
  <si>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</si>
  <si>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</si>
  <si>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</si>
  <si>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</si>
  <si>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</si>
  <si>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</si>
  <si>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</si>
  <si>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</si>
  <si>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</si>
  <si>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</si>
  <si>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</si>
  <si>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</si>
  <si>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</si>
  <si>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</si>
  <si>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</si>
  <si>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</si>
  <si>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</si>
  <si>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</si>
  <si>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</si>
  <si>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</si>
  <si>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</si>
  <si>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</si>
  <si>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</si>
  <si>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</si>
  <si>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</si>
  <si>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</si>
  <si>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</si>
  <si>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</si>
  <si>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</si>
  <si>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</si>
  <si>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</si>
  <si>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</si>
  <si>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</si>
  <si>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</si>
  <si>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</si>
  <si>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</si>
  <si>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</si>
  <si>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</si>
  <si>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</si>
  <si>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</si>
  <si>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</si>
  <si>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</si>
  <si>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</si>
  <si>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</si>
  <si>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</si>
  <si>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</si>
  <si>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</si>
  <si>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</si>
  <si>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</si>
  <si>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</si>
  <si>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</si>
  <si>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</si>
  <si>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</si>
  <si>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</si>
  <si>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</si>
  <si>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</si>
  <si>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</si>
  <si>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</si>
  <si>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</si>
  <si>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</si>
  <si>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</si>
  <si>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</si>
  <si>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</si>
  <si>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</si>
  <si>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</si>
  <si>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</si>
  <si>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</si>
  <si>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</si>
  <si>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</si>
  <si>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</si>
  <si>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</si>
  <si>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</si>
  <si>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</si>
  <si>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</si>
  <si>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</si>
  <si>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</si>
  <si>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</si>
  <si>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</si>
  <si>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</si>
  <si>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</si>
  <si>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</si>
  <si>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</si>
  <si>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</si>
  <si>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</si>
  <si>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</si>
  <si>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</si>
  <si>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</si>
  <si>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</si>
  <si>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</si>
  <si>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</si>
  <si>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</si>
  <si>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</si>
  <si>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</si>
  <si>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</si>
  <si>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</si>
  <si>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</si>
  <si>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</si>
  <si>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</si>
  <si>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</si>
  <si>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</si>
  <si>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</si>
  <si>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</si>
  <si>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</si>
  <si>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</si>
  <si>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</si>
  <si>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</si>
  <si>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</si>
  <si>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</si>
  <si>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</si>
  <si>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</si>
  <si>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</si>
  <si>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</si>
  <si>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</si>
  <si>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</si>
  <si>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</si>
  <si>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</si>
  <si>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</si>
  <si>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</si>
  <si>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</si>
  <si>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</si>
  <si>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</si>
  <si>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</si>
  <si>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</si>
  <si>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</si>
  <si>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</si>
  <si>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</si>
  <si>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</si>
  <si>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</si>
  <si>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</si>
  <si>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</si>
  <si>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</si>
  <si>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</si>
  <si>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</si>
  <si>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</si>
  <si>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</si>
  <si>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</si>
  <si>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</si>
  <si>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</si>
  <si>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</si>
  <si>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</si>
  <si>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</si>
  <si>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</si>
  <si>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</si>
  <si>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</si>
  <si>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</si>
  <si>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</si>
  <si>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</si>
  <si>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</si>
  <si>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</si>
  <si>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</si>
  <si>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</si>
  <si>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</si>
  <si>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</si>
  <si>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</si>
  <si>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</si>
  <si>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</si>
  <si>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</si>
  <si>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</si>
  <si>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</si>
  <si>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</si>
  <si>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</si>
  <si>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</si>
  <si>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</si>
  <si>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</si>
  <si>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</si>
  <si>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</si>
  <si>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</si>
  <si>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</si>
  <si>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</si>
  <si>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</si>
  <si>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</si>
  <si>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</si>
  <si>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</si>
  <si>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</si>
  <si>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</si>
  <si>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</si>
  <si>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</si>
  <si>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</si>
  <si>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</si>
  <si>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</si>
  <si>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</si>
  <si>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</si>
  <si>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</si>
  <si>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</si>
  <si>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</si>
  <si>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</si>
  <si>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</si>
  <si>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</si>
  <si>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</si>
  <si>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</si>
  <si>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</si>
  <si>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</si>
  <si>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</si>
  <si>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</si>
  <si>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</si>
  <si>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</si>
  <si>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</si>
  <si>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</si>
  <si>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</si>
  <si>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</si>
  <si>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</si>
  <si>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</si>
  <si>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</si>
  <si>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</si>
  <si>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</si>
  <si>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</si>
  <si>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</si>
  <si>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</si>
  <si>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</si>
  <si>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</si>
  <si>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</si>
  <si>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</si>
  <si>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</si>
  <si>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</si>
  <si>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</si>
  <si>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</si>
  <si>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</si>
  <si>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</si>
  <si>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</si>
  <si>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</si>
  <si>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</si>
  <si>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</si>
  <si>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</si>
  <si>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</si>
  <si>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</si>
  <si>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</si>
  <si>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</si>
  <si>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</si>
  <si>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</si>
  <si>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</si>
  <si>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</si>
  <si>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</si>
  <si>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</si>
  <si>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</si>
  <si>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</si>
  <si>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</si>
  <si>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</si>
  <si>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</si>
  <si>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</si>
  <si>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</si>
  <si>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</si>
  <si>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</si>
  <si>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</si>
  <si>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</si>
  <si>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</si>
  <si>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</si>
  <si>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</si>
  <si>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</si>
  <si>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</si>
  <si>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</si>
  <si>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</si>
  <si>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</si>
  <si>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</si>
  <si>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</si>
  <si>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</si>
  <si>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</si>
  <si>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</si>
  <si>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</si>
  <si>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</si>
  <si>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</si>
  <si>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</si>
  <si>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</si>
  <si>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</si>
  <si>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</si>
  <si>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</si>
  <si>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</si>
  <si>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</si>
  <si>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</si>
  <si>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</si>
  <si>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</si>
  <si>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</si>
  <si>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</si>
  <si>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</si>
  <si>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</si>
  <si>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</si>
  <si>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</si>
  <si>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</si>
  <si>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</si>
  <si>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</si>
  <si>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</si>
  <si>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</si>
  <si>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</si>
  <si>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</si>
  <si>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</si>
  <si>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</si>
  <si>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</si>
  <si>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</si>
  <si>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</si>
  <si>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</si>
  <si>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</si>
  <si>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</si>
  <si>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</si>
  <si>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</si>
  <si>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</si>
  <si>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</si>
  <si>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</si>
  <si>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</si>
  <si>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</si>
  <si>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</si>
  <si>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</si>
  <si>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</si>
  <si>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</si>
  <si>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</si>
  <si>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</si>
  <si>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</si>
  <si>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</si>
  <si>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</si>
  <si>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</si>
  <si>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</si>
  <si>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</si>
  <si>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</si>
  <si>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</si>
  <si>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</si>
  <si>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</si>
  <si>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</si>
  <si>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</si>
  <si>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</si>
  <si>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</si>
  <si>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</si>
  <si>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</si>
  <si>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</si>
  <si>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</si>
  <si>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</si>
  <si>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</si>
  <si>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</si>
  <si>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</si>
  <si>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</si>
  <si>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</si>
  <si>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</si>
  <si>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</si>
  <si>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</si>
  <si>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</si>
  <si>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</si>
  <si>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</si>
  <si>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</si>
  <si>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</si>
  <si>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</si>
  <si>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</si>
  <si>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</si>
  <si>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</si>
  <si>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</si>
  <si>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</si>
  <si>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</si>
  <si>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</si>
  <si>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</si>
  <si>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</si>
  <si>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</si>
  <si>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</si>
  <si>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</si>
  <si>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</si>
  <si>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</si>
  <si>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</si>
  <si>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</si>
  <si>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</si>
  <si>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</si>
  <si>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</si>
  <si>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</si>
  <si>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</si>
  <si>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</si>
  <si>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</si>
  <si>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</si>
  <si>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</si>
  <si>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</si>
  <si>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</si>
  <si>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</si>
  <si>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</si>
  <si>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</si>
  <si>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</si>
  <si>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</si>
  <si>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</si>
  <si>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</si>
  <si>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</si>
  <si>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</si>
  <si>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</si>
  <si>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</si>
  <si>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</si>
  <si>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</si>
  <si>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</si>
  <si>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</si>
  <si>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</si>
  <si>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</si>
  <si>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</si>
  <si>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</si>
  <si>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</si>
  <si>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</si>
  <si>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</si>
  <si>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</si>
  <si>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</si>
  <si>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</si>
  <si>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</si>
  <si>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</si>
  <si>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</si>
  <si>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</si>
  <si>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</si>
  <si>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</si>
  <si>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</si>
  <si>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</si>
  <si>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</si>
  <si>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</si>
  <si>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</si>
  <si>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</si>
  <si>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</si>
  <si>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</si>
  <si>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</si>
  <si>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</si>
  <si>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</si>
  <si>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</si>
  <si>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</si>
  <si>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</si>
  <si>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</si>
  <si>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</si>
  <si>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</si>
  <si>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</si>
  <si>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</si>
  <si>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</si>
  <si>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</si>
  <si>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</si>
  <si>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</si>
  <si>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</si>
  <si>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</si>
  <si>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</si>
  <si>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</si>
  <si>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</si>
  <si>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</si>
  <si>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</si>
  <si>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</si>
  <si>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</si>
  <si>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</si>
  <si>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</si>
  <si>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</si>
  <si>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</si>
  <si>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</si>
  <si>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</si>
  <si>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</si>
  <si>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</si>
  <si>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</si>
  <si>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</si>
  <si>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</si>
  <si>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</si>
  <si>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</si>
  <si>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</si>
  <si>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</si>
  <si>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</si>
  <si>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</si>
  <si>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</si>
  <si>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</si>
  <si>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</si>
  <si>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</si>
  <si>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</si>
  <si>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</si>
  <si>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</si>
  <si>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</si>
  <si>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</si>
  <si>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</si>
  <si>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</si>
  <si>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</si>
  <si>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</si>
  <si>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</si>
  <si>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</si>
  <si>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</si>
  <si>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</si>
  <si>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</si>
  <si>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</si>
  <si>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</si>
  <si>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</si>
  <si>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</si>
  <si>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</si>
  <si>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</si>
  <si>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</si>
  <si>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</si>
  <si>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</si>
  <si>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</si>
  <si>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</si>
  <si>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</si>
  <si>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</si>
  <si>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</si>
  <si>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</si>
  <si>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</si>
  <si>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</si>
  <si>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</si>
  <si>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</si>
  <si>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</si>
  <si>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</si>
  <si>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</si>
  <si>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</si>
  <si>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</si>
  <si>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</si>
  <si>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</si>
  <si>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</si>
  <si>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</si>
  <si>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</si>
  <si>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</si>
  <si>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</si>
  <si>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</si>
  <si>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</si>
  <si>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</si>
  <si>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</si>
  <si>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</si>
  <si>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</si>
  <si>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</si>
  <si>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</si>
  <si>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</si>
  <si>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</si>
  <si>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</si>
  <si>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</si>
  <si>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</si>
  <si>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</si>
  <si>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</si>
  <si>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</si>
  <si>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</si>
  <si>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</si>
  <si>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</si>
  <si>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</si>
  <si>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</si>
  <si>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</si>
  <si>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</si>
  <si>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</si>
  <si>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</si>
  <si>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</si>
  <si>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</si>
  <si>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</si>
  <si>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</si>
  <si>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</si>
  <si>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</si>
  <si>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</si>
  <si>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</si>
  <si>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</si>
  <si>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</si>
  <si>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</si>
  <si>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</si>
  <si>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</si>
  <si>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</si>
  <si>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</si>
  <si>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</si>
  <si>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</si>
  <si>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</si>
  <si>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</si>
  <si>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</si>
  <si>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</si>
  <si>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</si>
  <si>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</si>
  <si>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</si>
  <si>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</si>
  <si>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</si>
  <si>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</si>
  <si>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</si>
  <si>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</si>
  <si>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</si>
  <si>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</si>
  <si>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</si>
  <si>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</si>
  <si>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</si>
  <si>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</si>
  <si>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</si>
  <si>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</si>
  <si>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</si>
  <si>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</si>
  <si>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</si>
  <si>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</si>
  <si>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</si>
  <si>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</si>
  <si>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</si>
  <si>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</si>
  <si>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</si>
  <si>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</si>
  <si>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</si>
  <si>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</si>
  <si>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</si>
  <si>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</si>
  <si>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</si>
  <si>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</si>
  <si>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</si>
  <si>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</si>
  <si>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</si>
  <si>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</si>
  <si>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</si>
  <si>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</si>
  <si>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</si>
  <si>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</si>
  <si>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</si>
  <si>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</si>
  <si>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</si>
  <si>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</si>
  <si>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</si>
  <si>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</si>
  <si>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</si>
  <si>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</si>
  <si>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</si>
  <si>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</si>
  <si>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</si>
  <si>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</si>
  <si>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</si>
  <si>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</si>
  <si>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</si>
  <si>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</si>
  <si>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</si>
  <si>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</si>
  <si>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</si>
  <si>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</si>
  <si>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</si>
  <si>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</si>
  <si>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</si>
  <si>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</si>
  <si>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</si>
  <si>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</si>
  <si>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</si>
  <si>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</si>
  <si>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</si>
  <si>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</si>
  <si>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</si>
  <si>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</si>
  <si>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</si>
  <si>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</si>
  <si>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</si>
  <si>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</si>
  <si>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</si>
  <si>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</si>
  <si>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</si>
  <si>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</si>
  <si>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</si>
  <si>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</si>
  <si>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</si>
  <si>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</si>
  <si>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</si>
  <si>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</si>
  <si>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</si>
  <si>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</si>
  <si>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</si>
  <si>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</si>
  <si>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</si>
  <si>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</si>
  <si>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</si>
  <si>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</si>
  <si>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</si>
  <si>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</si>
  <si>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</si>
  <si>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</si>
  <si>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</si>
  <si>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</si>
  <si>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</si>
  <si>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</si>
  <si>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</si>
  <si>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</si>
  <si>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</si>
  <si>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</si>
  <si>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</si>
  <si>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</si>
  <si>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</si>
  <si>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</si>
  <si>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</si>
  <si>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</si>
  <si>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</si>
  <si>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</si>
  <si>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</si>
  <si>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</si>
  <si>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</si>
  <si>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</si>
  <si>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</si>
  <si>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</si>
  <si>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</si>
  <si>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</si>
  <si>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</si>
  <si>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</si>
  <si>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</si>
  <si>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</si>
  <si>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</si>
  <si>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</si>
  <si>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</si>
  <si>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</si>
  <si>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</si>
  <si>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</si>
  <si>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</si>
  <si>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</si>
  <si>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</si>
  <si>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</si>
  <si>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</si>
  <si>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</si>
  <si>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</si>
  <si>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</si>
  <si>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</si>
  <si>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</si>
  <si>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</si>
  <si>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</si>
  <si>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</si>
  <si>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</si>
  <si>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</si>
  <si>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</si>
  <si>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</si>
  <si>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</si>
  <si>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</si>
  <si>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</si>
  <si>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</si>
  <si>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</si>
  <si>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</si>
  <si>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</si>
  <si>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</si>
  <si>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</si>
  <si>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</si>
  <si>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</si>
  <si>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</si>
  <si>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</si>
  <si>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</si>
  <si>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</si>
  <si>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</si>
  <si>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</si>
  <si>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</si>
  <si>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</si>
  <si>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</si>
  <si>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</si>
  <si>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</si>
  <si>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</si>
  <si>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</si>
  <si>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</si>
  <si>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</si>
  <si>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</si>
  <si>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</si>
  <si>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</si>
  <si>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</si>
  <si>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</si>
  <si>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</si>
  <si>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</si>
  <si>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</si>
  <si>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</si>
  <si>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</si>
  <si>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</si>
  <si>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</si>
  <si>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</si>
  <si>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</si>
  <si>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</si>
  <si>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</si>
  <si>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</si>
  <si>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</si>
  <si>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</si>
  <si>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</si>
  <si>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</si>
  <si>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</si>
  <si>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</si>
  <si>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</si>
  <si>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</si>
  <si>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</si>
  <si>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</si>
  <si>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</si>
  <si>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</si>
  <si>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</si>
  <si>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</si>
  <si>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</si>
  <si>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</si>
  <si>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</si>
  <si>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</si>
  <si>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</si>
  <si>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</si>
  <si>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</si>
  <si>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</si>
  <si>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</si>
  <si>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</si>
  <si>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</si>
  <si>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</si>
  <si>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</si>
  <si>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</si>
  <si>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</si>
  <si>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</si>
  <si>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</si>
  <si>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</si>
  <si>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</si>
  <si>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</si>
  <si>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</si>
  <si>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</si>
  <si>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</si>
  <si>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</si>
  <si>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</si>
  <si>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</si>
  <si>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</si>
  <si>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</si>
  <si>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</si>
  <si>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</si>
  <si>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</si>
  <si>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</si>
  <si>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</si>
  <si>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</si>
  <si>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</si>
  <si>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</si>
  <si>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</si>
  <si>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</si>
  <si>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</si>
  <si>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</si>
  <si>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</si>
  <si>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</si>
  <si>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</si>
  <si>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</si>
  <si>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</si>
  <si>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</si>
  <si>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</si>
  <si>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</si>
  <si>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</si>
  <si>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</si>
  <si>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</si>
  <si>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</si>
  <si>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</si>
  <si>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</si>
  <si>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</si>
  <si>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</si>
  <si>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</si>
  <si>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</si>
  <si>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</si>
  <si>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</si>
  <si>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</si>
  <si>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</si>
  <si>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</si>
  <si>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</si>
  <si>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</si>
  <si>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</si>
  <si>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</si>
  <si>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</si>
  <si>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</si>
  <si>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</si>
  <si>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</si>
  <si>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</si>
  <si>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</si>
  <si>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</si>
  <si>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</si>
  <si>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</si>
  <si>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</si>
  <si>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</si>
  <si>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</si>
  <si>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</si>
  <si>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</si>
  <si>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</si>
  <si>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</si>
  <si>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</si>
  <si>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</si>
  <si>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</si>
  <si>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</si>
  <si>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</si>
  <si>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</si>
  <si>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</si>
  <si>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</si>
  <si>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</si>
  <si>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</si>
  <si>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</si>
  <si>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</si>
  <si>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</si>
  <si>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</si>
  <si>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</si>
  <si>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</si>
  <si>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</si>
  <si>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</si>
  <si>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</si>
  <si>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</si>
  <si>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</si>
  <si>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</si>
  <si>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</si>
  <si>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</si>
  <si>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</si>
  <si>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</si>
  <si>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</si>
  <si>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</si>
  <si>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</si>
  <si>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</si>
  <si>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</si>
  <si>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</si>
  <si>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</si>
  <si>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</si>
  <si>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</si>
  <si>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</si>
  <si>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</si>
  <si>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</si>
  <si>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</si>
  <si>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</si>
  <si>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</si>
  <si>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</si>
  <si>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</si>
  <si>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</si>
  <si>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</si>
  <si>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</si>
  <si>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</si>
  <si>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</si>
  <si>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</si>
  <si>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</si>
  <si>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</si>
  <si>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</si>
  <si>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</si>
  <si>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</si>
  <si>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</si>
  <si>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</si>
  <si>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</si>
  <si>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</si>
  <si>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</si>
  <si>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</si>
  <si>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</si>
  <si>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</si>
  <si>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</si>
  <si>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</si>
  <si>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</si>
  <si>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</si>
  <si>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</si>
  <si>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</si>
  <si>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</si>
  <si>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</si>
  <si>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</si>
  <si>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</si>
  <si>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</si>
  <si>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</si>
  <si>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</si>
  <si>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</si>
  <si>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</si>
  <si>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</si>
  <si>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</si>
  <si>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</si>
  <si>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</si>
  <si>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</si>
  <si>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</si>
  <si>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</si>
  <si>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</si>
  <si>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</si>
  <si>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</si>
  <si>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</si>
  <si>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</si>
  <si>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</si>
  <si>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</si>
  <si>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</si>
  <si>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</si>
  <si>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</si>
  <si>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</si>
  <si>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</si>
  <si>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</si>
  <si>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</si>
  <si>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</si>
  <si>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</si>
  <si>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</si>
  <si>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</si>
  <si>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</si>
  <si>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</si>
  <si>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</si>
  <si>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</si>
  <si>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</si>
  <si>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</si>
  <si>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</si>
  <si>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</si>
  <si>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</si>
  <si>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</si>
  <si>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</si>
  <si>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</si>
  <si>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</si>
  <si>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</si>
  <si>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</si>
  <si>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</si>
  <si>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</si>
  <si>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</si>
  <si>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</si>
  <si>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</si>
  <si>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</si>
  <si>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</si>
  <si>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</si>
  <si>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</si>
  <si>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</si>
  <si>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</si>
  <si>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</si>
  <si>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</si>
  <si>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</si>
  <si>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</si>
  <si>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</si>
  <si>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</si>
  <si>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</si>
  <si>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</si>
  <si>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</si>
  <si>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</si>
  <si>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</si>
  <si>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</si>
  <si>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</si>
  <si>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</si>
  <si>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</si>
  <si>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</si>
  <si>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</si>
  <si>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</si>
  <si>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</si>
  <si>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</si>
  <si>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</si>
  <si>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</si>
  <si>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</si>
  <si>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</si>
  <si>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</si>
  <si>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</si>
  <si>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</si>
  <si>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</si>
  <si>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</si>
  <si>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</si>
  <si>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</si>
  <si>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</si>
  <si>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</si>
  <si>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</si>
  <si>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</si>
  <si>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</si>
  <si>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</si>
  <si>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</si>
  <si>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</si>
  <si>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</si>
  <si>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</si>
  <si>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</si>
  <si>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</si>
  <si>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</si>
  <si>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</si>
  <si>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</si>
  <si>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</si>
  <si>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</si>
  <si>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</si>
  <si>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</si>
  <si>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</si>
  <si>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</si>
  <si>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</si>
  <si>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</si>
  <si>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</si>
  <si>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</si>
  <si>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</si>
  <si>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</si>
  <si>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</si>
  <si>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</si>
  <si>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</si>
  <si>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</si>
  <si>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</si>
  <si>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</si>
  <si>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</si>
  <si>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</si>
  <si>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</si>
  <si>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</si>
  <si>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</si>
  <si>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</si>
  <si>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</si>
  <si>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</si>
  <si>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</si>
  <si>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</si>
  <si>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</si>
  <si>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</si>
  <si>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</si>
  <si>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</si>
  <si>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</si>
  <si>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</si>
  <si>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</si>
  <si>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</si>
  <si>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</si>
  <si>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</si>
  <si>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</si>
  <si>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</si>
  <si>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</si>
  <si>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</si>
  <si>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</si>
  <si>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</si>
  <si>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</si>
  <si>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</si>
  <si>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</si>
  <si>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</si>
  <si>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</si>
  <si>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</si>
  <si>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</si>
  <si>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</si>
  <si>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</si>
  <si>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</si>
  <si>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</si>
  <si>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</si>
  <si>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</si>
  <si>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</si>
  <si>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</si>
  <si>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</si>
  <si>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</si>
  <si>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</si>
  <si>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</si>
  <si>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</si>
  <si>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</si>
  <si>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</si>
  <si>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</si>
  <si>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</si>
  <si>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</si>
  <si>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</si>
  <si>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</si>
  <si>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</si>
  <si>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</si>
  <si>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</si>
  <si>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</si>
  <si>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</si>
  <si>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</si>
  <si>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</si>
  <si>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</si>
  <si>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</si>
  <si>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</si>
  <si>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</si>
  <si>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</si>
  <si>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</si>
  <si>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</si>
  <si>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</si>
  <si>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</si>
  <si>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</si>
  <si>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</si>
  <si>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</si>
  <si>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</si>
  <si>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</si>
  <si>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</si>
  <si>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</si>
  <si>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</si>
  <si>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</si>
  <si>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</si>
  <si>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</si>
  <si>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</si>
  <si>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</si>
  <si>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</si>
  <si>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</si>
  <si>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</si>
  <si>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</si>
  <si>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</si>
  <si>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</si>
  <si>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</si>
  <si>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</si>
  <si>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</si>
  <si>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</si>
  <si>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</si>
  <si>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</si>
  <si>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</si>
  <si>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</si>
  <si>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</si>
  <si>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</si>
  <si>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</si>
  <si>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</si>
  <si>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</si>
  <si>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</si>
  <si>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</si>
  <si>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</si>
  <si>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</si>
  <si>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</si>
  <si>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</si>
  <si>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</si>
  <si>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</si>
  <si>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</si>
  <si>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</si>
  <si>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</si>
  <si>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</si>
  <si>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</si>
  <si>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</si>
  <si>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</si>
  <si>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</si>
  <si>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</si>
  <si>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</si>
  <si>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</si>
  <si>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</si>
  <si>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</si>
  <si>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</si>
  <si>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</si>
  <si>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</si>
  <si>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</si>
  <si>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</si>
  <si>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</si>
  <si>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</si>
  <si>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</si>
  <si>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</si>
  <si>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</si>
  <si>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</si>
  <si>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</si>
  <si>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</si>
  <si>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</si>
  <si>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</si>
  <si>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</si>
  <si>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</si>
  <si>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</si>
  <si>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</si>
  <si>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</si>
  <si>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</si>
  <si>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</si>
  <si>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</si>
  <si>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</si>
  <si>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</si>
  <si>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</si>
  <si>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</si>
  <si>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</si>
  <si>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</si>
  <si>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</si>
  <si>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</si>
  <si>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</si>
  <si>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</si>
  <si>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</si>
  <si>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</si>
  <si>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</si>
  <si>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</si>
  <si>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</si>
  <si>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</si>
  <si>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</si>
  <si>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</si>
  <si>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</si>
  <si>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</si>
  <si>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</si>
  <si>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</si>
  <si>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</si>
  <si>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</si>
  <si>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</si>
  <si>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</si>
  <si>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</si>
  <si>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</si>
  <si>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</si>
  <si>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</si>
  <si>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</si>
  <si>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</si>
  <si>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</si>
  <si>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</si>
  <si>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</si>
  <si>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</si>
  <si>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</si>
  <si>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</si>
  <si>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</si>
  <si>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</si>
  <si>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</si>
  <si>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</si>
  <si>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</si>
  <si>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</si>
  <si>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</si>
  <si>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</si>
  <si>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</si>
  <si>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</si>
  <si>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</si>
  <si>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</si>
  <si>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</si>
  <si>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</si>
  <si>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</si>
  <si>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</si>
  <si>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</si>
  <si>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</si>
  <si>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</si>
  <si>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</si>
  <si>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</si>
  <si>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</si>
  <si>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</si>
  <si>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</si>
  <si>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</si>
  <si>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</si>
  <si>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</si>
  <si>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</si>
  <si>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</si>
  <si>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</si>
  <si>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</si>
  <si>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</si>
  <si>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</si>
  <si>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</si>
  <si>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</si>
  <si>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</si>
  <si>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</si>
  <si>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</si>
  <si>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</si>
  <si>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</si>
  <si>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</si>
  <si>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</si>
  <si>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</si>
  <si>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</si>
  <si>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</si>
  <si>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</si>
  <si>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</si>
  <si>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</si>
  <si>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</si>
  <si>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</si>
  <si>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</si>
  <si>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</si>
  <si>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</si>
  <si>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</si>
  <si>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</si>
  <si>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</si>
  <si>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</si>
  <si>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</si>
  <si>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</si>
  <si>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</si>
  <si>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</si>
  <si>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</si>
  <si>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</si>
  <si>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</si>
  <si>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</si>
  <si>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</si>
  <si>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</si>
  <si>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</si>
  <si>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</si>
  <si>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</si>
  <si>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</si>
  <si>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</si>
  <si>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</si>
  <si>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</si>
  <si>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</si>
  <si>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</si>
  <si>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</si>
  <si>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</si>
  <si>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</si>
  <si>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</si>
  <si>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</si>
  <si>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</si>
  <si>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</si>
  <si>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</si>
  <si>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</si>
  <si>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</si>
  <si>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</si>
  <si>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</si>
  <si>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</si>
  <si>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</si>
  <si>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</si>
  <si>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</si>
  <si>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</si>
  <si>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</si>
  <si>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</si>
  <si>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</si>
  <si>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</si>
  <si>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</si>
  <si>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</si>
  <si>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</si>
  <si>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</si>
  <si>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</si>
  <si>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</si>
  <si>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</si>
  <si>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</si>
  <si>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</si>
  <si>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</si>
  <si>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</si>
  <si>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</si>
  <si>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</si>
  <si>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</si>
  <si>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</si>
  <si>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</si>
  <si>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</si>
  <si>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</si>
  <si>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</si>
  <si>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</si>
  <si>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</si>
  <si>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</si>
  <si>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</si>
  <si>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</si>
  <si>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</si>
  <si>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</si>
  <si>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</si>
  <si>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</si>
  <si>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</si>
  <si>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</si>
  <si>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</si>
  <si>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</si>
  <si>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</si>
  <si>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</si>
  <si>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</si>
  <si>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</si>
  <si>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</si>
  <si>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</si>
  <si>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</si>
  <si>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</si>
  <si>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</si>
  <si>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</si>
  <si>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</si>
  <si>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</si>
  <si>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</si>
  <si>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</si>
  <si>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</si>
  <si>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</si>
  <si>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</si>
  <si>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</si>
  <si>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</si>
  <si>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</si>
  <si>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</si>
  <si>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</si>
  <si>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</si>
  <si>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</si>
  <si>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</si>
  <si>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</si>
  <si>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</si>
  <si>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</si>
  <si>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</si>
  <si>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</si>
  <si>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</si>
  <si>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</si>
  <si>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</si>
  <si>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</si>
  <si>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</si>
  <si>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</si>
  <si>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</si>
  <si>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</si>
  <si>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</si>
  <si>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</si>
  <si>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</si>
  <si>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</si>
  <si>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</si>
  <si>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</si>
  <si>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</si>
  <si>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</si>
  <si>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</si>
  <si>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</si>
  <si>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</si>
  <si>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</si>
  <si>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</si>
  <si>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</si>
  <si>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</si>
  <si>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</si>
  <si>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</si>
  <si>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</si>
  <si>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</si>
  <si>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</si>
  <si>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</si>
  <si>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</si>
  <si>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</si>
  <si>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</si>
  <si>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</si>
  <si>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</si>
  <si>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</si>
  <si>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</si>
  <si>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</si>
  <si>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</si>
  <si>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</si>
  <si>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</si>
  <si>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</si>
  <si>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</si>
  <si>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</si>
  <si>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</si>
  <si>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</si>
  <si>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</si>
  <si>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</si>
  <si>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</si>
  <si>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</si>
  <si>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</si>
  <si>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</si>
  <si>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</si>
  <si>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</si>
  <si>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</si>
  <si>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</si>
  <si>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</si>
  <si>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</si>
  <si>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</si>
  <si>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</si>
  <si>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</si>
  <si>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</si>
  <si>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</si>
  <si>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</si>
  <si>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</si>
  <si>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</si>
  <si>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</si>
  <si>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</si>
  <si>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</si>
  <si>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</si>
  <si>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</si>
  <si>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</si>
  <si>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</si>
  <si>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</si>
  <si>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</si>
  <si>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</si>
  <si>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</si>
  <si>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</si>
  <si>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</si>
  <si>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</si>
  <si>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</si>
  <si>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</si>
  <si>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</si>
  <si>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</si>
  <si>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</si>
  <si>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</si>
  <si>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</si>
  <si>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</si>
  <si>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</si>
  <si>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</si>
  <si>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</si>
  <si>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</si>
  <si>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</si>
  <si>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</si>
  <si>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</si>
  <si>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</si>
  <si>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</si>
  <si>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</si>
  <si>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</si>
  <si>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</si>
  <si>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</si>
  <si>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</si>
  <si>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</si>
  <si>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</si>
  <si>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</si>
  <si>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</si>
  <si>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</si>
  <si>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</si>
  <si>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</si>
  <si>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</si>
  <si>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</si>
  <si>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</si>
  <si>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</si>
  <si>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</si>
  <si>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</si>
  <si>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</si>
  <si>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</si>
  <si>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</si>
  <si>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</si>
  <si>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</si>
  <si>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</si>
  <si>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</si>
  <si>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</si>
  <si>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</si>
  <si>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</si>
  <si>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</si>
  <si>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</si>
  <si>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</si>
  <si>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</si>
  <si>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</si>
  <si>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</si>
  <si>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</si>
  <si>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</si>
  <si>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</si>
  <si>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</si>
  <si>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</si>
  <si>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</si>
  <si>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</si>
  <si>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</si>
  <si>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</si>
  <si>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</si>
  <si>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</si>
  <si>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</si>
  <si>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</si>
  <si>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</si>
  <si>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</si>
  <si>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</si>
  <si>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</si>
  <si>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</si>
  <si>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</si>
  <si>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</si>
  <si>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</si>
  <si>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</si>
  <si>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</si>
  <si>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</si>
  <si>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</si>
  <si>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</si>
  <si>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</si>
  <si>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</si>
  <si>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</si>
  <si>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</si>
  <si>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</si>
  <si>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</si>
  <si>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</si>
  <si>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</si>
  <si>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</si>
  <si>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</si>
  <si>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</si>
  <si>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</si>
  <si>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</si>
  <si>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</si>
  <si>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</si>
  <si>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</si>
  <si>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</si>
  <si>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</si>
  <si>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</si>
  <si>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</si>
  <si>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</si>
  <si>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</si>
  <si>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</si>
  <si>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</si>
  <si>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</si>
  <si>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</si>
  <si>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</si>
  <si>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</si>
  <si>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</si>
  <si>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</si>
  <si>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</si>
  <si>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</si>
  <si>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</si>
  <si>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</si>
  <si>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</si>
  <si>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</si>
  <si>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</si>
  <si>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</si>
  <si>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</si>
  <si>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</si>
  <si>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</si>
  <si>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</si>
  <si>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</si>
  <si>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</si>
  <si>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</si>
  <si>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</si>
  <si>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</si>
  <si>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</si>
  <si>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</si>
  <si>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</si>
  <si>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</si>
  <si>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</si>
  <si>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</si>
  <si>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</si>
  <si>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</si>
  <si>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</si>
  <si>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</si>
  <si>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</si>
  <si>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</si>
  <si>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</si>
  <si>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</si>
  <si>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</si>
  <si>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</si>
  <si>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</si>
  <si>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</si>
  <si>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</si>
  <si>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</si>
  <si>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</si>
  <si>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</si>
  <si>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</si>
  <si>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</si>
  <si>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</si>
  <si>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</si>
  <si>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</si>
  <si>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</si>
  <si>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</si>
  <si>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</si>
  <si>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</si>
  <si>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</si>
  <si>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</si>
  <si>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</si>
  <si>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</si>
  <si>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</si>
  <si>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</si>
  <si>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</si>
  <si>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</si>
  <si>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</si>
  <si>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</si>
  <si>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</si>
  <si>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</si>
  <si>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</si>
  <si>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</si>
  <si>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</si>
  <si>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</si>
  <si>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</si>
  <si>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</si>
  <si>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</si>
  <si>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</si>
  <si>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</si>
  <si>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</si>
  <si>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</si>
  <si>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</si>
  <si>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</si>
  <si>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</si>
  <si>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</si>
  <si>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</si>
  <si>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</si>
  <si>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</si>
  <si>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</si>
  <si>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</si>
  <si>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</si>
  <si>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</si>
  <si>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</si>
  <si>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</si>
  <si>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</si>
  <si>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</si>
  <si>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</si>
  <si>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</si>
  <si>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</si>
  <si>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</si>
  <si>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</si>
  <si>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</si>
  <si>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</si>
  <si>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</si>
  <si>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</si>
  <si>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</si>
  <si>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</si>
  <si>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</si>
  <si>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</si>
  <si>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</si>
  <si>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</si>
  <si>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</si>
  <si>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</si>
  <si>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</si>
  <si>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</si>
  <si>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</si>
  <si>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</si>
  <si>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</si>
  <si>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</si>
  <si>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</si>
  <si>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</si>
  <si>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</si>
  <si>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</si>
  <si>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</si>
  <si>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</si>
  <si>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</si>
  <si>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</si>
  <si>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</si>
  <si>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</si>
  <si>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</si>
  <si>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</si>
  <si>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</si>
  <si>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</si>
  <si>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</si>
  <si>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</si>
  <si>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</si>
  <si>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</si>
  <si>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</si>
  <si>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</si>
  <si>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</si>
  <si>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</si>
  <si>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</si>
  <si>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</si>
  <si>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</si>
  <si>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</si>
  <si>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</si>
  <si>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</si>
  <si>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</si>
  <si>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</si>
  <si>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</si>
  <si>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</si>
  <si>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</si>
  <si>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</si>
  <si>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</si>
  <si>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</si>
  <si>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</si>
  <si>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</si>
  <si>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</si>
  <si>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</si>
  <si>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</si>
  <si>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</si>
  <si>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</si>
  <si>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</si>
  <si>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</si>
  <si>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</si>
  <si>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</si>
  <si>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</si>
  <si>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</si>
  <si>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</si>
  <si>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</si>
  <si>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</si>
  <si>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</si>
  <si>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</si>
  <si>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</si>
  <si>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</si>
  <si>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</si>
  <si>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</si>
  <si>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</si>
  <si>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</si>
  <si>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</si>
  <si>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</si>
  <si>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</si>
  <si>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</si>
  <si>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</si>
  <si>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</si>
  <si>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</si>
  <si>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</si>
  <si>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</si>
  <si>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</si>
  <si>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</si>
  <si>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</si>
  <si>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</si>
  <si>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</si>
  <si>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</si>
  <si>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</si>
  <si>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</si>
  <si>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</si>
  <si>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</si>
  <si>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</si>
  <si>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</si>
  <si>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</si>
  <si>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</si>
  <si>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</si>
  <si>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</si>
  <si>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</si>
  <si>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</si>
  <si>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</si>
  <si>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</si>
  <si>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</si>
  <si>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</si>
  <si>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</si>
  <si>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</si>
  <si>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</si>
  <si>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</si>
  <si>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</si>
  <si>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</si>
  <si>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</si>
  <si>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</si>
  <si>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</si>
  <si>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</si>
  <si>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</si>
  <si>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</si>
  <si>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</si>
  <si>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</si>
  <si>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</si>
  <si>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</si>
  <si>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</si>
  <si>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</si>
  <si>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</si>
  <si>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</si>
  <si>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</si>
  <si>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</si>
  <si>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</si>
  <si>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</si>
  <si>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</si>
  <si>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</si>
  <si>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</si>
  <si>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</si>
  <si>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</si>
  <si>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</si>
  <si>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</si>
  <si>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</si>
  <si>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</si>
  <si>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</si>
  <si>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</si>
  <si>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</si>
  <si>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</si>
  <si>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</si>
  <si>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</si>
  <si>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</si>
  <si>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</si>
  <si>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</si>
  <si>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</si>
  <si>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</si>
  <si>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</si>
  <si>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</si>
  <si>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</si>
  <si>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</si>
  <si>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</si>
  <si>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</si>
  <si>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</si>
  <si>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</si>
  <si>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</si>
  <si>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</si>
  <si>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</si>
  <si>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</si>
  <si>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</si>
  <si>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</si>
  <si>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</si>
  <si>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</si>
  <si>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</si>
  <si>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</si>
  <si>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</si>
  <si>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</si>
  <si>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</si>
  <si>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</si>
  <si>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</si>
  <si>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</si>
  <si>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</si>
  <si>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</si>
  <si>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</si>
  <si>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</si>
  <si>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</si>
  <si>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</si>
  <si>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</si>
  <si>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</si>
  <si>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</si>
  <si>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</si>
  <si>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</si>
  <si>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</si>
  <si>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</si>
  <si>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</si>
  <si>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</si>
  <si>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</si>
  <si>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</si>
  <si>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</si>
  <si>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</si>
  <si>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</si>
  <si>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</si>
  <si>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</si>
  <si>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</si>
  <si>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</si>
  <si>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</si>
  <si>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</si>
  <si>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</si>
  <si>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</si>
  <si>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</si>
  <si>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</si>
  <si>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</si>
  <si>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</si>
  <si>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</si>
  <si>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</si>
  <si>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</si>
  <si>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</si>
  <si>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</si>
  <si>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</si>
  <si>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</si>
  <si>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</si>
  <si>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</si>
  <si>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</si>
  <si>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</si>
  <si>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</si>
  <si>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</si>
  <si>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</si>
  <si>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</si>
  <si>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</si>
  <si>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</si>
  <si>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</si>
  <si>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</si>
  <si>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</si>
  <si>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</si>
  <si>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</si>
  <si>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</si>
  <si>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</si>
  <si>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</si>
  <si>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</si>
  <si>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</si>
  <si>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</si>
  <si>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</si>
  <si>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</si>
  <si>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</si>
  <si>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</si>
  <si>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</si>
  <si>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</si>
  <si>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</si>
  <si>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</si>
  <si>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</si>
  <si>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</si>
  <si>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</si>
  <si>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</si>
  <si>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</si>
  <si>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</si>
  <si>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</si>
  <si>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</si>
  <si>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</si>
  <si>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</si>
  <si>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</si>
  <si>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</si>
  <si>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</si>
  <si>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</si>
  <si>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</si>
  <si>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</si>
  <si>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</si>
  <si>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</si>
  <si>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</si>
  <si>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</si>
  <si>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</si>
  <si>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</si>
  <si>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</si>
  <si>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</si>
  <si>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</si>
  <si>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</si>
  <si>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</si>
  <si>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</si>
  <si>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</si>
  <si>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</si>
  <si>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</si>
  <si>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</si>
  <si>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</si>
  <si>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</si>
  <si>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</si>
  <si>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</si>
  <si>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</si>
  <si>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</si>
  <si>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</si>
  <si>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</si>
  <si>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</si>
  <si>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</si>
  <si>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</si>
  <si>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</si>
  <si>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</si>
  <si>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</si>
  <si>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</si>
  <si>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</si>
  <si>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</si>
  <si>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</si>
  <si>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</si>
  <si>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</si>
  <si>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</si>
  <si>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</si>
  <si>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</si>
  <si>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</si>
  <si>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</si>
  <si>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</si>
  <si>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</si>
  <si>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</si>
  <si>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</si>
  <si>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</si>
  <si>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</si>
  <si>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</si>
  <si>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</si>
  <si>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</si>
  <si>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</si>
  <si>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</si>
  <si>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</si>
  <si>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</si>
  <si>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</si>
  <si>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</si>
  <si>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</si>
  <si>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</si>
  <si>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</si>
  <si>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</si>
  <si>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</si>
  <si>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</si>
  <si>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</si>
  <si>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</si>
  <si>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</si>
  <si>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</si>
  <si>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</si>
  <si>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</si>
  <si>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</si>
  <si>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</si>
  <si>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</si>
  <si>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</si>
  <si>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</si>
  <si>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</si>
  <si>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</si>
  <si>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</si>
  <si>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</si>
  <si>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</si>
  <si>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</si>
  <si>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</si>
  <si>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</si>
  <si>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</si>
  <si>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</si>
  <si>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</si>
  <si>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</si>
  <si>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</si>
  <si>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</si>
  <si>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</si>
  <si>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</si>
  <si>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</si>
  <si>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</si>
  <si>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</si>
  <si>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</si>
  <si>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</si>
  <si>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</si>
  <si>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</si>
  <si>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</si>
  <si>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</si>
  <si>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</si>
  <si>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</si>
  <si>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</si>
  <si>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</si>
  <si>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</si>
  <si>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</si>
  <si>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</si>
  <si>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</si>
  <si>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</si>
  <si>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</si>
  <si>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</si>
  <si>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</si>
  <si>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</si>
  <si>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</si>
  <si>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</si>
  <si>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</si>
  <si>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</si>
  <si>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</si>
  <si>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</si>
  <si>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</si>
  <si>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</si>
  <si>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</si>
  <si>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</si>
  <si>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</si>
  <si>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</si>
  <si>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</si>
  <si>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</si>
  <si>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</si>
  <si>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</si>
  <si>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</si>
  <si>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</si>
  <si>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</si>
  <si>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</si>
  <si>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</si>
  <si>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</si>
  <si>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</si>
  <si>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</si>
  <si>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</si>
  <si>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</si>
  <si>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</si>
  <si>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</si>
  <si>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</si>
  <si>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</si>
  <si>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</si>
  <si>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</si>
  <si>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</si>
  <si>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</si>
  <si>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</si>
  <si>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</si>
  <si>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</si>
  <si>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</si>
  <si>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</si>
  <si>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</si>
  <si>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</si>
  <si>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</si>
  <si>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</si>
  <si>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</si>
  <si>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</si>
  <si>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</si>
  <si>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</si>
  <si>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</si>
  <si>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</si>
  <si>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</si>
  <si>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</si>
  <si>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</si>
  <si>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</si>
  <si>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</si>
  <si>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</si>
  <si>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</si>
  <si>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</si>
  <si>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</si>
  <si>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</si>
  <si>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</si>
  <si>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</si>
  <si>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</si>
  <si>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</si>
  <si>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</si>
  <si>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</si>
  <si>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</si>
  <si>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</si>
  <si>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</si>
  <si>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</si>
  <si>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</si>
  <si>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</si>
  <si>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</si>
  <si>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</si>
  <si>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</si>
  <si>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</si>
  <si>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</si>
  <si>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</si>
  <si>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</si>
  <si>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</si>
  <si>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</si>
  <si>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</si>
  <si>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</si>
  <si>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</si>
  <si>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</si>
  <si>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</si>
  <si>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</si>
  <si>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</si>
  <si>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</si>
  <si>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</si>
  <si>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</si>
  <si>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</si>
  <si>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</si>
  <si>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</si>
  <si>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</si>
  <si>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</si>
  <si>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</si>
  <si>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</si>
  <si>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</si>
  <si>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</si>
  <si>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</si>
  <si>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</si>
  <si>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</si>
  <si>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</si>
  <si>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</si>
  <si>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</si>
  <si>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</si>
  <si>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</si>
  <si>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</si>
  <si>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</si>
  <si>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</si>
  <si>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</si>
  <si>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</si>
  <si>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</si>
  <si>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</si>
  <si>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</si>
  <si>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</si>
  <si>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</si>
  <si>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</si>
  <si>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</si>
  <si>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</si>
  <si>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</si>
  <si>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</si>
  <si>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</si>
  <si>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</si>
  <si>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</si>
  <si>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</si>
  <si>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</si>
  <si>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</si>
  <si>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</si>
  <si>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</si>
  <si>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</si>
  <si>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</si>
  <si>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</si>
  <si>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</si>
  <si>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</si>
  <si>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</si>
  <si>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</si>
  <si>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</si>
  <si>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</si>
  <si>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</si>
  <si>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</si>
  <si>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</si>
  <si>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</si>
  <si>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</si>
  <si>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</si>
  <si>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</si>
  <si>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</si>
  <si>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</si>
  <si>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</si>
  <si>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</si>
  <si>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</si>
  <si>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</si>
  <si>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</si>
  <si>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</si>
  <si>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</si>
  <si>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</si>
  <si>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</si>
  <si>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</si>
  <si>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</si>
  <si>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</si>
  <si>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</si>
  <si>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</si>
  <si>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</si>
  <si>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</si>
  <si>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</si>
  <si>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</si>
  <si>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</si>
  <si>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</si>
  <si>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</si>
  <si>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</si>
  <si>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</si>
  <si>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</si>
  <si>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</si>
  <si>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</si>
  <si>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</si>
  <si>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</si>
  <si>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</si>
  <si>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</si>
  <si>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</si>
  <si>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</si>
  <si>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</si>
  <si>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</si>
  <si>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</si>
  <si>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</si>
  <si>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</si>
  <si>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</si>
  <si>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</si>
  <si>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</si>
  <si>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</si>
  <si>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</si>
  <si>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</si>
  <si>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</si>
  <si>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</si>
  <si>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</si>
  <si>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</si>
  <si>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</si>
  <si>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</si>
  <si>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</si>
  <si>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</si>
  <si>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</si>
  <si>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</si>
  <si>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</si>
  <si>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</si>
  <si>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</si>
  <si>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</si>
  <si>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</si>
  <si>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</si>
  <si>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</si>
  <si>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</si>
  <si>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</si>
  <si>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</si>
  <si>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</si>
  <si>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</si>
  <si>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</si>
  <si>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</si>
  <si>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</si>
  <si>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</si>
  <si>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</si>
  <si>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</si>
  <si>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</si>
  <si>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</si>
  <si>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</si>
  <si>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</si>
  <si>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</si>
  <si>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</si>
  <si>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</si>
  <si>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</si>
  <si>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</si>
  <si>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</si>
  <si>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</si>
  <si>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</si>
  <si>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</si>
  <si>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</si>
  <si>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</si>
  <si>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</si>
  <si>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</si>
  <si>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</si>
  <si>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</si>
  <si>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</si>
  <si>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</si>
  <si>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</si>
  <si>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</si>
  <si>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</si>
  <si>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</si>
  <si>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</si>
  <si>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</si>
  <si>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</si>
  <si>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</si>
  <si>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</si>
  <si>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</si>
  <si>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</si>
  <si>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</si>
  <si>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</si>
  <si>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</si>
  <si>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</si>
  <si>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</si>
  <si>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</si>
  <si>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</si>
  <si>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</si>
  <si>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</si>
  <si>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</si>
  <si>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</si>
  <si>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</si>
  <si>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</si>
  <si>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</si>
  <si>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</si>
  <si>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</si>
  <si>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</si>
  <si>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</si>
  <si>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</si>
  <si>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</si>
  <si>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</si>
  <si>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</si>
  <si>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</si>
  <si>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</si>
  <si>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</si>
  <si>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</si>
  <si>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</si>
  <si>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</si>
  <si>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</si>
  <si>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</si>
  <si>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</si>
  <si>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</si>
  <si>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</si>
  <si>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</si>
  <si>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</si>
  <si>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</si>
  <si>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</si>
  <si>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</si>
  <si>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</si>
  <si>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</si>
  <si>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</si>
  <si>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</si>
  <si>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</si>
  <si>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</si>
  <si>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</si>
  <si>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</si>
  <si>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</si>
  <si>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</si>
  <si>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</si>
  <si>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</si>
  <si>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</si>
  <si>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</si>
  <si>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</si>
  <si>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</si>
  <si>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</si>
  <si>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</si>
  <si>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</si>
  <si>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</si>
  <si>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</si>
  <si>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</si>
  <si>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</si>
  <si>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</si>
  <si>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</si>
  <si>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</si>
  <si>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</si>
  <si>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</si>
  <si>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</si>
  <si>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</si>
  <si>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</si>
  <si>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</si>
  <si>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</si>
  <si>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</si>
  <si>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</si>
  <si>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</si>
  <si>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</si>
  <si>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</si>
  <si>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</si>
  <si>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</si>
  <si>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</si>
  <si>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</si>
  <si>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</si>
  <si>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</si>
  <si>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</si>
  <si>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</si>
  <si>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</si>
  <si>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</si>
  <si>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</si>
  <si>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</si>
  <si>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</si>
  <si>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</si>
  <si>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</si>
  <si>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</si>
  <si>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</si>
  <si>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</si>
  <si>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</si>
  <si>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</si>
  <si>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</si>
  <si>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</si>
  <si>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</si>
  <si>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</si>
  <si>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</si>
  <si>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</si>
  <si>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</si>
  <si>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</si>
  <si>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</si>
  <si>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</si>
  <si>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</si>
  <si>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</si>
  <si>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</si>
  <si>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</si>
  <si>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</si>
  <si>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</si>
  <si>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</si>
  <si>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</si>
  <si>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</si>
  <si>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</si>
  <si>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</si>
  <si>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</si>
  <si>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</si>
  <si>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</si>
  <si>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</si>
  <si>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</si>
  <si>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</si>
  <si>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</si>
  <si>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</si>
  <si>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</si>
  <si>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</si>
  <si>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</si>
  <si>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</si>
  <si>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</si>
  <si>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</si>
  <si>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</si>
  <si>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</si>
  <si>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</si>
  <si>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</si>
  <si>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</si>
  <si>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</si>
  <si>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</si>
  <si>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</si>
  <si>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</si>
  <si>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</si>
  <si>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</si>
  <si>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</si>
  <si>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</si>
  <si>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</si>
  <si>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</si>
  <si>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</si>
  <si>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</si>
  <si>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</si>
  <si>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</si>
  <si>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</si>
  <si>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</si>
  <si>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</si>
  <si>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</si>
  <si>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</si>
  <si>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</si>
  <si>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</si>
  <si>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</si>
  <si>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</si>
  <si>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</si>
  <si>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</si>
  <si>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</si>
  <si>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</si>
  <si>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</si>
  <si>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</si>
  <si>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</si>
  <si>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</si>
  <si>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</si>
  <si>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</si>
  <si>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</si>
  <si>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</si>
  <si>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</si>
  <si>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</si>
  <si>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</si>
  <si>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</si>
  <si>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</si>
  <si>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</si>
  <si>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</si>
  <si>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</si>
  <si>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</si>
  <si>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</si>
  <si>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</si>
  <si>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</si>
  <si>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</si>
  <si>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</si>
  <si>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</si>
  <si>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</si>
  <si>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</si>
  <si>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</si>
  <si>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</si>
  <si>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</si>
  <si>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</si>
  <si>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</si>
  <si>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</si>
  <si>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</si>
  <si>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</si>
  <si>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</si>
  <si>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</si>
  <si>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</si>
  <si>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</si>
  <si>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</si>
  <si>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</si>
  <si>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</si>
  <si>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</si>
  <si>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</si>
  <si>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</si>
  <si>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</si>
  <si>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</si>
  <si>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</si>
  <si>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</si>
  <si>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</si>
  <si>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</si>
  <si>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</si>
  <si>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</si>
  <si>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</si>
  <si>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</si>
  <si>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</si>
  <si>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</si>
  <si>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</si>
  <si>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</si>
  <si>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</si>
  <si>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</si>
  <si>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</si>
  <si>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</si>
  <si>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</si>
  <si>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</si>
  <si>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</si>
  <si>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</si>
  <si>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</si>
  <si>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</si>
  <si>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</si>
  <si>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</si>
  <si>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</si>
  <si>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</si>
  <si>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</si>
  <si>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</si>
  <si>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</si>
  <si>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</si>
  <si>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</si>
  <si>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</si>
  <si>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</si>
  <si>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</si>
  <si>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</si>
  <si>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</si>
  <si>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</si>
  <si>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</si>
  <si>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</si>
  <si>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</si>
  <si>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</si>
  <si>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</si>
  <si>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</si>
  <si>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</si>
  <si>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</si>
  <si>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</si>
  <si>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</si>
  <si>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</si>
  <si>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</si>
  <si>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</si>
  <si>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</si>
  <si>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</si>
  <si>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</si>
  <si>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</si>
  <si>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</si>
  <si>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</si>
  <si>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</si>
  <si>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</si>
  <si>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</si>
  <si>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</si>
  <si>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</si>
  <si>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</si>
  <si>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</si>
  <si>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</si>
  <si>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</si>
  <si>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</si>
  <si>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</si>
  <si>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</si>
  <si>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</si>
  <si>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</si>
  <si>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</si>
  <si>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</si>
  <si>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</si>
  <si>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</si>
  <si>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</si>
  <si>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</si>
  <si>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</si>
  <si>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</si>
  <si>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</si>
  <si>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</si>
  <si>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</si>
  <si>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</si>
  <si>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</si>
  <si>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</si>
  <si>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</si>
  <si>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</si>
  <si>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</si>
  <si>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</si>
  <si>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</si>
  <si>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</si>
  <si>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</si>
  <si>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</si>
  <si>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</si>
  <si>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</si>
  <si>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</si>
  <si>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</si>
  <si>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</si>
  <si>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</si>
  <si>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</si>
  <si>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</si>
  <si>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</si>
  <si>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</si>
  <si>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</si>
  <si>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</si>
  <si>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</si>
  <si>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</si>
  <si>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</si>
  <si>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</si>
  <si>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</si>
  <si>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</si>
  <si>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</si>
  <si>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</si>
  <si>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</si>
  <si>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</si>
  <si>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</si>
  <si>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</si>
  <si>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</si>
  <si>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</si>
  <si>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</si>
  <si>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</si>
  <si>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</si>
  <si>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</si>
  <si>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</si>
  <si>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</si>
  <si>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</si>
  <si>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</si>
  <si>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</si>
  <si>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</si>
  <si>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</si>
  <si>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</si>
  <si>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</si>
  <si>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</si>
  <si>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</si>
  <si>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</si>
  <si>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</si>
  <si>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</si>
  <si>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</si>
  <si>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</si>
  <si>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</si>
  <si>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</si>
  <si>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</si>
  <si>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</si>
  <si>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</si>
  <si>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</si>
  <si>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</si>
  <si>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</si>
  <si>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</si>
  <si>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</si>
  <si>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</si>
  <si>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</si>
  <si>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</si>
  <si>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</si>
  <si>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</si>
  <si>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</si>
  <si>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</si>
  <si>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</si>
  <si>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</si>
  <si>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</si>
  <si>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</si>
  <si>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</si>
  <si>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</si>
  <si>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</si>
  <si>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</si>
  <si>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</si>
  <si>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</si>
  <si>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</si>
  <si>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</si>
  <si>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</si>
  <si>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</si>
  <si>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</si>
  <si>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</si>
  <si>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</si>
  <si>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</si>
  <si>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</si>
  <si>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</si>
  <si>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</si>
  <si>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</si>
  <si>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</si>
  <si>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</si>
  <si>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</si>
  <si>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</si>
  <si>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</si>
  <si>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</si>
  <si>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</si>
  <si>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</si>
  <si>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</si>
  <si>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</si>
  <si>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</si>
  <si>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</si>
  <si>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</si>
  <si>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</si>
  <si>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</si>
  <si>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</si>
  <si>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</si>
  <si>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</si>
  <si>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</si>
  <si>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</si>
  <si>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</si>
  <si>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</si>
  <si>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</si>
  <si>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</si>
  <si>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</si>
  <si>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</si>
  <si>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</si>
  <si>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</si>
  <si>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</si>
  <si>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</si>
  <si>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</si>
  <si>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</si>
  <si>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</si>
  <si>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</si>
  <si>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</si>
  <si>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</si>
  <si>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</si>
  <si>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</si>
  <si>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</si>
  <si>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</si>
  <si>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</si>
  <si>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</si>
  <si>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</si>
  <si>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</si>
  <si>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</si>
  <si>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</si>
  <si>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</si>
  <si>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</si>
  <si>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</si>
  <si>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</si>
  <si>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</si>
  <si>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</si>
  <si>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</si>
  <si>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</si>
  <si>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</si>
  <si>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</si>
  <si>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</si>
  <si>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</si>
  <si>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</si>
  <si>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</si>
  <si>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</si>
  <si>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</si>
  <si>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</si>
  <si>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</si>
  <si>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</si>
  <si>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</si>
  <si>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</si>
  <si>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</si>
  <si>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</si>
  <si>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</si>
  <si>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</si>
  <si>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</si>
  <si>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</si>
  <si>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</si>
  <si>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</si>
  <si>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</si>
  <si>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</si>
  <si>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</si>
  <si>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</si>
  <si>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</si>
  <si>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</si>
  <si>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</si>
  <si>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</si>
  <si>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</si>
  <si>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</si>
  <si>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</si>
  <si>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</si>
  <si>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</si>
  <si>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</si>
  <si>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</si>
  <si>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</si>
  <si>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</si>
  <si>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</si>
  <si>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</si>
  <si>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</si>
  <si>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</si>
  <si>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</si>
  <si>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</si>
  <si>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</si>
  <si>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</si>
  <si>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</si>
  <si>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</si>
  <si>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</si>
  <si>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</si>
  <si>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</si>
  <si>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</si>
  <si>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</si>
  <si>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</si>
  <si>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</si>
  <si>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</si>
  <si>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</si>
  <si>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</si>
  <si>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</si>
  <si>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</si>
  <si>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</si>
  <si>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</si>
  <si>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</si>
  <si>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</si>
  <si>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</si>
  <si>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</si>
  <si>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</si>
  <si>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</si>
  <si>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</si>
  <si>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</si>
  <si>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</si>
  <si>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</si>
  <si>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</si>
  <si>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</si>
  <si>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</si>
  <si>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</si>
  <si>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</si>
  <si>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</si>
  <si>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</si>
  <si>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</si>
  <si>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</si>
  <si>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</si>
  <si>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</si>
  <si>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</si>
  <si>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</si>
  <si>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</si>
  <si>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</si>
  <si>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</si>
  <si>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</si>
  <si>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</si>
  <si>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</si>
  <si>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</si>
  <si>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</si>
  <si>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</si>
  <si>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</si>
  <si>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</si>
  <si>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</si>
  <si>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</si>
  <si>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</si>
  <si>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</si>
  <si>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</si>
  <si>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</si>
  <si>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</si>
  <si>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</si>
  <si>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</si>
  <si>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</si>
  <si>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</si>
  <si>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</si>
  <si>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</si>
  <si>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</si>
  <si>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</si>
  <si>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</si>
  <si>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</si>
  <si>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</si>
  <si>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</si>
  <si>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</si>
  <si>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</si>
  <si>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</si>
  <si>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</si>
  <si>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</si>
  <si>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</si>
  <si>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</si>
  <si>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</si>
  <si>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</si>
  <si>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</si>
  <si>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</si>
  <si>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</si>
  <si>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</si>
  <si>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</si>
  <si>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</si>
  <si>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</si>
  <si>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</si>
  <si>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</si>
  <si>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</si>
  <si>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</si>
  <si>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</si>
  <si>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</si>
  <si>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</si>
  <si>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</si>
  <si>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</si>
  <si>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</si>
  <si>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</si>
  <si>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</si>
  <si>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</si>
  <si>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</si>
  <si>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</si>
  <si>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</si>
  <si>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</si>
  <si>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</si>
  <si>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</si>
  <si>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</si>
  <si>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</si>
  <si>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</si>
  <si>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</si>
  <si>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</si>
  <si>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</si>
  <si>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</si>
  <si>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</si>
  <si>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</si>
  <si>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</si>
  <si>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</si>
  <si>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</si>
  <si>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</si>
  <si>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</si>
  <si>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</si>
  <si>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</si>
  <si>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</si>
  <si>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</si>
  <si>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</si>
  <si>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</si>
  <si>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</si>
  <si>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</si>
  <si>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</si>
  <si>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</si>
  <si>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</si>
  <si>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</si>
  <si>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</si>
  <si>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</si>
  <si>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</si>
  <si>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</si>
  <si>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</si>
  <si>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</si>
  <si>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</si>
  <si>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</si>
  <si>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</si>
  <si>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</si>
  <si>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</si>
  <si>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</si>
  <si>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</si>
  <si>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</si>
  <si>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</si>
  <si>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</si>
  <si>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</si>
  <si>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</si>
  <si>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</si>
  <si>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</si>
  <si>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</si>
  <si>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</si>
  <si>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</si>
  <si>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</si>
  <si>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</si>
  <si>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</si>
  <si>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</si>
  <si>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</si>
  <si>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</si>
  <si>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</si>
  <si>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</si>
  <si>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</si>
  <si>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</si>
  <si>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</si>
  <si>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</si>
  <si>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</si>
  <si>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</si>
  <si>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</si>
  <si>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</si>
  <si>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</si>
  <si>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</si>
  <si>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</si>
  <si>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</si>
  <si>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</si>
  <si>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</si>
  <si>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</si>
  <si>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</si>
  <si>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</si>
  <si>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</si>
  <si>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</si>
  <si>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</si>
  <si>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</si>
  <si>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</si>
  <si>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</si>
  <si>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</si>
  <si>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</si>
  <si>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</si>
  <si>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</si>
  <si>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</si>
  <si>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</si>
  <si>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</si>
  <si>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</si>
  <si>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</si>
  <si>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</si>
  <si>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</si>
  <si>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</si>
  <si>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</si>
  <si>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</si>
  <si>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</si>
  <si>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</si>
  <si>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</si>
  <si>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</si>
  <si>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</si>
  <si>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</si>
  <si>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</si>
  <si>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</si>
  <si>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</si>
  <si>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</si>
  <si>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</si>
  <si>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</si>
  <si>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</si>
  <si>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</si>
  <si>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</si>
  <si>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</si>
  <si>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</si>
  <si>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</si>
  <si>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</si>
  <si>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</si>
  <si>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</si>
  <si>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</si>
  <si>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</si>
  <si>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</si>
  <si>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</si>
  <si>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</si>
  <si>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</si>
  <si>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</si>
  <si>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</si>
  <si>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</si>
  <si>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</si>
  <si>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</si>
  <si>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</si>
  <si>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</si>
  <si>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</si>
  <si>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</si>
  <si>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</si>
  <si>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</si>
  <si>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</si>
  <si>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</si>
  <si>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</si>
  <si>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</si>
  <si>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</si>
  <si>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</si>
  <si>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</si>
  <si>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</si>
  <si>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</si>
  <si>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</si>
  <si>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</si>
  <si>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</si>
  <si>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</si>
  <si>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</si>
  <si>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</si>
  <si>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</si>
  <si>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</si>
  <si>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</si>
  <si>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</si>
  <si>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</si>
  <si>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</si>
  <si>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</si>
  <si>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</si>
  <si>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</si>
  <si>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</si>
  <si>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</si>
  <si>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</si>
  <si>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</si>
  <si>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</si>
  <si>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</si>
  <si>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</si>
  <si>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</si>
  <si>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</si>
  <si>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</si>
  <si>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</si>
  <si>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</si>
  <si>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</si>
  <si>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</si>
  <si>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</si>
  <si>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</si>
  <si>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</si>
  <si>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</si>
  <si>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</si>
  <si>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</si>
  <si>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</si>
  <si>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</si>
  <si>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</si>
  <si>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</si>
  <si>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</si>
  <si>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</si>
  <si>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</si>
  <si>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</si>
  <si>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</si>
  <si>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</si>
  <si>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</si>
  <si>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</si>
  <si>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</si>
  <si>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</si>
  <si>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</si>
  <si>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</si>
  <si>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</si>
  <si>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</si>
  <si>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</si>
  <si>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</si>
  <si>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</si>
  <si>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</si>
  <si>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</si>
  <si>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</si>
  <si>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</si>
  <si>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</si>
  <si>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</si>
  <si>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</si>
  <si>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</si>
  <si>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</si>
  <si>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</si>
  <si>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</si>
  <si>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</si>
  <si>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</si>
  <si>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</si>
  <si>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</si>
  <si>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</si>
  <si>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</si>
  <si>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</si>
  <si>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</si>
  <si>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</si>
  <si>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</si>
  <si>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</si>
  <si>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</si>
  <si>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</si>
  <si>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</si>
  <si>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</si>
  <si>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</si>
  <si>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</si>
  <si>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</si>
  <si>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</si>
  <si>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</si>
  <si>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</si>
  <si>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</si>
  <si>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</si>
  <si>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</si>
  <si>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</si>
  <si>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</si>
  <si>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</si>
  <si>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</si>
  <si>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</si>
  <si>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</si>
  <si>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</si>
  <si>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</si>
  <si>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</si>
  <si>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</si>
  <si>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</si>
  <si>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</si>
  <si>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</si>
  <si>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</si>
  <si>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</si>
  <si>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</si>
  <si>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</si>
  <si>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</si>
  <si>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</si>
  <si>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</si>
  <si>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</si>
  <si>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</si>
  <si>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</si>
  <si>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</si>
  <si>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</si>
  <si>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北京百肯商贸有限公司</t>
    <phoneticPr fontId="6" type="noConversion"/>
  </si>
  <si>
    <t>华夏银行</t>
    <phoneticPr fontId="6" type="noConversion"/>
  </si>
  <si>
    <t>抵押</t>
  </si>
  <si>
    <t>房地产市场价值</t>
  </si>
  <si>
    <t>北京市</t>
  </si>
  <si>
    <t>大兴区</t>
    <phoneticPr fontId="6" type="noConversion"/>
  </si>
  <si>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</si>
  <si>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</si>
  <si>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</si>
  <si>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</si>
  <si>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</si>
  <si>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</si>
  <si>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</si>
  <si>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</si>
  <si>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</si>
  <si>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</si>
  <si>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</si>
  <si>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</si>
  <si>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</si>
  <si>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</si>
  <si>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</si>
  <si>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</si>
  <si>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</si>
  <si>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</si>
  <si>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</si>
  <si>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</si>
  <si>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</si>
  <si>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</si>
  <si>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1层商业</t>
    <phoneticPr fontId="7"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</si>
  <si>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</si>
  <si>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</si>
  <si>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</si>
  <si>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</si>
  <si>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</si>
  <si>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</si>
  <si>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</si>
  <si>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</si>
  <si>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</si>
  <si>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</si>
  <si>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</si>
  <si>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</si>
  <si>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</si>
  <si>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</si>
  <si>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</si>
  <si>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</si>
  <si>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</si>
  <si>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</si>
  <si>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</si>
  <si>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</si>
  <si>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</si>
  <si>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</si>
  <si>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</si>
  <si>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</si>
  <si>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</si>
  <si>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</si>
  <si>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</si>
  <si>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</si>
  <si>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</si>
  <si>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</si>
  <si>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</si>
  <si>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</si>
  <si>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</si>
  <si>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</si>
  <si>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</si>
  <si>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</si>
  <si>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</si>
  <si>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</si>
  <si>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</si>
  <si>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</si>
  <si>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</si>
  <si>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</si>
  <si>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</si>
  <si>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</si>
  <si>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</si>
  <si>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</si>
  <si>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</si>
  <si>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</si>
  <si>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</si>
  <si>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</si>
  <si>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</si>
  <si>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</si>
  <si>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</si>
  <si>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</si>
  <si>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</si>
  <si>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</si>
  <si>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</si>
  <si>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</si>
  <si>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</si>
  <si>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</si>
  <si>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</si>
  <si>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</si>
  <si>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</si>
  <si>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</si>
  <si>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</si>
  <si>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</si>
  <si>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</si>
  <si>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</si>
  <si>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</si>
  <si>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</si>
  <si>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</si>
  <si>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</si>
  <si>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</si>
  <si>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</si>
  <si>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</si>
  <si>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</si>
  <si>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</si>
  <si>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</si>
  <si>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</si>
  <si>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</si>
  <si>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</si>
  <si>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</si>
  <si>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</si>
  <si>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</si>
  <si>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</si>
  <si>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</si>
  <si>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</si>
  <si>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</si>
  <si>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</si>
  <si>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</si>
  <si>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</si>
  <si>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建成</t>
    <phoneticPr fontId="134" type="noConversion"/>
  </si>
  <si>
    <t>彩虹新城</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</si>
  <si>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</si>
  <si>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</si>
  <si>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</si>
  <si>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</si>
  <si>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</si>
  <si>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</si>
  <si>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</si>
  <si>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</si>
  <si>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</si>
  <si>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</si>
  <si>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1层商业</t>
  </si>
  <si>
    <t>售价</t>
  </si>
  <si>
    <t>比较法-商业</t>
  </si>
  <si>
    <t>成本法</t>
  </si>
  <si>
    <t>项目模式</t>
  </si>
  <si>
    <t>成本比率</t>
  </si>
  <si>
    <t>情况4</t>
  </si>
  <si>
    <t>转让取得</t>
  </si>
  <si>
    <t>非个人房产</t>
  </si>
  <si>
    <t>原值</t>
    <phoneticPr fontId="134" type="noConversion"/>
  </si>
  <si>
    <t>买卖合同</t>
  </si>
  <si>
    <t>2016年5月1日后购买</t>
  </si>
  <si>
    <t>全部缴纳</t>
  </si>
  <si>
    <t>项目局部</t>
  </si>
  <si>
    <t>净值</t>
    <phoneticPr fontId="134" type="noConversion"/>
  </si>
  <si>
    <t>购置单价</t>
    <phoneticPr fontId="134" type="noConversion"/>
  </si>
  <si>
    <t>结果对比</t>
    <phoneticPr fontId="134" type="noConversion"/>
  </si>
  <si>
    <t>购置楼层差异</t>
    <phoneticPr fontId="134" type="noConversion"/>
  </si>
  <si>
    <t>波普公社</t>
    <phoneticPr fontId="134" type="noConversion"/>
  </si>
  <si>
    <t>天健广场</t>
    <phoneticPr fontId="134" type="noConversion"/>
  </si>
  <si>
    <t>吴薇</t>
  </si>
  <si>
    <t>已注销</t>
  </si>
  <si>
    <r>
      <t>2.</t>
    </r>
    <r>
      <rPr>
        <b/>
        <sz val="11"/>
        <color indexed="8"/>
        <rFont val="宋体"/>
        <family val="3"/>
        <charset val="134"/>
      </rPr>
      <t>估价师知悉的除抵押担保权以外的法定优先受偿款</t>
    </r>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</si>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</sst>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47" fillId="18" borderId="1" xfId="0" applyFont="1" applyFill="1" applyBorder="1" applyAlignment="1" applyProtection="1">
      <alignment horizontal="center"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twoCellAnchor editAs="oneCell">
    <xdr:from>
      <xdr:col>0</xdr:col>
      <xdr:colOff>0</xdr:colOff>
      <xdr:row>49</xdr:row>
      <xdr:rowOff>0</xdr:rowOff>
    </xdr:from>
    <xdr:to>
      <xdr:col>12</xdr:col>
      <xdr:colOff>427543</xdr:colOff>
      <xdr:row>72</xdr:row>
      <xdr:rowOff>132841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8657143" cy="4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25307;&#21830;&#38605;&#21512;&#24220;-B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65288;&#27979;&#31639;&#34920;&#65289;&#25307;&#21830;&#38605;&#21512;&#24220;-2&#236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25307;&#21830;&#38605;&#21512;&#24220;-3&#236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25307;&#21830;&#38605;&#21512;&#24220;-B1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21086</v>
          </cell>
          <cell r="D103">
            <v>13067</v>
          </cell>
        </row>
        <row r="105">
          <cell r="C105">
            <v>18682</v>
          </cell>
        </row>
        <row r="107">
          <cell r="H107">
            <v>1943</v>
          </cell>
        </row>
        <row r="111">
          <cell r="H111">
            <v>1942</v>
          </cell>
        </row>
      </sheetData>
      <sheetData sheetId="18">
        <row r="18">
          <cell r="C18">
            <v>100</v>
          </cell>
          <cell r="D18">
            <v>75</v>
          </cell>
          <cell r="E18">
            <v>60</v>
          </cell>
          <cell r="F18">
            <v>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35855</v>
          </cell>
          <cell r="D103">
            <v>23218</v>
          </cell>
        </row>
        <row r="104">
          <cell r="C104">
            <v>3603</v>
          </cell>
        </row>
        <row r="105">
          <cell r="C105">
            <v>32064</v>
          </cell>
        </row>
        <row r="111">
          <cell r="H111">
            <v>3601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03">
          <cell r="C103">
            <v>28115</v>
          </cell>
          <cell r="D103">
            <v>18826</v>
          </cell>
        </row>
        <row r="105">
          <cell r="C105">
            <v>25330</v>
          </cell>
        </row>
        <row r="107">
          <cell r="H107">
            <v>2847</v>
          </cell>
        </row>
        <row r="111">
          <cell r="H111">
            <v>2846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典型户型修正"/>
      <sheetName val="比较法-商业"/>
      <sheetName val="成本法"/>
      <sheetName val="成本法 (元)"/>
      <sheetName val="假设开发法"/>
      <sheetName val="收益法"/>
      <sheetName val="收益法 (元)"/>
      <sheetName val="收益法-酒店模型"/>
      <sheetName val="收益法（汇总）"/>
      <sheetName val="比较法-住宅"/>
      <sheetName val="基准地价修正"/>
      <sheetName val="比较法-办公"/>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3">
          <cell r="C103">
            <v>21083</v>
          </cell>
          <cell r="D103">
            <v>13076</v>
          </cell>
        </row>
        <row r="105">
          <cell r="C105">
            <v>18682</v>
          </cell>
        </row>
        <row r="107">
          <cell r="H107">
            <v>1533</v>
          </cell>
        </row>
        <row r="111">
          <cell r="H111">
            <v>1532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北京市陈庄子路3号院4号楼1层101房地产市场价值预评估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受贵公司委托，我公司对北京市陈庄子路3号院4号楼1层101房地产市场价值进行了预评估。</v>
      </c>
    </row>
    <row r="7" spans="1:2" s="1203" customFormat="1">
      <c r="A7" s="1201" t="s">
        <v>566</v>
      </c>
      <c r="B7" s="1202" t="str">
        <f>'预评函-1'!A7</f>
        <v>估价对象为北京市陈庄子路3号院4号楼1层101房地产，为北京百肯商贸有限公司所有。根据《国有土地使用证》[]，估价对象（分摊）出让国有建设用地使用权面积为0平方米，建筑面积为898.61平方米。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3763</v>
      </c>
    </row>
    <row r="21" spans="1:2" s="1203" customFormat="1">
      <c r="A21" s="1201" t="s">
        <v>537</v>
      </c>
      <c r="B21" s="1202">
        <f ca="1">'预评函-2'!D7</f>
        <v>41871</v>
      </c>
    </row>
    <row r="22" spans="1:2" s="1203" customFormat="1">
      <c r="A22" s="1201" t="s">
        <v>538</v>
      </c>
      <c r="B22" s="1202" t="str">
        <f ca="1">'预评函-2'!D6</f>
        <v>叁仟柒佰陆拾叁万元整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3763</v>
      </c>
    </row>
    <row r="35" spans="1:2" s="1203" customFormat="1">
      <c r="A35" s="1201" t="s">
        <v>577</v>
      </c>
      <c r="B35" s="1202">
        <f ca="1">'预评函-2'!D18</f>
        <v>41876</v>
      </c>
    </row>
    <row r="36" spans="1:2" s="1203" customFormat="1">
      <c r="A36" s="1201" t="s">
        <v>544</v>
      </c>
      <c r="B36" s="1202" t="str">
        <f ca="1">'预评函-2'!D17</f>
        <v>叁仟柒佰陆拾叁万元整</v>
      </c>
    </row>
    <row r="37" spans="1:2" s="1203" customFormat="1">
      <c r="A37" s="1201" t="s">
        <v>579</v>
      </c>
      <c r="B37" s="1202" t="str">
        <f>'预评函-2'!B19</f>
        <v>4.抵押净值</v>
      </c>
    </row>
    <row r="38" spans="1:2" s="1203" customFormat="1">
      <c r="A38" s="1201" t="s">
        <v>597</v>
      </c>
      <c r="B38" s="1202">
        <f ca="1">'预评函-2'!D19</f>
        <v>3761</v>
      </c>
    </row>
    <row r="39" spans="1:2" s="1203" customFormat="1">
      <c r="A39" s="1201" t="s">
        <v>545</v>
      </c>
      <c r="B39" s="1202">
        <f ca="1">'预评函-2'!D21</f>
        <v>41854</v>
      </c>
    </row>
    <row r="40" spans="1:2" s="1203" customFormat="1">
      <c r="A40" s="1201" t="s">
        <v>546</v>
      </c>
      <c r="B40" s="1202" t="str">
        <f ca="1">'预评函-2'!D20</f>
        <v>叁仟柒佰陆拾壹万元整</v>
      </c>
    </row>
    <row r="41" spans="1:2" s="1203" customFormat="1">
      <c r="A41" s="1201" t="s">
        <v>592</v>
      </c>
      <c r="B41" s="1202" t="str">
        <f>'预评函-3'!A4</f>
        <v>北京市陈庄子路3号院4号楼1层101房地产</v>
      </c>
    </row>
    <row r="42" spans="1:2" s="1203" customFormat="1">
      <c r="A42" s="1201" t="s">
        <v>590</v>
      </c>
      <c r="B42" s="1202" t="str">
        <f>'预评函-3'!B2</f>
        <v>建筑面积</v>
      </c>
    </row>
    <row r="43" spans="1:2" s="1203" customFormat="1">
      <c r="A43" s="1201" t="s">
        <v>591</v>
      </c>
      <c r="B43" s="1202">
        <f>'预评函-3'!B4</f>
        <v>898.61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3078</v>
      </c>
    </row>
    <row r="48" spans="1:2" s="1203" customFormat="1">
      <c r="A48" s="1201" t="s">
        <v>549</v>
      </c>
      <c r="B48" s="1202">
        <f ca="1">'预评函-3'!E4</f>
        <v>34250</v>
      </c>
    </row>
    <row r="49" spans="1:2" s="1203" customFormat="1">
      <c r="A49" s="1201" t="s">
        <v>550</v>
      </c>
      <c r="B49" s="1202" t="str">
        <f ca="1">'预评函-3'!D5</f>
        <v>叁仟零柒拾捌万元整</v>
      </c>
    </row>
    <row r="50" spans="1:2" s="1203" customFormat="1">
      <c r="A50" s="1201" t="s">
        <v>574</v>
      </c>
      <c r="B50" s="1202" t="str">
        <f>'预评函-3'!F2</f>
        <v>在建建筑物价值</v>
      </c>
    </row>
    <row r="51" spans="1:2" s="1203" customFormat="1">
      <c r="A51" s="1201" t="s">
        <v>551</v>
      </c>
      <c r="B51" s="1202">
        <f ca="1">'预评函-3'!F4</f>
        <v>685</v>
      </c>
    </row>
    <row r="52" spans="1:2" s="1203" customFormat="1">
      <c r="A52" s="1201" t="s">
        <v>552</v>
      </c>
      <c r="B52" s="1202">
        <f ca="1">'预评函-3'!G4</f>
        <v>7621</v>
      </c>
    </row>
    <row r="53" spans="1:2" s="1203" customFormat="1">
      <c r="A53" s="1201" t="s">
        <v>580</v>
      </c>
      <c r="B53" s="1202" t="str">
        <f ca="1">'预评函-3'!F5</f>
        <v>陆佰捌拾伍万元整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101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4" t="s">
        <v>385</v>
      </c>
      <c r="C54" s="1551" t="s">
        <v>583</v>
      </c>
    </row>
    <row r="55" spans="1:4">
      <c r="A55" s="3506"/>
      <c r="B55" s="1554" t="s">
        <v>386</v>
      </c>
      <c r="C55" s="1551" t="s">
        <v>584</v>
      </c>
    </row>
    <row r="56" spans="1:4">
      <c r="A56" s="3506"/>
      <c r="B56" s="1554" t="s">
        <v>387</v>
      </c>
      <c r="C56" s="1551" t="s">
        <v>588</v>
      </c>
    </row>
    <row r="57" spans="1:4">
      <c r="A57" s="350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07" t="s">
        <v>2574</v>
      </c>
      <c r="J2" s="3507"/>
      <c r="K2" s="3507"/>
      <c r="L2" s="3507"/>
      <c r="M2" s="3507"/>
      <c r="N2" s="3507"/>
      <c r="O2" s="3507"/>
      <c r="P2" s="3507"/>
      <c r="Q2" s="3507"/>
      <c r="R2" s="3507"/>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08" t="str">
        <f>IF(B10="北京市","北京市",C10)&amp;F10&amp;IF(结果表!G1="在建","出让国有建设用地使用权及在建建筑物",IF(结果表!G1="土地","出让国有建设用地使用权",))&amp;B9&amp;"预评估"</f>
        <v>北京市陈庄子路3号院4号楼1层101房地产市场价值预评估</v>
      </c>
      <c r="C1" s="3509"/>
      <c r="D1" s="3509"/>
      <c r="E1" s="3509"/>
      <c r="F1" s="3509"/>
      <c r="G1" s="3509"/>
      <c r="H1" s="3509"/>
      <c r="I1" s="3510"/>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北京市陈庄子路3号院4号楼1层101房地产市场价值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北京市陈庄子路3号院4号楼1层101房地产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3517</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崔锴（注册号：1120100036)、吴薇（注册号：1419970001)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3365</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3366</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3367</v>
      </c>
      <c r="C8" s="2387"/>
      <c r="D8" s="3511" t="s">
        <v>2175</v>
      </c>
      <c r="E8" s="2388" t="s">
        <v>3518</v>
      </c>
      <c r="F8" s="2389"/>
      <c r="G8" s="2657"/>
      <c r="H8" s="2657"/>
      <c r="I8" s="2657"/>
      <c r="J8" s="2435"/>
      <c r="K8" s="2608"/>
      <c r="L8" s="2607"/>
      <c r="M8" s="2607"/>
      <c r="N8" s="2435"/>
      <c r="O8" s="2446"/>
      <c r="P8" s="2435"/>
      <c r="Q8" s="2435"/>
      <c r="R8" s="2435"/>
    </row>
    <row r="9" spans="1:30" ht="13.5" thickBot="1">
      <c r="A9" s="2390" t="s">
        <v>2176</v>
      </c>
      <c r="B9" s="2391" t="s">
        <v>3368</v>
      </c>
      <c r="C9" s="2392"/>
      <c r="D9" s="3512"/>
      <c r="E9" s="2391" t="s">
        <v>587</v>
      </c>
      <c r="F9" s="2393"/>
      <c r="G9" s="2659"/>
      <c r="H9" s="2659"/>
      <c r="I9" s="2659"/>
      <c r="J9" s="2435"/>
      <c r="K9" s="2610"/>
      <c r="L9" s="2607"/>
      <c r="M9" s="2607"/>
      <c r="N9" s="2435"/>
      <c r="O9" s="2446"/>
      <c r="P9" s="2435"/>
      <c r="Q9" s="2435"/>
      <c r="R9" s="2435"/>
    </row>
    <row r="10" spans="1:30" ht="13.5" thickTop="1">
      <c r="A10" s="2394" t="s">
        <v>2177</v>
      </c>
      <c r="B10" s="2395" t="s">
        <v>3369</v>
      </c>
      <c r="C10" s="3445" t="s">
        <v>3370</v>
      </c>
      <c r="D10" s="2380"/>
      <c r="E10" s="2396" t="s">
        <v>2178</v>
      </c>
      <c r="F10" s="2660" t="s">
        <v>3371</v>
      </c>
      <c r="G10" s="2661"/>
      <c r="H10" s="2662"/>
      <c r="I10" s="2663"/>
      <c r="J10" s="2435"/>
      <c r="K10" s="2610"/>
      <c r="L10" s="2607"/>
      <c r="M10" s="2607"/>
      <c r="N10" s="2435"/>
      <c r="O10" s="2446"/>
      <c r="P10" s="2435"/>
      <c r="Q10" s="2435"/>
      <c r="R10" s="2435"/>
    </row>
    <row r="11" spans="1:30" ht="25.5">
      <c r="A11" s="2397" t="s">
        <v>2179</v>
      </c>
      <c r="B11" s="2398" t="s">
        <v>3372</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18"/>
      <c r="C16" s="3519"/>
      <c r="D16" s="3520"/>
      <c r="E16" s="2409" t="s">
        <v>2192</v>
      </c>
      <c r="F16" s="3521"/>
      <c r="G16" s="3522"/>
      <c r="H16" s="3522"/>
      <c r="I16" s="3523"/>
      <c r="J16" s="2435"/>
      <c r="K16" s="2611"/>
      <c r="L16" s="2447"/>
      <c r="M16" s="2447"/>
      <c r="N16" s="2503"/>
      <c r="O16" s="2447"/>
      <c r="P16" s="2503"/>
      <c r="Q16" s="2435"/>
      <c r="R16" s="2435"/>
    </row>
    <row r="17" spans="1:28">
      <c r="A17" s="313" t="s">
        <v>2193</v>
      </c>
      <c r="B17" s="302" t="s">
        <v>2194</v>
      </c>
      <c r="C17" s="8">
        <f>'数据-汇总表'!E3</f>
        <v>898.61</v>
      </c>
      <c r="D17" s="2321" t="s">
        <v>2195</v>
      </c>
      <c r="E17" s="3524" t="s">
        <v>2196</v>
      </c>
      <c r="F17" s="3525"/>
      <c r="G17" s="3525"/>
      <c r="H17" s="3525"/>
      <c r="I17" s="3526"/>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27" t="s">
        <v>2200</v>
      </c>
      <c r="F18" s="3528"/>
      <c r="G18" s="3528"/>
      <c r="H18" s="3528"/>
      <c r="I18" s="3529"/>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14" t="s">
        <v>2204</v>
      </c>
      <c r="C20" s="3515"/>
      <c r="D20" s="3516" t="s">
        <v>2205</v>
      </c>
      <c r="E20" s="3517"/>
      <c r="F20" s="2641" t="s">
        <v>1056</v>
      </c>
      <c r="G20" s="2658"/>
      <c r="H20" s="2658"/>
      <c r="I20" s="2658"/>
      <c r="J20" s="2435"/>
      <c r="K20" s="3513"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3373</v>
      </c>
      <c r="C21" s="2628" t="s">
        <v>1057</v>
      </c>
      <c r="D21" s="1568"/>
      <c r="E21" s="2629"/>
      <c r="F21" s="2642"/>
      <c r="G21" s="2658"/>
      <c r="H21" s="2658"/>
      <c r="I21" s="2658"/>
      <c r="J21" s="2435"/>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1" t="s">
        <v>2209</v>
      </c>
      <c r="B27" s="320" t="s">
        <v>2210</v>
      </c>
      <c r="C27" s="2412" t="s">
        <v>3374</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1"/>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1"/>
      <c r="B29" s="302" t="s">
        <v>2212</v>
      </c>
      <c r="C29" s="2416" t="s">
        <v>3375</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2"/>
      <c r="B30" s="302" t="s">
        <v>2213</v>
      </c>
      <c r="C30" s="3533"/>
      <c r="D30" s="3534"/>
      <c r="E30" s="2658"/>
      <c r="F30" s="2658"/>
      <c r="G30" s="2658"/>
      <c r="H30" s="2658"/>
      <c r="I30" s="2658"/>
      <c r="J30" s="2435"/>
      <c r="K30" s="2610"/>
      <c r="L30" s="2607"/>
      <c r="M30" s="2607"/>
      <c r="N30" s="2435"/>
      <c r="O30" s="2446"/>
      <c r="P30" s="2435"/>
      <c r="Q30" s="2435"/>
      <c r="R30" s="2435"/>
      <c r="S30" s="2435"/>
      <c r="T30" s="2435"/>
      <c r="U30" s="2435"/>
      <c r="V30" s="2435"/>
    </row>
    <row r="31" spans="1:28">
      <c r="A31" s="3535" t="s">
        <v>2214</v>
      </c>
      <c r="B31" s="2418" t="s">
        <v>3376</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36"/>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36"/>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3377</v>
      </c>
      <c r="C34" s="2026" t="s">
        <v>3378</v>
      </c>
      <c r="D34" s="2026" t="s">
        <v>3379</v>
      </c>
      <c r="E34" s="2026" t="s">
        <v>3380</v>
      </c>
      <c r="F34" s="2026" t="s">
        <v>3381</v>
      </c>
      <c r="G34" s="2026" t="s">
        <v>3382</v>
      </c>
      <c r="H34" s="2026" t="s">
        <v>43</v>
      </c>
      <c r="I34" s="2658"/>
      <c r="J34" s="2435"/>
      <c r="K34" s="2423">
        <f>COUNTIF(B34:H34,"——")</f>
        <v>1</v>
      </c>
      <c r="L34" s="323" t="s">
        <v>2216</v>
      </c>
      <c r="M34" s="323" t="s">
        <v>2217</v>
      </c>
      <c r="N34" s="323" t="s">
        <v>2218</v>
      </c>
      <c r="O34" s="323" t="s">
        <v>2219</v>
      </c>
      <c r="P34" s="323" t="s">
        <v>2220</v>
      </c>
      <c r="Q34" s="323" t="s">
        <v>2221</v>
      </c>
      <c r="R34" s="323" t="s">
        <v>2222</v>
      </c>
      <c r="S34" s="3530" t="s">
        <v>2223</v>
      </c>
      <c r="T34" s="2424" t="str">
        <f>NUMBERSTRING(7-K34,1)&amp;"通"</f>
        <v>六通</v>
      </c>
      <c r="U34" s="2435"/>
      <c r="V34" s="2435"/>
    </row>
    <row r="35" spans="1:30">
      <c r="A35" s="2425"/>
      <c r="B35" s="3537" t="s">
        <v>2224</v>
      </c>
      <c r="C35" s="3537"/>
      <c r="D35" s="3537"/>
      <c r="E35" s="3537"/>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0"/>
      <c r="T35" s="329" t="str">
        <f>IF(T34="一通",L35,IF(T34="二通",M35,IF(T34="三通",N35,IF(T34="四通",O35,IF(T34="五通",P35,IF(T34="六通",Q35,R35))))))</f>
        <v>通路、通电、通讯、通上水、通下水、平整</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3383</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6" sqref="K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898.61</v>
      </c>
      <c r="BA5" s="15">
        <f t="shared" si="1"/>
        <v>898.61</v>
      </c>
      <c r="BB5" s="15">
        <f t="shared" si="1"/>
        <v>898.61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6" t="s">
        <v>3387</v>
      </c>
      <c r="D13" s="3448" t="s">
        <v>3388</v>
      </c>
      <c r="E13" s="13">
        <f>IF($C$3="是",ROUND($A$3*G13/$B$3,2),ROUND($A$3*(G13-AT13)/$B$3,2))</f>
        <v>0</v>
      </c>
      <c r="F13" s="29"/>
      <c r="G13" s="30">
        <f>H13+AC13+AT13</f>
        <v>898.61</v>
      </c>
      <c r="H13" s="17">
        <f>SUMIF(I$12:AB$12,"总值",I13:AB13)</f>
        <v>898.61</v>
      </c>
      <c r="I13" s="3447">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898.61</v>
      </c>
      <c r="BA13" s="13">
        <f>SUM(BB13:BK13)</f>
        <v>898.61</v>
      </c>
      <c r="BB13" s="13">
        <f>IF($D13="是",I13-J13,0)</f>
        <v>898.61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3389</v>
      </c>
      <c r="D14" s="1625" t="s">
        <v>3375</v>
      </c>
      <c r="E14" s="13">
        <f>IF($C$3="是",ROUND($A$3*G14/$B$3,2),ROUND($A$3*(G14-AT14)/$B$3,2))</f>
        <v>0</v>
      </c>
      <c r="F14" s="29"/>
      <c r="G14" s="30">
        <f>H14+AC14+AT14</f>
        <v>1123.69</v>
      </c>
      <c r="H14" s="17">
        <f>SUMIF(I$12:AB$12,"总值",I14:AB14)</f>
        <v>1123.69</v>
      </c>
      <c r="I14" s="1626">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3390</v>
      </c>
      <c r="D15" s="1625" t="s">
        <v>3375</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3391</v>
      </c>
      <c r="D16" s="1625" t="s">
        <v>3375</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3392</v>
      </c>
      <c r="D17" s="1625" t="s">
        <v>3375</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7" sqref="F2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7" t="s">
        <v>1130</v>
      </c>
      <c r="B2" s="3547"/>
      <c r="C2" s="3547"/>
      <c r="D2" s="796" t="s">
        <v>1106</v>
      </c>
      <c r="E2" s="1639" t="s">
        <v>1107</v>
      </c>
      <c r="F2" s="2653"/>
      <c r="G2" s="2644"/>
      <c r="H2" s="2645"/>
      <c r="I2" s="2324" t="s">
        <v>1131</v>
      </c>
      <c r="J2" s="2653"/>
      <c r="K2" s="2653"/>
      <c r="L2" s="2653"/>
      <c r="M2" s="2653"/>
      <c r="N2" s="2655"/>
      <c r="O2" s="2653"/>
      <c r="P2" s="2653"/>
    </row>
    <row r="3" spans="1:16" ht="15.75" thickBot="1">
      <c r="A3" s="3548" t="s">
        <v>1104</v>
      </c>
      <c r="B3" s="3548"/>
      <c r="C3" s="3548"/>
      <c r="D3" s="43">
        <f>'数据-基础表'!AY6</f>
        <v>0</v>
      </c>
      <c r="E3" s="43">
        <f>'数据-基础表'!AZ5</f>
        <v>898.61</v>
      </c>
      <c r="F3" s="2653"/>
      <c r="G3" s="1145"/>
      <c r="H3" s="1026" t="s">
        <v>1105</v>
      </c>
      <c r="I3" s="855" t="e">
        <f>ROUND('数据-基础表'!B3/'数据-基础表'!A3,2)</f>
        <v>#DIV/0!</v>
      </c>
      <c r="J3" s="2653"/>
      <c r="K3" s="2653"/>
      <c r="L3" s="2653"/>
      <c r="M3" s="2653"/>
      <c r="N3" s="2655"/>
      <c r="O3" s="2653"/>
      <c r="P3" s="2653"/>
    </row>
    <row r="4" spans="1:16" ht="15">
      <c r="A4" s="3549"/>
      <c r="B4" s="3550"/>
      <c r="C4" s="3551"/>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2" t="s">
        <v>1109</v>
      </c>
      <c r="C5" s="3552"/>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2" t="s">
        <v>1110</v>
      </c>
      <c r="C6" s="3552"/>
      <c r="D6" s="45">
        <f>ROUND($D$3*E6/$E$3,2)</f>
        <v>0</v>
      </c>
      <c r="E6" s="46">
        <f>E3-E5</f>
        <v>898.61</v>
      </c>
      <c r="F6" s="2653"/>
      <c r="G6" s="2647" t="s">
        <v>1111</v>
      </c>
      <c r="H6" s="1146" t="s">
        <v>1112</v>
      </c>
      <c r="I6" s="2648" t="e">
        <f>ROUND(F31/D31,2)</f>
        <v>#DIV/0!</v>
      </c>
      <c r="J6" s="2653"/>
      <c r="K6" s="2653"/>
      <c r="L6" s="2653"/>
      <c r="M6" s="2653"/>
      <c r="N6" s="2653"/>
      <c r="O6" s="2653"/>
      <c r="P6" s="2653"/>
    </row>
    <row r="7" spans="1:16" ht="15.75" thickBot="1">
      <c r="A7" s="3544"/>
      <c r="B7" s="3545"/>
      <c r="C7" s="3546"/>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898.61</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898.61</v>
      </c>
      <c r="F16" s="2653"/>
      <c r="G16" s="2654"/>
      <c r="H16" s="1648" t="s">
        <v>1134</v>
      </c>
      <c r="I16" s="1649"/>
      <c r="J16" s="1139"/>
      <c r="K16" s="3541" t="s">
        <v>1134</v>
      </c>
      <c r="L16" s="3542"/>
      <c r="M16" s="3542"/>
      <c r="N16" s="3542"/>
      <c r="O16" s="3542"/>
      <c r="P16" s="3543"/>
    </row>
    <row r="17" spans="1:19" ht="15">
      <c r="A17" s="1650" t="s">
        <v>1135</v>
      </c>
      <c r="B17" s="1651" t="s">
        <v>1136</v>
      </c>
      <c r="C17" s="1652" t="s">
        <v>1137</v>
      </c>
      <c r="D17" s="1653" t="s">
        <v>1125</v>
      </c>
      <c r="E17" s="1654" t="s">
        <v>1126</v>
      </c>
      <c r="F17" s="1655"/>
      <c r="G17" s="1656"/>
      <c r="H17" s="1657" t="s">
        <v>1138</v>
      </c>
      <c r="I17" s="1658" t="s">
        <v>1123</v>
      </c>
      <c r="J17" s="1139"/>
      <c r="K17" s="3538" t="s">
        <v>1139</v>
      </c>
      <c r="L17" s="3539"/>
      <c r="M17" s="3540"/>
      <c r="N17" s="3538" t="s">
        <v>1140</v>
      </c>
      <c r="O17" s="3539"/>
      <c r="P17" s="354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3393</v>
      </c>
      <c r="D19" s="45">
        <f>ROUND($D$3*E19/$E$3,2)</f>
        <v>0</v>
      </c>
      <c r="E19" s="53">
        <f t="shared" ref="E19:E26" si="1">SUM(F19:G19)</f>
        <v>898.61</v>
      </c>
      <c r="F19" s="2789">
        <f>'数据-基础表'!BB5</f>
        <v>898.61</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898.61</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898.61</v>
      </c>
      <c r="F27" s="1140">
        <f>IF(SUM(F19:F26)=E8,SUM(F19:F26),"地上面积有误")</f>
        <v>898.61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898.61</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898.61</v>
      </c>
      <c r="F31" s="677">
        <f>F27+F30</f>
        <v>898.61</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3396</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898.61</v>
      </c>
      <c r="L6" s="733">
        <v>3800</v>
      </c>
      <c r="M6" s="67">
        <f t="shared" ref="M6:M14" si="0">ROUND(K6*L6/10000,0)</f>
        <v>341</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898.61</v>
      </c>
      <c r="L16" s="93">
        <f>ROUND(M16*10000/SUM(K6:K14),0)</f>
        <v>3795</v>
      </c>
      <c r="M16" s="93">
        <f>SUM(M6:M14)</f>
        <v>341</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9" t="s">
        <v>3394</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9" t="s">
        <v>3395</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160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18</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3397</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7" sqref="C7"/>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3" t="s">
        <v>2277</v>
      </c>
      <c r="B1" s="3554"/>
      <c r="C1" s="3554"/>
      <c r="D1" s="3554"/>
      <c r="E1" s="3554"/>
      <c r="F1" s="3554"/>
      <c r="G1" s="355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50" t="s">
        <v>3398</v>
      </c>
      <c r="D3" s="2460"/>
      <c r="E3" s="2438" t="s">
        <v>2275</v>
      </c>
      <c r="F3" s="2461" t="s">
        <v>2248</v>
      </c>
      <c r="G3" s="2462" t="s">
        <v>2276</v>
      </c>
      <c r="H3" s="799"/>
      <c r="I3" s="799"/>
      <c r="J3" s="799"/>
      <c r="K3" s="799"/>
      <c r="L3" s="799"/>
      <c r="M3" s="799"/>
      <c r="N3" s="799"/>
      <c r="O3" s="799"/>
      <c r="P3" s="799"/>
      <c r="Q3" s="799"/>
      <c r="R3" s="799"/>
    </row>
    <row r="4" spans="1:29" ht="36">
      <c r="A4" s="2438"/>
      <c r="B4" s="323" t="s">
        <v>2249</v>
      </c>
      <c r="C4" s="3451" t="s">
        <v>3400</v>
      </c>
      <c r="D4" s="2460"/>
      <c r="E4" s="2463"/>
      <c r="F4" s="1373" t="s">
        <v>2250</v>
      </c>
      <c r="G4" s="2464" t="s">
        <v>2251</v>
      </c>
      <c r="H4" s="799"/>
      <c r="I4" s="799"/>
      <c r="J4" s="799"/>
      <c r="K4" s="799"/>
      <c r="L4" s="799"/>
      <c r="M4" s="799"/>
      <c r="N4" s="799"/>
      <c r="O4" s="799"/>
      <c r="P4" s="799"/>
      <c r="Q4" s="799"/>
      <c r="R4" s="799"/>
    </row>
    <row r="5" spans="1:29" ht="24">
      <c r="A5" s="2438"/>
      <c r="B5" s="323" t="s">
        <v>2252</v>
      </c>
      <c r="C5" s="3451" t="s">
        <v>3401</v>
      </c>
      <c r="D5" s="2460"/>
      <c r="E5" s="2463"/>
      <c r="F5" s="323" t="s">
        <v>2253</v>
      </c>
      <c r="G5" s="2464" t="s">
        <v>2254</v>
      </c>
      <c r="H5" s="799"/>
      <c r="I5" s="799"/>
      <c r="J5" s="799"/>
      <c r="K5" s="799"/>
      <c r="L5" s="799"/>
      <c r="M5" s="799"/>
      <c r="N5" s="799"/>
      <c r="O5" s="799"/>
      <c r="P5" s="799"/>
      <c r="Q5" s="799"/>
      <c r="R5" s="799"/>
    </row>
    <row r="6" spans="1:29">
      <c r="A6" s="2438"/>
      <c r="B6" s="323" t="s">
        <v>2255</v>
      </c>
      <c r="C6" s="3452" t="s">
        <v>3402</v>
      </c>
      <c r="D6" s="2460"/>
      <c r="E6" s="2463"/>
      <c r="F6" s="323" t="s">
        <v>2256</v>
      </c>
      <c r="G6" s="2464" t="s">
        <v>2257</v>
      </c>
      <c r="H6" s="799"/>
      <c r="I6" s="799"/>
      <c r="J6" s="799"/>
      <c r="K6" s="799"/>
      <c r="L6" s="799"/>
      <c r="M6" s="799"/>
      <c r="N6" s="799"/>
      <c r="O6" s="799"/>
      <c r="P6" s="799"/>
      <c r="Q6" s="799"/>
      <c r="R6" s="799"/>
    </row>
    <row r="7" spans="1:29" ht="24.75" thickBot="1">
      <c r="A7" s="2438"/>
      <c r="B7" s="323" t="s">
        <v>2253</v>
      </c>
      <c r="C7" s="3452" t="s">
        <v>3402</v>
      </c>
      <c r="D7" s="2465"/>
      <c r="E7" s="2466"/>
      <c r="F7" s="2467" t="s">
        <v>2258</v>
      </c>
      <c r="G7" s="2468" t="s">
        <v>2259</v>
      </c>
      <c r="H7" s="799"/>
      <c r="I7" s="799"/>
      <c r="J7" s="799"/>
      <c r="K7" s="799"/>
      <c r="L7" s="799"/>
      <c r="M7" s="799"/>
      <c r="N7" s="799"/>
      <c r="O7" s="799"/>
      <c r="P7" s="799"/>
      <c r="Q7" s="799"/>
      <c r="R7" s="799"/>
    </row>
    <row r="8" spans="1:29">
      <c r="A8" s="2438"/>
      <c r="B8" s="323" t="s">
        <v>2256</v>
      </c>
      <c r="C8" s="3452" t="s">
        <v>3403</v>
      </c>
      <c r="D8" s="2465"/>
      <c r="E8" s="2465"/>
      <c r="F8" s="2469"/>
      <c r="G8" s="2469"/>
      <c r="H8" s="799"/>
      <c r="I8" s="799"/>
      <c r="J8" s="799"/>
      <c r="K8" s="799"/>
      <c r="L8" s="799"/>
      <c r="M8" s="799"/>
      <c r="N8" s="799"/>
      <c r="O8" s="799"/>
      <c r="P8" s="799"/>
      <c r="Q8" s="799"/>
      <c r="R8" s="799"/>
    </row>
    <row r="9" spans="1:29">
      <c r="A9" s="2438"/>
      <c r="B9" s="323" t="s">
        <v>2260</v>
      </c>
      <c r="C9" s="3451" t="s">
        <v>3405</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7" t="s">
        <v>3424</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3425</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H38" sqref="H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898.61</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3763</v>
      </c>
      <c r="C5" s="2506">
        <f ca="1">IF(B5=D14,结果表!H102,ROUND(B5*10000/$B$1,0))</f>
        <v>41871</v>
      </c>
      <c r="D5" s="2506" t="e">
        <f ca="1">ROUND(B5*10000/$B$2,0)</f>
        <v>#DIV/0!</v>
      </c>
      <c r="E5" s="2680"/>
      <c r="F5" s="2681"/>
      <c r="G5" s="2681"/>
      <c r="H5" s="2682"/>
      <c r="I5" s="2682"/>
      <c r="J5" s="2682"/>
      <c r="K5" s="2682"/>
    </row>
    <row r="6" spans="1:11" ht="16.5">
      <c r="A6" s="2506" t="s">
        <v>656</v>
      </c>
      <c r="B6" s="2506">
        <f>SUM(G14:G23)</f>
        <v>0</v>
      </c>
      <c r="C6" s="2506">
        <f>IF(B6=G14,结果表!H108,ROUND(B6*10000/$B$1,0))</f>
        <v>0</v>
      </c>
      <c r="D6" s="2506" t="e">
        <f>ROUND(B6*10000/$B$2,0)</f>
        <v>#DIV/0!</v>
      </c>
      <c r="E6" s="2680"/>
      <c r="F6" s="2681"/>
      <c r="G6" s="2681"/>
      <c r="H6" s="2682"/>
      <c r="I6" s="2682"/>
      <c r="J6" s="2682"/>
      <c r="K6" s="2682"/>
    </row>
    <row r="7" spans="1:11" ht="16.5">
      <c r="A7" s="2506" t="s">
        <v>664</v>
      </c>
      <c r="B7" s="2506">
        <f ca="1">SUM(H14:H23)</f>
        <v>3763</v>
      </c>
      <c r="C7" s="2506">
        <f ca="1">IF(B7=H14,结果表!H110,ROUND(B7*10000/$B$1,0))</f>
        <v>41876</v>
      </c>
      <c r="D7" s="2506" t="e">
        <f ca="1">ROUND(B7*10000/$B$2,0)</f>
        <v>#DIV/0!</v>
      </c>
      <c r="E7" s="2680"/>
      <c r="F7" s="2681"/>
      <c r="G7" s="2681"/>
      <c r="H7" s="2682"/>
      <c r="I7" s="2682"/>
      <c r="J7" s="2682"/>
      <c r="K7" s="2682"/>
    </row>
    <row r="8" spans="1:11" ht="16.5">
      <c r="A8" s="2506" t="s">
        <v>587</v>
      </c>
      <c r="B8" s="2506">
        <f ca="1">SUM(I14:I23)</f>
        <v>3761</v>
      </c>
      <c r="C8" s="2506">
        <f ca="1">IF(B8=I14,结果表!H112,ROUND(B8*10000/$B$1,0))</f>
        <v>41854</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898.61</v>
      </c>
      <c r="C14" s="2512">
        <f>结果表!C118</f>
        <v>0</v>
      </c>
      <c r="D14" s="2512">
        <f ca="1">结果表!H118</f>
        <v>3763</v>
      </c>
      <c r="E14" s="2512">
        <f ca="1">ROUND(D14*10000/B14,0)</f>
        <v>41876</v>
      </c>
      <c r="F14" s="2512" t="e">
        <f ca="1">ROUND(D14*10000/C14,0)</f>
        <v>#DIV/0!</v>
      </c>
      <c r="G14" s="2512" t="str">
        <f>结果表!D122</f>
        <v>——</v>
      </c>
      <c r="H14" s="2512">
        <f ca="1">结果表!D124</f>
        <v>3763</v>
      </c>
      <c r="I14" s="2512">
        <f ca="1">结果表!D126</f>
        <v>3761</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90" zoomScaleNormal="100" zoomScaleSheetLayoutView="90" zoomScalePageLayoutView="80" workbookViewId="0">
      <selection activeCell="K76" sqref="K7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3497</v>
      </c>
      <c r="D1" s="1747"/>
      <c r="E1" s="1747"/>
      <c r="F1" s="1749" t="s">
        <v>1262</v>
      </c>
      <c r="G1" s="1561" t="s">
        <v>3376</v>
      </c>
      <c r="H1" s="1750" t="str">
        <f>IF(G1="现房","——","估价对象范围")</f>
        <v>——</v>
      </c>
      <c r="I1" s="1751" t="s">
        <v>3510</v>
      </c>
    </row>
    <row r="2" spans="1:12" ht="21.75" customHeight="1" thickBot="1">
      <c r="A2" s="3622" t="str">
        <f>项目基本情况!S2</f>
        <v>北京市陈庄子路3号院4号楼1层101房地产</v>
      </c>
      <c r="B2" s="3623"/>
      <c r="C2" s="3623"/>
      <c r="D2" s="3623"/>
      <c r="E2" s="3623"/>
      <c r="F2" s="3623"/>
      <c r="G2" s="3623"/>
      <c r="H2" s="3623"/>
      <c r="I2" s="3624"/>
    </row>
    <row r="3" spans="1:12" ht="12.75">
      <c r="A3" s="3626" t="s">
        <v>1263</v>
      </c>
      <c r="B3" s="3627"/>
      <c r="C3" s="3627"/>
      <c r="D3" s="3627"/>
      <c r="E3" s="3627"/>
      <c r="F3" s="3627"/>
      <c r="G3" s="3627"/>
      <c r="H3" s="3627"/>
      <c r="I3" s="3627"/>
    </row>
    <row r="4" spans="1:12" ht="14.25">
      <c r="A4" s="1754" t="s">
        <v>1264</v>
      </c>
      <c r="B4" s="1755" t="s">
        <v>1265</v>
      </c>
      <c r="C4" s="1756" t="s">
        <v>3499</v>
      </c>
      <c r="D4" s="1756" t="s">
        <v>3500</v>
      </c>
      <c r="E4" s="3631" t="s">
        <v>1266</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0" t="s">
        <v>1267</v>
      </c>
      <c r="B5" s="3625">
        <v>25</v>
      </c>
      <c r="C5" s="3628"/>
      <c r="D5" s="3616"/>
      <c r="E5" s="131" t="s">
        <v>1268</v>
      </c>
      <c r="F5" s="1757"/>
      <c r="G5" s="1757"/>
      <c r="H5" s="1757"/>
      <c r="I5" s="1373"/>
    </row>
    <row r="6" spans="1:12" ht="12.75">
      <c r="A6" s="3570"/>
      <c r="B6" s="3625"/>
      <c r="C6" s="3630"/>
      <c r="D6" s="3616"/>
      <c r="E6" s="131" t="s">
        <v>1269</v>
      </c>
      <c r="F6" s="1757"/>
      <c r="G6" s="1757"/>
      <c r="H6" s="1757"/>
      <c r="I6" s="1373"/>
    </row>
    <row r="7" spans="1:12" ht="12.75">
      <c r="A7" s="3570"/>
      <c r="B7" s="3625"/>
      <c r="C7" s="3629"/>
      <c r="D7" s="3616"/>
      <c r="E7" s="131" t="s">
        <v>1270</v>
      </c>
      <c r="F7" s="1757"/>
      <c r="G7" s="1757"/>
      <c r="H7" s="1757"/>
      <c r="I7" s="1373"/>
    </row>
    <row r="8" spans="1:12" ht="12.75">
      <c r="A8" s="3570" t="s">
        <v>1271</v>
      </c>
      <c r="B8" s="3625">
        <v>15</v>
      </c>
      <c r="C8" s="3628"/>
      <c r="D8" s="3616"/>
      <c r="E8" s="131" t="s">
        <v>1272</v>
      </c>
      <c r="F8" s="1757"/>
      <c r="G8" s="1757"/>
      <c r="H8" s="1757"/>
      <c r="I8" s="1373"/>
    </row>
    <row r="9" spans="1:12" ht="12.75">
      <c r="A9" s="3570"/>
      <c r="B9" s="3625"/>
      <c r="C9" s="3629"/>
      <c r="D9" s="3616"/>
      <c r="E9" s="131" t="s">
        <v>1273</v>
      </c>
      <c r="F9" s="1757"/>
      <c r="G9" s="1757"/>
      <c r="H9" s="1757"/>
      <c r="I9" s="1373"/>
    </row>
    <row r="10" spans="1:12" ht="12.75">
      <c r="A10" s="3570" t="s">
        <v>1274</v>
      </c>
      <c r="B10" s="3625">
        <v>15</v>
      </c>
      <c r="C10" s="3628"/>
      <c r="D10" s="3616"/>
      <c r="E10" s="131" t="s">
        <v>1275</v>
      </c>
      <c r="F10" s="1757"/>
      <c r="G10" s="1757"/>
      <c r="H10" s="1757"/>
      <c r="I10" s="1373"/>
    </row>
    <row r="11" spans="1:12" ht="12.75">
      <c r="A11" s="3570"/>
      <c r="B11" s="3625"/>
      <c r="C11" s="3629"/>
      <c r="D11" s="3616"/>
      <c r="E11" s="131" t="s">
        <v>1276</v>
      </c>
      <c r="F11" s="1757"/>
      <c r="G11" s="1757"/>
      <c r="H11" s="1757"/>
      <c r="I11" s="1373"/>
    </row>
    <row r="12" spans="1:12" ht="12.75">
      <c r="A12" s="3570" t="s">
        <v>1277</v>
      </c>
      <c r="B12" s="3625">
        <v>15</v>
      </c>
      <c r="C12" s="3628"/>
      <c r="D12" s="3616"/>
      <c r="E12" s="131" t="s">
        <v>1278</v>
      </c>
      <c r="F12" s="1757"/>
      <c r="G12" s="1757"/>
      <c r="H12" s="1757"/>
      <c r="I12" s="1373"/>
    </row>
    <row r="13" spans="1:12" ht="12.75">
      <c r="A13" s="3570"/>
      <c r="B13" s="3625"/>
      <c r="C13" s="3629"/>
      <c r="D13" s="3616"/>
      <c r="E13" s="131" t="s">
        <v>1279</v>
      </c>
      <c r="F13" s="1757"/>
      <c r="G13" s="1757"/>
      <c r="H13" s="1757"/>
      <c r="I13" s="1373"/>
    </row>
    <row r="14" spans="1:12" ht="12.75">
      <c r="A14" s="3570" t="s">
        <v>1280</v>
      </c>
      <c r="B14" s="3625">
        <v>30</v>
      </c>
      <c r="C14" s="3628">
        <v>7</v>
      </c>
      <c r="D14" s="3616">
        <v>3</v>
      </c>
      <c r="E14" s="131" t="s">
        <v>1281</v>
      </c>
      <c r="F14" s="1757"/>
      <c r="G14" s="1757"/>
      <c r="H14" s="1757"/>
      <c r="I14" s="1373"/>
    </row>
    <row r="15" spans="1:12" ht="12.75">
      <c r="A15" s="3570"/>
      <c r="B15" s="3625"/>
      <c r="C15" s="3630"/>
      <c r="D15" s="3616"/>
      <c r="E15" s="131" t="s">
        <v>1282</v>
      </c>
      <c r="F15" s="1757"/>
      <c r="G15" s="1757"/>
      <c r="H15" s="1757"/>
      <c r="I15" s="1373"/>
    </row>
    <row r="16" spans="1:12" ht="12.75">
      <c r="A16" s="3570"/>
      <c r="B16" s="3625"/>
      <c r="C16" s="3629"/>
      <c r="D16" s="3616"/>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647" t="s">
        <v>2129</v>
      </c>
      <c r="F18" s="3648"/>
      <c r="G18" s="3648"/>
      <c r="H18" s="3648"/>
      <c r="I18" s="3648"/>
      <c r="K18" s="302" t="s">
        <v>1288</v>
      </c>
      <c r="L18" s="302">
        <f>IF(C1="",'数据-汇总表'!E3,SUMIF(项目类型,C1,'数据-汇总表'!E17:E26)+SUMIF(项目类型,C1,'数据-汇总表'!I17:I26))</f>
        <v>898.61</v>
      </c>
      <c r="M18" s="302">
        <f>IF(C1="",'数据-汇总表'!E3,SUMIF(项目类型,C1,'数据-汇总表'!E17:E26))</f>
        <v>898.61</v>
      </c>
    </row>
    <row r="19" spans="1:36" ht="15">
      <c r="A19" s="1761" t="s">
        <v>1289</v>
      </c>
      <c r="B19" s="1762" t="s">
        <v>1290</v>
      </c>
      <c r="C19" s="134">
        <f ca="1">SUMIF(INDIRECT("'"&amp;C4&amp;"'"&amp;"!A:A"),结果表!B19,INDIRECT("'"&amp;C4&amp;"'"&amp;"!B:B"))</f>
        <v>4296</v>
      </c>
      <c r="D19" s="135">
        <f ca="1">SUMIF(INDIRECT("'"&amp;D4&amp;"'"&amp;"!A:A"),结果表!B19,INDIRECT("'"&amp;D4&amp;"'"&amp;"!B:B"))</f>
        <v>2519</v>
      </c>
      <c r="E19" s="1761" t="s">
        <v>1291</v>
      </c>
      <c r="F19" s="1762" t="s">
        <v>1290</v>
      </c>
      <c r="G19" s="136">
        <f ca="1">ROUND(C19*$C$18+D19*$D$18,0)</f>
        <v>3763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47802</v>
      </c>
      <c r="D20" s="138">
        <f ca="1">SUMIF(INDIRECT("'"&amp;D4&amp;"'"&amp;"!A:A"),结果表!B20,INDIRECT("'"&amp;D4&amp;"'"&amp;"!B:B"))</f>
        <v>28032</v>
      </c>
      <c r="E20" s="1764"/>
      <c r="F20" s="1026" t="s">
        <v>1294</v>
      </c>
      <c r="G20" s="139">
        <f ca="1">ROUND(C20*$C$18+D20*$D$18,0)</f>
        <v>41871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0.70543866613735617</v>
      </c>
      <c r="E22" s="129"/>
      <c r="F22" s="129"/>
      <c r="G22" s="129"/>
      <c r="H22" s="129"/>
      <c r="I22" s="129"/>
    </row>
    <row r="23" spans="1:36" ht="13.5" thickBot="1">
      <c r="A23" s="1747"/>
      <c r="B23" s="1747"/>
      <c r="C23" s="1747"/>
      <c r="D23" s="1747"/>
      <c r="E23" s="129"/>
      <c r="F23" s="129"/>
      <c r="G23" s="129"/>
      <c r="H23" s="129"/>
      <c r="I23" s="129"/>
    </row>
    <row r="24" spans="1:36" ht="14.25" hidden="1">
      <c r="A24" s="3640" t="s">
        <v>1298</v>
      </c>
      <c r="B24" s="1762" t="s">
        <v>1290</v>
      </c>
      <c r="C24" s="136">
        <f>IF(B30=0,0,D30)</f>
        <v>0</v>
      </c>
      <c r="D24" s="1769"/>
      <c r="E24" s="129"/>
      <c r="F24" s="129"/>
      <c r="G24" s="129"/>
      <c r="H24" s="129"/>
      <c r="I24" s="129"/>
    </row>
    <row r="25" spans="1:36" ht="14.25" hidden="1">
      <c r="A25" s="3641"/>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41871</v>
      </c>
      <c r="D32" s="1775" t="s">
        <v>3520</v>
      </c>
      <c r="E32" s="129"/>
      <c r="F32" s="129"/>
      <c r="G32" s="129"/>
      <c r="H32" s="129"/>
      <c r="I32" s="129"/>
    </row>
    <row r="33" spans="1:15" ht="15">
      <c r="A33" s="786" t="s">
        <v>1305</v>
      </c>
      <c r="B33" s="1776"/>
      <c r="C33" s="1777" t="s">
        <v>3502</v>
      </c>
      <c r="D33" s="1778" t="s">
        <v>3500</v>
      </c>
      <c r="E33" s="1779" t="s">
        <v>1306</v>
      </c>
      <c r="F33" s="1780" t="str">
        <f>IF(D32="楼面单价","取值（单价）","取值（总价）")</f>
        <v>取值（单价）</v>
      </c>
      <c r="G33" s="129"/>
      <c r="H33" s="129"/>
      <c r="I33" s="129"/>
    </row>
    <row r="34" spans="1:15" ht="15">
      <c r="A34" s="1781"/>
      <c r="B34" s="1782" t="s">
        <v>1307</v>
      </c>
      <c r="C34" s="148">
        <f ca="1">IF(C33="自定义",F34,C32-C35)</f>
        <v>34250</v>
      </c>
      <c r="D34" s="861">
        <f ca="1">IF(C33="自定义",ROUND(C34/C32,3),IF(C33="收益比率",SUMIF(INDIRECT("'"&amp;D33&amp;"'"&amp;"!b:b"),"土地收益比率",INDIRECT("'"&amp;D33&amp;"'"&amp;"!c:c")),SUMIF(INDIRECT("'"&amp;D33&amp;"'"&amp;"!b:b"),"土地成本比率",INDIRECT("'"&amp;D33&amp;"'"&amp;"!c:c"))))</f>
        <v>0.81800000000000006</v>
      </c>
      <c r="E34" s="1783" t="s">
        <v>1308</v>
      </c>
      <c r="F34" s="1330"/>
      <c r="G34" s="129"/>
      <c r="H34" s="129"/>
      <c r="I34" s="129"/>
    </row>
    <row r="35" spans="1:15" ht="15.75" thickBot="1">
      <c r="A35" s="1784"/>
      <c r="B35" s="1785" t="s">
        <v>1309</v>
      </c>
      <c r="C35" s="1170">
        <f ca="1">IF(C33="自定义",F35,ROUND(C32*D35,0))</f>
        <v>7621</v>
      </c>
      <c r="D35" s="1171">
        <f ca="1">IF(C33="自定义",ROUND(C35/C32,3),IF(C33="收益比率",SUMIF(INDIRECT("'"&amp;D33&amp;"'"&amp;"!b:b"),"建筑物收益比率",INDIRECT("'"&amp;D33&amp;"'"&amp;"!c:c")),SUMIF(INDIRECT("'"&amp;D33&amp;"'"&amp;"!b:b"),"建筑物成本比率",INDIRECT("'"&amp;D33&amp;"'"&amp;"!c:c"))))</f>
        <v>0.182</v>
      </c>
      <c r="E35" s="1786" t="s">
        <v>1310</v>
      </c>
      <c r="F35" s="154"/>
      <c r="G35" s="129"/>
      <c r="H35" s="129"/>
      <c r="I35" s="129"/>
    </row>
    <row r="36" spans="1:15" ht="15.75" thickBot="1">
      <c r="A36" s="3617" t="s">
        <v>1311</v>
      </c>
      <c r="B36" s="1787" t="s">
        <v>1312</v>
      </c>
      <c r="C36" s="145"/>
      <c r="D36" s="1788"/>
      <c r="E36" s="1789"/>
      <c r="F36" s="1790"/>
      <c r="G36" s="129"/>
      <c r="H36" s="129"/>
      <c r="I36" s="129"/>
    </row>
    <row r="37" spans="1:15" ht="15.75" thickBot="1">
      <c r="A37" s="3618"/>
      <c r="B37" s="1674" t="s">
        <v>1313</v>
      </c>
      <c r="C37" s="147"/>
      <c r="D37" s="1139"/>
      <c r="E37" s="1139"/>
      <c r="F37" s="1790"/>
      <c r="G37" s="129"/>
      <c r="H37" s="129"/>
      <c r="I37" s="129"/>
    </row>
    <row r="38" spans="1:15" ht="15.75" thickBot="1">
      <c r="A38" s="361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7" t="s">
        <v>1325</v>
      </c>
      <c r="B45" s="3638"/>
      <c r="C45" s="3639"/>
      <c r="D45" s="155">
        <f ca="1">ROUND(H101*F45,0)</f>
        <v>3763</v>
      </c>
      <c r="E45" s="156" t="s">
        <v>1326</v>
      </c>
      <c r="F45" s="157">
        <v>1</v>
      </c>
      <c r="G45" s="158" t="s">
        <v>1327</v>
      </c>
      <c r="H45" s="129"/>
      <c r="I45" s="129"/>
      <c r="J45" s="3557" t="s">
        <v>1328</v>
      </c>
      <c r="K45" s="3557"/>
      <c r="L45" s="3557"/>
      <c r="M45" s="3557"/>
      <c r="N45" s="3557"/>
      <c r="O45" s="3557"/>
    </row>
    <row r="46" spans="1:15" ht="14.25" customHeight="1">
      <c r="A46" s="3634" t="s">
        <v>1329</v>
      </c>
      <c r="B46" s="3635"/>
      <c r="C46" s="3635"/>
      <c r="D46" s="3635"/>
      <c r="E46" s="3635"/>
      <c r="F46" s="3635"/>
      <c r="G46" s="3636"/>
      <c r="H46" s="1806"/>
      <c r="I46" s="159"/>
      <c r="J46" s="2517">
        <v>1</v>
      </c>
      <c r="K46" s="3558" t="s">
        <v>1330</v>
      </c>
      <c r="L46" s="3558"/>
      <c r="M46" s="3559"/>
      <c r="N46" s="3559"/>
      <c r="O46" s="3559"/>
    </row>
    <row r="47" spans="1:15" ht="12" customHeight="1">
      <c r="A47" s="160" t="s">
        <v>1331</v>
      </c>
      <c r="B47" s="161"/>
      <c r="C47" s="162"/>
      <c r="D47" s="1087" t="s">
        <v>1332</v>
      </c>
      <c r="E47" s="302" t="s">
        <v>1333</v>
      </c>
      <c r="F47" s="163" t="s">
        <v>1334</v>
      </c>
      <c r="G47" s="2540" t="s">
        <v>1335</v>
      </c>
      <c r="H47" s="2541"/>
      <c r="I47" s="159"/>
      <c r="J47" s="2517">
        <v>2</v>
      </c>
      <c r="K47" s="3558" t="s">
        <v>1336</v>
      </c>
      <c r="L47" s="3558"/>
      <c r="M47" s="3560">
        <f>'数据-取费表'!B2</f>
        <v>44931</v>
      </c>
      <c r="N47" s="3560"/>
      <c r="O47" s="3560"/>
    </row>
    <row r="48" spans="1:15" ht="25.5">
      <c r="A48" s="3620" t="s">
        <v>1337</v>
      </c>
      <c r="B48" s="3621"/>
      <c r="C48" s="3621"/>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3503</v>
      </c>
      <c r="I48" s="1806"/>
      <c r="J48" s="2517">
        <v>3</v>
      </c>
      <c r="K48" s="3558" t="s">
        <v>1339</v>
      </c>
      <c r="L48" s="3558"/>
      <c r="M48" s="3561">
        <f ca="1">H101</f>
        <v>3763</v>
      </c>
      <c r="N48" s="3561"/>
      <c r="O48" s="3561"/>
    </row>
    <row r="49" spans="1:35" ht="25.5" customHeight="1">
      <c r="A49" s="2332" t="s">
        <v>1340</v>
      </c>
      <c r="B49" s="3606" t="s">
        <v>1341</v>
      </c>
      <c r="C49" s="3606"/>
      <c r="D49" s="1590">
        <v>0</v>
      </c>
      <c r="E49" s="324" t="s">
        <v>1342</v>
      </c>
      <c r="F49" s="2420" t="s">
        <v>28</v>
      </c>
      <c r="G49" s="3589"/>
      <c r="H49" s="2309" t="s">
        <v>2132</v>
      </c>
      <c r="I49" s="2310"/>
      <c r="J49" s="2517">
        <v>4</v>
      </c>
      <c r="K49" s="3558" t="str">
        <f>IF(项目基本情况!E8="房地产抵押价值","房地产抵押价值","抵押担保权已注销时的房地产抵押价值")</f>
        <v>抵押担保权已注销时的房地产抵押价值</v>
      </c>
      <c r="L49" s="3558"/>
      <c r="M49" s="3561">
        <f ca="1">IF(项目基本情况!E8="房地产抵押价值",H107,H109)</f>
        <v>3763</v>
      </c>
      <c r="N49" s="3561"/>
      <c r="O49" s="3561"/>
    </row>
    <row r="50" spans="1:35" ht="25.5" customHeight="1">
      <c r="A50" s="2545"/>
      <c r="B50" s="3606" t="s">
        <v>1343</v>
      </c>
      <c r="C50" s="3606"/>
      <c r="D50" s="2546"/>
      <c r="E50" s="332"/>
      <c r="F50" s="2420"/>
      <c r="G50" s="3590"/>
      <c r="H50" s="2311" t="s">
        <v>2133</v>
      </c>
      <c r="I50" s="2310"/>
      <c r="J50" s="3557" t="s">
        <v>1344</v>
      </c>
      <c r="K50" s="3557"/>
      <c r="L50" s="3557"/>
      <c r="M50" s="3557"/>
      <c r="N50" s="3557"/>
      <c r="O50" s="3557"/>
    </row>
    <row r="51" spans="1:35" ht="20.45" customHeight="1">
      <c r="A51" s="2547"/>
      <c r="B51" s="3606" t="s">
        <v>1345</v>
      </c>
      <c r="C51" s="3606"/>
      <c r="D51" s="1087"/>
      <c r="E51" s="327"/>
      <c r="F51" s="2420"/>
      <c r="G51" s="3591"/>
      <c r="H51" s="2311" t="s">
        <v>2134</v>
      </c>
      <c r="I51" s="2310"/>
      <c r="J51" s="2518" t="s">
        <v>1346</v>
      </c>
      <c r="K51" s="3558" t="s">
        <v>1347</v>
      </c>
      <c r="L51" s="3558"/>
      <c r="M51" s="2518" t="s">
        <v>1348</v>
      </c>
      <c r="N51" s="2518" t="s">
        <v>1349</v>
      </c>
      <c r="O51" s="2518" t="s">
        <v>1350</v>
      </c>
    </row>
    <row r="52" spans="1:35" ht="24" customHeight="1">
      <c r="A52" s="2334" t="s">
        <v>1351</v>
      </c>
      <c r="B52" s="3606" t="s">
        <v>1352</v>
      </c>
      <c r="C52" s="3606"/>
      <c r="D52" s="1087">
        <f ca="1">ROUND(D45*'数据-取费表'!B41/(1+'数据-取费表'!C42),0)</f>
        <v>197</v>
      </c>
      <c r="E52" s="2333" t="s">
        <v>1353</v>
      </c>
      <c r="F52" s="2548">
        <f>'数据-取费表'!B41</f>
        <v>5.5000000000000007E-2</v>
      </c>
      <c r="G52" s="2549"/>
      <c r="H52" s="2538"/>
      <c r="I52" s="1807"/>
      <c r="J52" s="2517">
        <v>1</v>
      </c>
      <c r="K52" s="3583" t="s">
        <v>1354</v>
      </c>
      <c r="L52" s="3583"/>
      <c r="M52" s="2519">
        <f ca="1">D48</f>
        <v>0</v>
      </c>
      <c r="N52" s="2517" t="str">
        <f>E48</f>
        <v>(销售额-原购置价)×税（费）率</v>
      </c>
      <c r="O52" s="2520">
        <f>F48</f>
        <v>5.5000000000000007E-2</v>
      </c>
    </row>
    <row r="53" spans="1:35" ht="12" customHeight="1">
      <c r="A53" s="2334" t="s">
        <v>1355</v>
      </c>
      <c r="B53" s="3607" t="s">
        <v>2282</v>
      </c>
      <c r="C53" s="3608"/>
      <c r="D53" s="1087">
        <f ca="1">ROUND(D45*'数据-取费表'!B41/(1+'数据-取费表'!C42),0)</f>
        <v>197</v>
      </c>
      <c r="E53" s="2333" t="s">
        <v>1353</v>
      </c>
      <c r="F53" s="2548">
        <f>'数据-取费表'!B41</f>
        <v>5.5000000000000007E-2</v>
      </c>
      <c r="G53" s="2549"/>
      <c r="H53" s="2538"/>
      <c r="I53" s="1807"/>
      <c r="J53" s="2517">
        <v>2</v>
      </c>
      <c r="K53" s="3583" t="s">
        <v>1356</v>
      </c>
      <c r="L53" s="3583"/>
      <c r="M53" s="2519">
        <f t="shared" ref="M53:O54" ca="1" si="0">D55</f>
        <v>2</v>
      </c>
      <c r="N53" s="2517" t="str">
        <f t="shared" si="0"/>
        <v>销售额×税（费）率</v>
      </c>
      <c r="O53" s="2520">
        <f t="shared" si="0"/>
        <v>5.0000000000000001E-4</v>
      </c>
    </row>
    <row r="54" spans="1:35" ht="12" customHeight="1">
      <c r="A54" s="2334" t="s">
        <v>1357</v>
      </c>
      <c r="B54" s="3607" t="s">
        <v>2283</v>
      </c>
      <c r="C54" s="3608"/>
      <c r="D54" s="1087">
        <f ca="1">C68</f>
        <v>0</v>
      </c>
      <c r="E54" s="327" t="s">
        <v>1358</v>
      </c>
      <c r="F54" s="2548">
        <f>'数据-取费表'!B41</f>
        <v>5.5000000000000007E-2</v>
      </c>
      <c r="G54" s="2549"/>
      <c r="H54" s="2550"/>
      <c r="I54" s="1807"/>
      <c r="J54" s="2517">
        <v>3</v>
      </c>
      <c r="K54" s="3583" t="s">
        <v>1359</v>
      </c>
      <c r="L54" s="3583"/>
      <c r="M54" s="2519">
        <f t="shared" ca="1" si="0"/>
        <v>0</v>
      </c>
      <c r="N54" s="2517" t="str">
        <f t="shared" si="0"/>
        <v>增值额×税（费）率</v>
      </c>
      <c r="O54" s="2521" t="str">
        <f t="shared" si="0"/>
        <v>——</v>
      </c>
    </row>
    <row r="55" spans="1:35" ht="24" customHeight="1">
      <c r="A55" s="3643" t="s">
        <v>1360</v>
      </c>
      <c r="B55" s="3621"/>
      <c r="C55" s="3621"/>
      <c r="D55" s="2323">
        <f ca="1">IF(H55="个人住宅",0,ROUND(D45*I55,0))</f>
        <v>2</v>
      </c>
      <c r="E55" s="2333" t="s">
        <v>1361</v>
      </c>
      <c r="F55" s="2548">
        <f>IF(H55="正常",I55,"免征")</f>
        <v>5.0000000000000001E-4</v>
      </c>
      <c r="G55" s="2549"/>
      <c r="H55" s="2544" t="s">
        <v>3439</v>
      </c>
      <c r="I55" s="165">
        <f>'数据-取费表'!B49</f>
        <v>5.0000000000000001E-4</v>
      </c>
      <c r="J55" s="2517" t="str">
        <f>IF(H59="非个人房产","",4)</f>
        <v/>
      </c>
      <c r="K55" s="3583" t="str">
        <f>IF(H59="非个人房产","——","个人所得税")</f>
        <v>——</v>
      </c>
      <c r="L55" s="3583"/>
      <c r="M55" s="2522" t="str">
        <f>D59</f>
        <v>——</v>
      </c>
      <c r="N55" s="2040" t="str">
        <f>E59</f>
        <v>——</v>
      </c>
      <c r="O55" s="2523" t="str">
        <f>F59</f>
        <v>——</v>
      </c>
    </row>
    <row r="56" spans="1:35" ht="24.75">
      <c r="A56" s="3643" t="s">
        <v>1362</v>
      </c>
      <c r="B56" s="3621"/>
      <c r="C56" s="3621"/>
      <c r="D56" s="2323">
        <f ca="1">IF(H56="个人住宅",D57,D58)</f>
        <v>0</v>
      </c>
      <c r="E56" s="2333" t="s">
        <v>1363</v>
      </c>
      <c r="F56" s="2548" t="str">
        <f>IF(H56="正常",F58,"免征")</f>
        <v>——</v>
      </c>
      <c r="G56" s="2551" t="s">
        <v>1364</v>
      </c>
      <c r="H56" s="2552" t="s">
        <v>3439</v>
      </c>
      <c r="I56" s="1808"/>
      <c r="J56" s="2517" t="str">
        <f>IF(项目基本情况!K6="上海银行",IF(J55="",4,J55+1),"")</f>
        <v/>
      </c>
      <c r="K56" s="3564" t="str">
        <f>IF(项目基本情况!K6="上海银行","其他处置费用","")</f>
        <v/>
      </c>
      <c r="L56" s="3565"/>
      <c r="M56" s="2519" t="str">
        <f>IF(项目基本情况!K6="上海银行",M69,"")</f>
        <v/>
      </c>
      <c r="N56" s="3564" t="str">
        <f>IF(项目基本情况!K6="上海银行","包含处置中涉及的律师、诉讼、拍卖、评估等费用","")</f>
        <v/>
      </c>
      <c r="O56" s="3567"/>
    </row>
    <row r="57" spans="1:35" ht="12.75">
      <c r="A57" s="2334" t="s">
        <v>1340</v>
      </c>
      <c r="B57" s="3607" t="s">
        <v>1365</v>
      </c>
      <c r="C57" s="3608"/>
      <c r="D57" s="1590">
        <v>0</v>
      </c>
      <c r="E57" s="324" t="s">
        <v>1342</v>
      </c>
      <c r="F57" s="302"/>
      <c r="G57" s="2549"/>
      <c r="H57" s="2553"/>
      <c r="I57" s="1808"/>
      <c r="J57" s="3583">
        <f>IF(AND(J55="",J56=""),4,IF(项目基本情况!K6="上海银行",结果表!J56+1,结果表!J55+1))</f>
        <v>4</v>
      </c>
      <c r="K57" s="3583" t="s">
        <v>1366</v>
      </c>
      <c r="L57" s="2524" t="s">
        <v>1367</v>
      </c>
      <c r="M57" s="2525"/>
      <c r="N57" s="2526">
        <f ca="1">SUMIF(M52:M56,"&lt;9e307")</f>
        <v>2</v>
      </c>
      <c r="O57" s="2527"/>
      <c r="P57" s="2684">
        <f ca="1">N57/M49</f>
        <v>5.3149083178315171E-4</v>
      </c>
    </row>
    <row r="58" spans="1:35" ht="24.75">
      <c r="A58" s="2334" t="s">
        <v>1351</v>
      </c>
      <c r="B58" s="3607" t="s">
        <v>1368</v>
      </c>
      <c r="C58" s="3606"/>
      <c r="D58" s="2323">
        <f ca="1">IF(H58="转让取得",C81,C97)</f>
        <v>0</v>
      </c>
      <c r="E58" s="2333" t="s">
        <v>1363</v>
      </c>
      <c r="F58" s="302" t="s">
        <v>28</v>
      </c>
      <c r="G58" s="2549"/>
      <c r="H58" s="2552" t="s">
        <v>3504</v>
      </c>
      <c r="I58" s="1808"/>
      <c r="J58" s="3583"/>
      <c r="K58" s="3583"/>
      <c r="L58" s="2524" t="s">
        <v>1369</v>
      </c>
      <c r="M58" s="2528"/>
      <c r="N58" s="2529" t="str">
        <f ca="1">NUMBERSTRING(INT(N57*10000),2)&amp;"元整"</f>
        <v>贰万元整</v>
      </c>
      <c r="O58" s="2530"/>
    </row>
    <row r="59" spans="1:35" ht="24.75" thickBot="1">
      <c r="A59" s="3587" t="s">
        <v>1370</v>
      </c>
      <c r="B59" s="3588"/>
      <c r="C59" s="3588"/>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3505</v>
      </c>
      <c r="I59" s="2312" t="s">
        <v>2135</v>
      </c>
      <c r="J59" s="3585">
        <f>J57+1</f>
        <v>5</v>
      </c>
      <c r="K59" s="3583" t="s">
        <v>1371</v>
      </c>
      <c r="L59" s="2517" t="s">
        <v>1367</v>
      </c>
      <c r="M59" s="2531"/>
      <c r="N59" s="2532">
        <f ca="1">M49-N57</f>
        <v>3761</v>
      </c>
      <c r="O59" s="2533"/>
    </row>
    <row r="60" spans="1:35" ht="12" customHeight="1">
      <c r="A60" s="1809"/>
      <c r="B60" s="1747"/>
      <c r="C60" s="1747"/>
      <c r="D60" s="1747"/>
      <c r="E60" s="1578"/>
      <c r="F60" s="1808"/>
      <c r="G60" s="1808"/>
      <c r="H60" s="1810"/>
      <c r="I60" s="129"/>
      <c r="J60" s="3586"/>
      <c r="K60" s="3583"/>
      <c r="L60" s="2524" t="s">
        <v>1369</v>
      </c>
      <c r="M60" s="2528"/>
      <c r="N60" s="2529" t="str">
        <f ca="1">NUMBERSTRING(INT(N59*10000),2)&amp;"元整"</f>
        <v>叁仟柒佰陆拾壹万元整</v>
      </c>
      <c r="O60" s="2530"/>
    </row>
    <row r="61" spans="1:35" ht="13.5" thickBot="1">
      <c r="A61" s="3642" t="s">
        <v>1372</v>
      </c>
      <c r="B61" s="3642"/>
      <c r="C61" s="3642"/>
      <c r="D61" s="3642"/>
      <c r="E61" s="3642"/>
      <c r="F61" s="1808"/>
      <c r="G61" s="1808"/>
      <c r="H61" s="1810"/>
      <c r="I61" s="129"/>
      <c r="J61" s="2517">
        <f>J59+1</f>
        <v>6</v>
      </c>
      <c r="K61" s="3583" t="s">
        <v>1373</v>
      </c>
      <c r="L61" s="3583"/>
      <c r="M61" s="2534"/>
      <c r="N61" s="2535">
        <f ca="1">ROUND(N59*10000/'数据-汇总表'!E3,0)</f>
        <v>41854</v>
      </c>
      <c r="O61" s="2536"/>
    </row>
    <row r="62" spans="1:35" ht="12.75">
      <c r="A62" s="3602" t="s">
        <v>1374</v>
      </c>
      <c r="B62" s="3603"/>
      <c r="C62" s="2021"/>
      <c r="D62" s="2021" t="s">
        <v>1375</v>
      </c>
      <c r="E62" s="166" t="s">
        <v>1376</v>
      </c>
      <c r="F62" s="1808"/>
      <c r="G62" s="1808"/>
      <c r="H62" s="1810"/>
      <c r="I62" s="129"/>
    </row>
    <row r="63" spans="1:35" ht="12.75">
      <c r="A63" s="173" t="s">
        <v>330</v>
      </c>
      <c r="B63" s="167" t="s">
        <v>1377</v>
      </c>
      <c r="C63" s="2558">
        <f ca="1">ROUND((C64+C65)/(1+'数据-取费表'!C42),0)</f>
        <v>3584</v>
      </c>
      <c r="D63" s="167"/>
      <c r="E63" s="168"/>
      <c r="F63" s="1808"/>
      <c r="G63" s="1808"/>
      <c r="H63" s="1810"/>
      <c r="I63" s="129"/>
      <c r="J63" s="3566" t="s">
        <v>1378</v>
      </c>
      <c r="K63" s="1332" t="s">
        <v>1379</v>
      </c>
      <c r="L63" s="1332">
        <f ca="1">IF(M49&gt;10000,M49*0.5%,IF(AND(M49&gt;1000,M49&lt;=10000),M49*1%,IF(AND(M49&gt;100,M49&lt;=1000),M49*3%,IF(AND(M49&gt;10,M49&lt;=100),M49*5%,M49*8%))))</f>
        <v>37.630000000000003</v>
      </c>
      <c r="M63" s="302">
        <f ca="1">ROUND(L63,1)</f>
        <v>37.6</v>
      </c>
      <c r="N63" s="2537"/>
      <c r="Z63" s="1752"/>
      <c r="AI63" s="1753"/>
    </row>
    <row r="64" spans="1:35" ht="14.25" customHeight="1">
      <c r="A64" s="169" t="s">
        <v>325</v>
      </c>
      <c r="B64" s="170" t="s">
        <v>1380</v>
      </c>
      <c r="C64" s="2559">
        <f ca="1">D45</f>
        <v>3763</v>
      </c>
      <c r="D64" s="170" t="s">
        <v>26</v>
      </c>
      <c r="E64" s="172"/>
      <c r="F64" s="1808"/>
      <c r="G64" s="1808"/>
      <c r="H64" s="1810"/>
      <c r="I64" s="129"/>
      <c r="J64" s="3566"/>
      <c r="K64" s="1332" t="s">
        <v>1381</v>
      </c>
      <c r="L64" s="1332">
        <f ca="1">IF(M49&gt;2000,M49*0.5%,IF(AND(M49&gt;1000,M49&lt;=2000),M49*0.6%,IF(AND(M49&gt;500,M49&lt;=1000),M49*0.7%,IF(AND(M49&gt;200,M49&lt;=500),M49*0.8%,IF(AND(M49&gt;100,M49&lt;=200),M49*0.9%,IF(AND(M49&gt;50,M49&lt;=100),M49*1%,IF(AND(M49&gt;20,M49&lt;=50),M49*1.5%,IF(AND(M49&gt;10,M49&lt;=20),M49*2%,IF(AND(M49&gt;1,M49&lt;=10),M49*2.5%)))))))))</f>
        <v>18.815000000000001</v>
      </c>
      <c r="M64" s="302">
        <f t="shared" ref="M64:M65" ca="1" si="1">ROUND(L64,1)</f>
        <v>18.8</v>
      </c>
      <c r="N64" s="2538" t="s">
        <v>1382</v>
      </c>
      <c r="Z64" s="1752"/>
      <c r="AI64" s="1753"/>
    </row>
    <row r="65" spans="1:35" ht="14.25" customHeight="1">
      <c r="A65" s="169" t="s">
        <v>326</v>
      </c>
      <c r="B65" s="170" t="s">
        <v>1383</v>
      </c>
      <c r="C65" s="2560"/>
      <c r="D65" s="170"/>
      <c r="E65" s="172"/>
      <c r="F65" s="1808"/>
      <c r="G65" s="1808"/>
      <c r="H65" s="1810"/>
      <c r="I65" s="129"/>
      <c r="J65" s="3566"/>
      <c r="K65" s="1332" t="s">
        <v>1384</v>
      </c>
      <c r="L65" s="1332">
        <f ca="1">IF(M49&gt;1000,M49*0.1%,IF(AND(M49&gt;500,M49&lt;=1000),M49*0.5%,IF(AND(M49&gt;50,M49&lt;=500),M49*1%,IF(AND(M49&gt;1,M49&lt;=50),M49*1.5%))))</f>
        <v>3.7629999999999999</v>
      </c>
      <c r="M65" s="302">
        <f t="shared" ca="1" si="1"/>
        <v>3.8</v>
      </c>
      <c r="N65" s="2538" t="s">
        <v>1382</v>
      </c>
      <c r="Z65" s="1752"/>
      <c r="AI65" s="1753"/>
    </row>
    <row r="66" spans="1:35" ht="14.25" customHeight="1">
      <c r="A66" s="173" t="s">
        <v>327</v>
      </c>
      <c r="B66" s="174" t="s">
        <v>1385</v>
      </c>
      <c r="C66" s="2561">
        <f>ROUND(资料!N17/1.05,0)</f>
        <v>4159</v>
      </c>
      <c r="D66" s="174" t="s">
        <v>26</v>
      </c>
      <c r="E66" s="1338" t="s">
        <v>671</v>
      </c>
      <c r="F66" s="1808"/>
      <c r="G66" s="1808"/>
      <c r="H66" s="1810"/>
      <c r="I66" s="129"/>
      <c r="J66" s="3566"/>
      <c r="K66" s="1332" t="s">
        <v>1386</v>
      </c>
      <c r="L66" s="1332">
        <f ca="1">M49*0.5%</f>
        <v>18.815000000000001</v>
      </c>
      <c r="M66" s="302">
        <f ca="1">IF(L66&gt;0.5,0.5,ROUND(L66,0))</f>
        <v>0.5</v>
      </c>
      <c r="N66" s="2538" t="s">
        <v>1387</v>
      </c>
      <c r="Z66" s="1752"/>
      <c r="AI66" s="1753"/>
    </row>
    <row r="67" spans="1:35" ht="14.25" customHeight="1">
      <c r="A67" s="173" t="s">
        <v>328</v>
      </c>
      <c r="B67" s="174" t="s">
        <v>1388</v>
      </c>
      <c r="C67" s="2562">
        <f ca="1">C63-C66</f>
        <v>-575</v>
      </c>
      <c r="D67" s="170" t="s">
        <v>26</v>
      </c>
      <c r="E67" s="172"/>
      <c r="F67" s="1808"/>
      <c r="G67" s="1808"/>
      <c r="H67" s="1810"/>
      <c r="I67" s="129"/>
      <c r="J67" s="3566"/>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566"/>
      <c r="K68" s="1332" t="s">
        <v>1391</v>
      </c>
      <c r="L68" s="1332">
        <f ca="1">IF(M49&gt;10000,M49*0.5%,IF(AND(M49&gt;5000,M49&lt;=10000),M49*1%,IF(AND(M49&gt;1000,M49&lt;=5000),M49*2%,IF(AND(M49&gt;200,M49&lt;=1000),M49*3%,M49*5%))))</f>
        <v>75.260000000000005</v>
      </c>
      <c r="M68" s="302">
        <f ca="1">ROUND(L68,1)</f>
        <v>75.3</v>
      </c>
      <c r="N68" s="2537"/>
      <c r="Z68" s="1752"/>
      <c r="AI68" s="1753"/>
    </row>
    <row r="69" spans="1:35" s="1772" customFormat="1" ht="16.5" customHeight="1">
      <c r="A69" s="1811"/>
      <c r="B69" s="1812"/>
      <c r="C69" s="1813"/>
      <c r="D69" s="1814"/>
      <c r="E69" s="1815"/>
      <c r="F69" s="1578"/>
      <c r="G69" s="1578"/>
      <c r="H69" s="1577"/>
      <c r="I69" s="1747"/>
      <c r="J69" s="3566"/>
      <c r="K69" s="1332" t="s">
        <v>1392</v>
      </c>
      <c r="L69" s="1332"/>
      <c r="M69" s="302">
        <f ca="1">ROUND(SUM(M63:M68),0)</f>
        <v>138</v>
      </c>
      <c r="N69" s="2539">
        <f ca="1">M69/M49</f>
        <v>3.6672867393037469E-2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1393</v>
      </c>
      <c r="B70" s="3611"/>
      <c r="C70" s="3611"/>
      <c r="D70" s="3611"/>
      <c r="E70" s="3611"/>
      <c r="F70" s="3611"/>
      <c r="G70" s="3611"/>
      <c r="H70" s="3611"/>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2" t="s">
        <v>1374</v>
      </c>
      <c r="B71" s="3603"/>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3584</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4304</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4286</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资料!N17</f>
        <v>4367.24</v>
      </c>
      <c r="D75" s="170" t="s">
        <v>26</v>
      </c>
      <c r="E75" s="184" t="s">
        <v>1398</v>
      </c>
      <c r="F75" s="2566" t="s">
        <v>3507</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607" t="s">
        <v>1401</v>
      </c>
      <c r="F76" s="3606"/>
      <c r="G76" s="3606"/>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127</v>
      </c>
      <c r="D77" s="2569">
        <f>'数据-取费表'!B48+'数据-取费表'!B49</f>
        <v>3.0499999999999999E-2</v>
      </c>
      <c r="E77" s="2323" t="s">
        <v>1403</v>
      </c>
      <c r="F77" s="186"/>
      <c r="G77" s="1822" t="s">
        <v>3508</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18</v>
      </c>
      <c r="D78" s="2571">
        <f>'数据-取费表'!B43</f>
        <v>5.000000000000001E-3</v>
      </c>
      <c r="E78" s="3599" t="s">
        <v>1405</v>
      </c>
      <c r="F78" s="3600"/>
      <c r="G78" s="3600"/>
      <c r="H78" s="360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-720</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0" t="s">
        <v>1409</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02" t="s">
        <v>1374</v>
      </c>
      <c r="B84" s="360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3584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18</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568" t="s">
        <v>2127</v>
      </c>
      <c r="H90" s="3569"/>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99" t="s">
        <v>1418</v>
      </c>
      <c r="F91" s="3600"/>
      <c r="G91" s="360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99" t="s">
        <v>1421</v>
      </c>
      <c r="F92" s="3600"/>
      <c r="G92" s="3600"/>
      <c r="H92" s="3601"/>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18</v>
      </c>
      <c r="D93" s="2571">
        <f>'数据-取费表'!B43</f>
        <v>5.000000000000001E-3</v>
      </c>
      <c r="E93" s="3599" t="s">
        <v>1405</v>
      </c>
      <c r="F93" s="3600"/>
      <c r="G93" s="3600"/>
      <c r="H93" s="360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644" t="s">
        <v>1425</v>
      </c>
      <c r="F94" s="3645"/>
      <c r="G94" s="3645"/>
      <c r="H94" s="364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3566</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198.11111111111111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2133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49" t="s">
        <v>1427</v>
      </c>
      <c r="B100" s="3550"/>
      <c r="C100" s="3550"/>
      <c r="D100" s="3584"/>
      <c r="E100" s="3550" t="s">
        <v>1428</v>
      </c>
      <c r="F100" s="3550"/>
      <c r="G100" s="3550"/>
      <c r="H100" s="3584"/>
      <c r="I100" s="129"/>
    </row>
    <row r="101" spans="1:35" ht="18.75" customHeight="1">
      <c r="A101" s="3592" t="s">
        <v>1429</v>
      </c>
      <c r="B101" s="3593"/>
      <c r="C101" s="2579" t="str">
        <f>C4</f>
        <v>比较法-商业</v>
      </c>
      <c r="D101" s="2580" t="str">
        <f>D4</f>
        <v>成本法</v>
      </c>
      <c r="E101" s="3562" t="s">
        <v>1430</v>
      </c>
      <c r="F101" s="3563"/>
      <c r="G101" s="1827" t="s">
        <v>1431</v>
      </c>
      <c r="H101" s="2589">
        <f ca="1">H118</f>
        <v>3763</v>
      </c>
      <c r="I101" s="129"/>
    </row>
    <row r="102" spans="1:35" ht="18.75" customHeight="1">
      <c r="A102" s="3594" t="s">
        <v>1432</v>
      </c>
      <c r="B102" s="2578" t="s">
        <v>1431</v>
      </c>
      <c r="C102" s="2579">
        <f ca="1">IF(D32="楼面单价",ROUND(C19,0),C19)</f>
        <v>4296</v>
      </c>
      <c r="D102" s="2580">
        <f ca="1">IF(D32="楼面单价",ROUND(D19,0),D19)</f>
        <v>2519</v>
      </c>
      <c r="E102" s="3562"/>
      <c r="F102" s="3563"/>
      <c r="G102" s="1827" t="s">
        <v>1433</v>
      </c>
      <c r="H102" s="2549">
        <f ca="1">I118</f>
        <v>41871</v>
      </c>
      <c r="I102" s="129"/>
    </row>
    <row r="103" spans="1:35" ht="42.75" customHeight="1">
      <c r="A103" s="3594"/>
      <c r="B103" s="2578" t="s">
        <v>1433</v>
      </c>
      <c r="C103" s="2581">
        <f ca="1">C20</f>
        <v>47802</v>
      </c>
      <c r="D103" s="2582">
        <f ca="1">D20</f>
        <v>28032</v>
      </c>
      <c r="E103" s="3555" t="s">
        <v>3519</v>
      </c>
      <c r="F103" s="3556"/>
      <c r="G103" s="1828" t="s">
        <v>1434</v>
      </c>
      <c r="H103" s="2589">
        <f>IF(D36="正常操作",H104+H105+H106,H105+H106)</f>
        <v>0</v>
      </c>
      <c r="I103" s="129"/>
    </row>
    <row r="104" spans="1:35" ht="18.75" customHeight="1">
      <c r="A104" s="3594" t="s">
        <v>1435</v>
      </c>
      <c r="B104" s="2583" t="s">
        <v>1431</v>
      </c>
      <c r="C104" s="2584">
        <f ca="1">H118</f>
        <v>3763</v>
      </c>
      <c r="D104" s="2585"/>
      <c r="E104" s="1674" t="s">
        <v>1436</v>
      </c>
      <c r="F104" s="1666"/>
      <c r="G104" s="1828" t="s">
        <v>1434</v>
      </c>
      <c r="H104" s="2590">
        <f>IF(D36="同一抵押权人同一抵押物续贷",C36&amp;"（续贷，未扣减，详见特别提示）",C36)</f>
        <v>0</v>
      </c>
      <c r="I104" s="129"/>
    </row>
    <row r="105" spans="1:35" ht="18.75" customHeight="1" thickBot="1">
      <c r="A105" s="3604"/>
      <c r="B105" s="2586" t="s">
        <v>1433</v>
      </c>
      <c r="C105" s="2587">
        <f ca="1">I118</f>
        <v>41871</v>
      </c>
      <c r="D105" s="2588"/>
      <c r="E105" s="1674" t="s">
        <v>1437</v>
      </c>
      <c r="F105" s="1666"/>
      <c r="G105" s="1828" t="s">
        <v>1434</v>
      </c>
      <c r="H105" s="2591">
        <f>C37</f>
        <v>0</v>
      </c>
      <c r="I105" s="129"/>
    </row>
    <row r="106" spans="1:35" ht="18.75" customHeight="1">
      <c r="A106" s="1747" t="s">
        <v>1438</v>
      </c>
      <c r="B106" s="1747"/>
      <c r="C106" s="1747"/>
      <c r="D106" s="1747"/>
      <c r="E106" s="1829" t="s">
        <v>1439</v>
      </c>
      <c r="F106" s="1666"/>
      <c r="G106" s="1828" t="s">
        <v>1434</v>
      </c>
      <c r="H106" s="2591">
        <f>C38</f>
        <v>0</v>
      </c>
      <c r="I106" s="129"/>
    </row>
    <row r="107" spans="1:35" ht="18.75" customHeight="1">
      <c r="A107" s="129"/>
      <c r="B107" s="129"/>
      <c r="C107" s="129"/>
      <c r="D107" s="129"/>
      <c r="E107" s="3595" t="str">
        <f>IF(项目基本情况!E8="已注销","——","3.房地产抵押价值")</f>
        <v>——</v>
      </c>
      <c r="F107" s="3563"/>
      <c r="G107" s="1827" t="s">
        <v>1431</v>
      </c>
      <c r="H107" s="2589" t="str">
        <f>IF(E107="——","——",H101-H103)</f>
        <v>——</v>
      </c>
      <c r="I107" s="129"/>
    </row>
    <row r="108" spans="1:35" ht="18.75" customHeight="1">
      <c r="A108" s="129"/>
      <c r="B108" s="129"/>
      <c r="C108" s="129"/>
      <c r="D108" s="129"/>
      <c r="E108" s="3595"/>
      <c r="F108" s="3563"/>
      <c r="G108" s="1827" t="s">
        <v>1433</v>
      </c>
      <c r="H108" s="2549" t="e">
        <f ca="1">IF(H107=H101,H102,ROUND(H107*10000/'数据-汇总表'!E3,0))</f>
        <v>#VALUE!</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3.抵押担保权已注销时的房地产抵押价值</v>
      </c>
      <c r="F109" s="3563"/>
      <c r="G109" s="1827" t="s">
        <v>1431</v>
      </c>
      <c r="H109" s="2592">
        <f ca="1">IF(E109="——","——",H101-H105-H106)</f>
        <v>3763</v>
      </c>
      <c r="I109" s="129"/>
    </row>
    <row r="110" spans="1:35" ht="18.75" customHeight="1">
      <c r="A110" s="129"/>
      <c r="B110" s="129"/>
      <c r="C110" s="129"/>
      <c r="D110" s="129"/>
      <c r="E110" s="3595"/>
      <c r="F110" s="3563"/>
      <c r="G110" s="1827" t="s">
        <v>1433</v>
      </c>
      <c r="H110" s="2549">
        <f ca="1">IF(H109="——","——",ROUND(H109*10000/'数据-汇总表'!E3,0))</f>
        <v>41876</v>
      </c>
      <c r="I110" s="129"/>
    </row>
    <row r="111" spans="1:35" ht="18.75" customHeight="1">
      <c r="A111" s="129"/>
      <c r="B111" s="129"/>
      <c r="C111" s="129"/>
      <c r="D111" s="129"/>
      <c r="E111" s="3596" t="str">
        <f>IF(项目基本情况!E9="抵押净值",IF(OR(项目基本情况!E8="已注销",项目基本情况!E8="房地产抵押价值"),"4.抵押净值","5.抵押净值"),"——")</f>
        <v>4.抵押净值</v>
      </c>
      <c r="F111" s="3582"/>
      <c r="G111" s="1827" t="s">
        <v>1431</v>
      </c>
      <c r="H111" s="2589">
        <f ca="1">IF(E111="——","——",N59)</f>
        <v>3761</v>
      </c>
      <c r="I111" s="129"/>
    </row>
    <row r="112" spans="1:35" ht="18.75" customHeight="1" thickBot="1">
      <c r="A112" s="129"/>
      <c r="B112" s="129"/>
      <c r="C112" s="129"/>
      <c r="D112" s="129"/>
      <c r="E112" s="3597"/>
      <c r="F112" s="3598"/>
      <c r="G112" s="1830" t="s">
        <v>1433</v>
      </c>
      <c r="H112" s="2593">
        <f ca="1">IF(E111="——","——",N61)</f>
        <v>41854</v>
      </c>
      <c r="I112" s="129"/>
    </row>
    <row r="113" spans="1:27" ht="18.75" customHeight="1">
      <c r="A113" s="129"/>
      <c r="B113" s="129"/>
      <c r="C113" s="129"/>
      <c r="D113" s="129"/>
      <c r="E113" s="3605" t="s">
        <v>1438</v>
      </c>
      <c r="F113" s="3605"/>
      <c r="G113" s="3605"/>
      <c r="H113" s="3605"/>
      <c r="I113" s="129"/>
    </row>
    <row r="114" spans="1:27" ht="3.75" customHeight="1">
      <c r="A114" s="1747"/>
      <c r="B114" s="1747"/>
      <c r="C114" s="1747"/>
      <c r="D114" s="1747"/>
      <c r="E114" s="1809"/>
      <c r="F114" s="1809"/>
      <c r="G114" s="1809"/>
      <c r="H114" s="1809"/>
      <c r="I114" s="1747"/>
    </row>
    <row r="115" spans="1:27" ht="18.75" customHeight="1">
      <c r="A115" s="3613" t="s">
        <v>1440</v>
      </c>
      <c r="B115" s="3614"/>
      <c r="C115" s="3614"/>
      <c r="D115" s="3614"/>
      <c r="E115" s="3614"/>
      <c r="F115" s="3614"/>
      <c r="G115" s="3614"/>
      <c r="H115" s="3614"/>
      <c r="I115" s="3615"/>
    </row>
    <row r="116" spans="1:27" ht="27" customHeight="1">
      <c r="A116" s="3570" t="s">
        <v>1441</v>
      </c>
      <c r="B116" s="3574" t="s">
        <v>1442</v>
      </c>
      <c r="C116" s="3574" t="s">
        <v>1443</v>
      </c>
      <c r="D116" s="3580" t="s">
        <v>1444</v>
      </c>
      <c r="E116" s="3581"/>
      <c r="F116" s="3612" t="s">
        <v>1445</v>
      </c>
      <c r="G116" s="3612"/>
      <c r="H116" s="3570" t="s">
        <v>1446</v>
      </c>
      <c r="I116" s="3570"/>
    </row>
    <row r="117" spans="1:27" ht="18.75" customHeight="1">
      <c r="A117" s="3570"/>
      <c r="B117" s="3575"/>
      <c r="C117" s="3575"/>
      <c r="D117" s="2328" t="s">
        <v>1447</v>
      </c>
      <c r="E117" s="2328" t="s">
        <v>1448</v>
      </c>
      <c r="F117" s="2328" t="s">
        <v>1447</v>
      </c>
      <c r="G117" s="2328" t="s">
        <v>1449</v>
      </c>
      <c r="H117" s="2328" t="s">
        <v>1447</v>
      </c>
      <c r="I117" s="2328" t="s">
        <v>1449</v>
      </c>
    </row>
    <row r="118" spans="1:27" ht="24.75" customHeight="1">
      <c r="A118" s="2594" t="str">
        <f>项目基本情况!S2</f>
        <v>北京市陈庄子路3号院4号楼1层101房地产</v>
      </c>
      <c r="B118" s="2328">
        <f>M18</f>
        <v>898.61</v>
      </c>
      <c r="C118" s="2328">
        <f>M19</f>
        <v>0</v>
      </c>
      <c r="D118" s="2328">
        <f ca="1">ROUND(IF(D32="总价",C34,E118*B118/10000),0)</f>
        <v>3078</v>
      </c>
      <c r="E118" s="2328">
        <f ca="1">ROUND(IF(C33="自定义",IF(D32="楼面单价",C34,D118*10000/B118),I118-G118),0)</f>
        <v>34250</v>
      </c>
      <c r="F118" s="2328">
        <f ca="1">ROUND(IF(D32="总价",C35,G118*B118/10000),0)</f>
        <v>685</v>
      </c>
      <c r="G118" s="2328">
        <f ca="1">ROUND(IF(D32="楼面单价",C35,F118*10000/B118),0)</f>
        <v>7621</v>
      </c>
      <c r="H118" s="2328">
        <f ca="1">ROUND(IF(D32="总价",C32,I118*B118/10000),0)</f>
        <v>3763</v>
      </c>
      <c r="I118" s="2328">
        <f ca="1">ROUND(IF(D32="楼面单价",C32,H118*10000/B118),0)</f>
        <v>41871</v>
      </c>
    </row>
    <row r="119" spans="1:27" ht="18.75" customHeight="1">
      <c r="A119" s="3570" t="s">
        <v>1450</v>
      </c>
      <c r="B119" s="3570"/>
      <c r="C119" s="3570"/>
      <c r="D119" s="3576" t="str">
        <f ca="1">NUMBERSTRING(INT(D118*10000),2)&amp;"元整"</f>
        <v>叁仟零柒拾捌万元整</v>
      </c>
      <c r="E119" s="3577"/>
      <c r="F119" s="3576" t="str">
        <f ca="1">NUMBERSTRING(INT(F118*10000),2)&amp;"元整"</f>
        <v>陆佰捌拾伍万元整</v>
      </c>
      <c r="G119" s="3577"/>
      <c r="H119" s="3576" t="str">
        <f ca="1">NUMBERSTRING(INT(H118*10000),2)&amp;"元整"</f>
        <v>叁仟柒佰陆拾叁万元整</v>
      </c>
      <c r="I119" s="3577"/>
    </row>
    <row r="120" spans="1:27" ht="18.75" customHeight="1">
      <c r="A120" s="3571" t="str">
        <f>IF(项目基本情况!B9="房地产市场价值","",MID(E103,3,LEN(E103)-2))</f>
        <v/>
      </c>
      <c r="B120" s="3572"/>
      <c r="C120" s="3573"/>
      <c r="D120" s="3571">
        <f>H103</f>
        <v>0</v>
      </c>
      <c r="E120" s="3572"/>
      <c r="F120" s="3572"/>
      <c r="G120" s="3572"/>
      <c r="H120" s="3572"/>
      <c r="I120" s="357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6" t="s">
        <v>1450</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
      </c>
      <c r="B122" s="3582"/>
      <c r="C122" s="3582"/>
      <c r="D122" s="3571" t="str">
        <f>H107</f>
        <v>——</v>
      </c>
      <c r="E122" s="3572"/>
      <c r="F122" s="3572"/>
      <c r="G122" s="3572"/>
      <c r="H122" s="3572"/>
      <c r="I122" s="3573"/>
      <c r="AA122" s="725"/>
    </row>
    <row r="123" spans="1:27" ht="18.75" customHeight="1">
      <c r="A123" s="3570" t="s">
        <v>1450</v>
      </c>
      <c r="B123" s="3570"/>
      <c r="C123" s="3570"/>
      <c r="D123" s="3576" t="e">
        <f>NUMBERSTRING(INT(D122*10000),2)&amp;"元整"</f>
        <v>#VALUE!</v>
      </c>
      <c r="E123" s="3578"/>
      <c r="F123" s="3578"/>
      <c r="G123" s="3578"/>
      <c r="H123" s="3578"/>
      <c r="I123" s="3577"/>
      <c r="AA123" s="725"/>
    </row>
    <row r="124" spans="1:27" ht="18.75" customHeight="1">
      <c r="A124" s="3582" t="str">
        <f>IF(项目基本情况!B9="房地产市场价值","",MID(E109,3,LEN(E109)-2))</f>
        <v/>
      </c>
      <c r="B124" s="3582"/>
      <c r="C124" s="3582"/>
      <c r="D124" s="3571">
        <f ca="1">H109</f>
        <v>3763</v>
      </c>
      <c r="E124" s="3572"/>
      <c r="F124" s="3572"/>
      <c r="G124" s="3572"/>
      <c r="H124" s="3572"/>
      <c r="I124" s="3573"/>
      <c r="AA124" s="725"/>
    </row>
    <row r="125" spans="1:27" ht="18.75" customHeight="1">
      <c r="A125" s="3570" t="s">
        <v>1450</v>
      </c>
      <c r="B125" s="3570"/>
      <c r="C125" s="3570"/>
      <c r="D125" s="3576" t="str">
        <f ca="1">NUMBERSTRING(INT(D124*10000),2)&amp;"元整"</f>
        <v>叁仟柒佰陆拾叁万元整</v>
      </c>
      <c r="E125" s="3578"/>
      <c r="F125" s="3578"/>
      <c r="G125" s="3578"/>
      <c r="H125" s="3578"/>
      <c r="I125" s="3577"/>
      <c r="AA125" s="725"/>
    </row>
    <row r="126" spans="1:27" ht="18.75" customHeight="1">
      <c r="A126" s="3582" t="str">
        <f>IF(项目基本情况!B9="房地产市场价值","",MID(E111,3,LEN(E111)-2))</f>
        <v/>
      </c>
      <c r="B126" s="3582"/>
      <c r="C126" s="3582"/>
      <c r="D126" s="3571">
        <f ca="1">H111</f>
        <v>3761</v>
      </c>
      <c r="E126" s="3572"/>
      <c r="F126" s="3572"/>
      <c r="G126" s="3572"/>
      <c r="H126" s="3572"/>
      <c r="I126" s="3573"/>
      <c r="AA126" s="725"/>
    </row>
    <row r="127" spans="1:27" ht="18.75" customHeight="1">
      <c r="A127" s="3570" t="s">
        <v>1450</v>
      </c>
      <c r="B127" s="3570"/>
      <c r="C127" s="3570"/>
      <c r="D127" s="3576" t="str">
        <f ca="1">NUMBERSTRING(INT(D126*10000),2)&amp;"元整"</f>
        <v>叁仟柒佰陆拾壹万元整</v>
      </c>
      <c r="E127" s="3578"/>
      <c r="F127" s="3578"/>
      <c r="G127" s="3578"/>
      <c r="H127" s="3578"/>
      <c r="I127" s="3577"/>
      <c r="AA127" s="725"/>
    </row>
    <row r="128" spans="1:27" ht="21.75" customHeight="1">
      <c r="A128" s="3579" t="s">
        <v>1451</v>
      </c>
      <c r="B128" s="3579"/>
      <c r="C128" s="3579"/>
      <c r="D128" s="3579"/>
      <c r="E128" s="3579"/>
      <c r="F128" s="3579"/>
      <c r="G128" s="3579"/>
      <c r="H128" s="3579"/>
      <c r="I128" s="3579"/>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B1" zoomScale="80" zoomScaleNormal="70" zoomScaleSheetLayoutView="80" workbookViewId="0">
      <selection activeCell="B2" sqref="B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3497</v>
      </c>
      <c r="E1" s="3421" t="s">
        <v>3501</v>
      </c>
      <c r="F1" s="1879" t="s">
        <v>3498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4296</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47802</v>
      </c>
      <c r="C3" s="354" t="s">
        <v>1766</v>
      </c>
      <c r="D3" s="353">
        <f>IF(D1="",'数据-汇总表'!E3,SUMIF('数据-汇总表'!$C19:$C33,D1,'数据-汇总表'!$E19:$E33))</f>
        <v>898.61</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1767</v>
      </c>
      <c r="B4" s="356"/>
      <c r="C4" s="3669" t="s">
        <v>1768</v>
      </c>
      <c r="D4" s="3670"/>
      <c r="E4" s="3671" t="s">
        <v>1769</v>
      </c>
      <c r="F4" s="3672"/>
      <c r="G4" s="3669" t="s">
        <v>1770</v>
      </c>
      <c r="H4" s="3670"/>
      <c r="I4" s="3669" t="s">
        <v>1771</v>
      </c>
      <c r="J4" s="3670"/>
      <c r="K4" s="559" t="s">
        <v>1772</v>
      </c>
      <c r="L4" s="2709"/>
      <c r="M4" s="2710"/>
      <c r="N4" s="2710"/>
      <c r="O4" s="2710"/>
      <c r="P4" s="3673" t="s">
        <v>1773</v>
      </c>
      <c r="Q4" s="3674"/>
      <c r="R4" s="3655" t="s">
        <v>1769</v>
      </c>
      <c r="S4" s="3656"/>
      <c r="T4" s="3655" t="s">
        <v>1770</v>
      </c>
      <c r="U4" s="3656"/>
      <c r="V4" s="3652" t="s">
        <v>1771</v>
      </c>
      <c r="W4" s="3652"/>
      <c r="X4" s="1355"/>
      <c r="Y4" s="3655" t="s">
        <v>1773</v>
      </c>
      <c r="Z4" s="3656"/>
      <c r="AA4" s="3649" t="s">
        <v>1769</v>
      </c>
      <c r="AB4" s="3652" t="s">
        <v>1770</v>
      </c>
      <c r="AC4" s="3649" t="s">
        <v>1771</v>
      </c>
    </row>
    <row r="5" spans="1:29" ht="15">
      <c r="A5" s="358"/>
      <c r="B5" s="359"/>
      <c r="C5" s="3661" t="s">
        <v>3435</v>
      </c>
      <c r="D5" s="3662"/>
      <c r="E5" s="3659" t="str">
        <f>案例!K2</f>
        <v>波普公社</v>
      </c>
      <c r="F5" s="3660"/>
      <c r="G5" s="3665" t="str">
        <f>案例!K3</f>
        <v>彩虹新城</v>
      </c>
      <c r="H5" s="3662"/>
      <c r="I5" s="3665" t="str">
        <f>案例!K4</f>
        <v>天健广场</v>
      </c>
      <c r="J5" s="3662"/>
      <c r="K5" s="559"/>
      <c r="L5" s="2709"/>
      <c r="M5" s="2710"/>
      <c r="N5" s="2710"/>
      <c r="O5" s="2710"/>
      <c r="P5" s="3675"/>
      <c r="Q5" s="3676"/>
      <c r="R5" s="3657"/>
      <c r="S5" s="3658"/>
      <c r="T5" s="3657"/>
      <c r="U5" s="3658"/>
      <c r="V5" s="3652"/>
      <c r="W5" s="3652"/>
      <c r="X5" s="1355"/>
      <c r="Y5" s="3657"/>
      <c r="Z5" s="3658"/>
      <c r="AA5" s="3650"/>
      <c r="AB5" s="3652"/>
      <c r="AC5" s="3650"/>
    </row>
    <row r="6" spans="1:29" ht="15.75" thickBot="1">
      <c r="A6" s="360"/>
      <c r="B6" s="361"/>
      <c r="C6" s="3663" t="s">
        <v>3436</v>
      </c>
      <c r="D6" s="3664"/>
      <c r="E6" s="3666" t="s">
        <v>3437</v>
      </c>
      <c r="F6" s="3667"/>
      <c r="G6" s="3663" t="s">
        <v>3438</v>
      </c>
      <c r="H6" s="3664"/>
      <c r="I6" s="3663" t="s">
        <v>3438</v>
      </c>
      <c r="J6" s="3664"/>
      <c r="K6" s="559" t="s">
        <v>1676</v>
      </c>
      <c r="L6" s="2709"/>
      <c r="M6" s="2710"/>
      <c r="N6" s="2710"/>
      <c r="O6" s="2710"/>
      <c r="P6" s="3677"/>
      <c r="Q6" s="3678"/>
      <c r="R6" s="3657"/>
      <c r="S6" s="3658"/>
      <c r="T6" s="3679"/>
      <c r="U6" s="3680"/>
      <c r="V6" s="3652"/>
      <c r="W6" s="3652"/>
      <c r="X6" s="1355"/>
      <c r="Y6" s="3679"/>
      <c r="Z6" s="3680"/>
      <c r="AA6" s="3651"/>
      <c r="AB6" s="3652"/>
      <c r="AC6" s="3651"/>
    </row>
    <row r="7" spans="1:29" s="108" customFormat="1" ht="15.75" thickBot="1">
      <c r="A7" s="362" t="s">
        <v>1677</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53" t="s">
        <v>1678</v>
      </c>
      <c r="Q7" s="3681"/>
      <c r="R7" s="701" t="s">
        <v>14</v>
      </c>
      <c r="S7" s="702">
        <f t="shared" ref="S7:S15" si="0">F7</f>
        <v>100</v>
      </c>
      <c r="T7" s="701" t="s">
        <v>14</v>
      </c>
      <c r="U7" s="702">
        <f t="shared" ref="U7:U15" si="1">H7</f>
        <v>100</v>
      </c>
      <c r="V7" s="701" t="s">
        <v>14</v>
      </c>
      <c r="W7" s="702">
        <f t="shared" ref="W7:W15" si="2">J7</f>
        <v>100</v>
      </c>
      <c r="X7" s="703"/>
      <c r="Y7" s="3653" t="s">
        <v>1678</v>
      </c>
      <c r="Z7" s="3654"/>
      <c r="AA7" s="704">
        <f>D7/F7</f>
        <v>1</v>
      </c>
      <c r="AB7" s="704">
        <f>D7/H7</f>
        <v>1</v>
      </c>
      <c r="AC7" s="704">
        <f>D7/J7</f>
        <v>1</v>
      </c>
    </row>
    <row r="8" spans="1:29" s="108" customFormat="1" ht="15.75" thickBot="1">
      <c r="A8" s="362" t="s">
        <v>1679</v>
      </c>
      <c r="B8" s="363"/>
      <c r="C8" s="368" t="s">
        <v>3439</v>
      </c>
      <c r="D8" s="365">
        <v>100</v>
      </c>
      <c r="E8" s="368" t="s">
        <v>3439</v>
      </c>
      <c r="F8" s="367">
        <f>SUMIF(61:61,E8,62:62)-SUMIF(61:61,C8,62:62)+100</f>
        <v>100</v>
      </c>
      <c r="G8" s="368" t="s">
        <v>3439</v>
      </c>
      <c r="H8" s="365">
        <f>SUMIF(61:61,G8,62:62)-SUMIF(61:61,C8,62:62)+100</f>
        <v>100</v>
      </c>
      <c r="I8" s="368" t="s">
        <v>3439</v>
      </c>
      <c r="J8" s="365">
        <f>SUMIF(61:61,I8,62:62)-SUMIF(61:61,C8,62:62)+100</f>
        <v>100</v>
      </c>
      <c r="K8" s="560"/>
      <c r="L8" s="2711"/>
      <c r="M8" s="2712"/>
      <c r="N8" s="2712"/>
      <c r="O8" s="2712"/>
      <c r="P8" s="3653" t="s">
        <v>1681</v>
      </c>
      <c r="Q8" s="3654"/>
      <c r="R8" s="701" t="s">
        <v>14</v>
      </c>
      <c r="S8" s="702">
        <f t="shared" si="0"/>
        <v>100</v>
      </c>
      <c r="T8" s="701" t="s">
        <v>14</v>
      </c>
      <c r="U8" s="702">
        <f t="shared" si="1"/>
        <v>100</v>
      </c>
      <c r="V8" s="701" t="s">
        <v>14</v>
      </c>
      <c r="W8" s="702">
        <f t="shared" si="2"/>
        <v>100</v>
      </c>
      <c r="X8" s="703"/>
      <c r="Y8" s="3653" t="s">
        <v>1681</v>
      </c>
      <c r="Z8" s="3654"/>
      <c r="AA8" s="704">
        <f t="shared" ref="AA8:AA46" si="3">D8/F8</f>
        <v>1</v>
      </c>
      <c r="AB8" s="704">
        <f t="shared" ref="AB8:AB46" si="4">D8/H8</f>
        <v>1</v>
      </c>
      <c r="AC8" s="704">
        <f t="shared" ref="AC8:AC46" si="5">D8/J8</f>
        <v>1</v>
      </c>
    </row>
    <row r="9" spans="1:29" s="108" customFormat="1">
      <c r="A9" s="369" t="s">
        <v>1682</v>
      </c>
      <c r="B9" s="63" t="s">
        <v>1683</v>
      </c>
      <c r="C9" s="3458" t="s">
        <v>3440</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68"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429" t="s">
        <v>3492</v>
      </c>
      <c r="D10" s="127">
        <v>100</v>
      </c>
      <c r="E10" s="3430" t="s">
        <v>3490</v>
      </c>
      <c r="F10" s="376">
        <f>SUMIF(65:65,E10,66:66)-SUMIF(65:65,C10,66:66)+100</f>
        <v>95</v>
      </c>
      <c r="G10" s="3429" t="s">
        <v>3489</v>
      </c>
      <c r="H10" s="127">
        <f>SUMIF(65:65,G10,66:66)-SUMIF(65:65,C10,66:66)+100</f>
        <v>95</v>
      </c>
      <c r="I10" s="3429" t="s">
        <v>3491</v>
      </c>
      <c r="J10" s="127">
        <f>SUMIF(65:65,I10,66:66)-SUMIF(65:65,C10,66:66)+100</f>
        <v>100</v>
      </c>
      <c r="K10" s="560"/>
      <c r="L10" s="2713"/>
      <c r="M10" s="2714"/>
      <c r="N10" s="2714"/>
      <c r="O10" s="2714"/>
      <c r="P10" s="3668"/>
      <c r="Q10" s="1343" t="str">
        <f t="shared" si="6"/>
        <v>土地使用年限（年）</v>
      </c>
      <c r="R10" s="701" t="s">
        <v>14</v>
      </c>
      <c r="S10" s="702">
        <f t="shared" si="0"/>
        <v>95</v>
      </c>
      <c r="T10" s="701" t="s">
        <v>14</v>
      </c>
      <c r="U10" s="702">
        <f t="shared" si="1"/>
        <v>95</v>
      </c>
      <c r="V10" s="701" t="s">
        <v>14</v>
      </c>
      <c r="W10" s="702">
        <f t="shared" si="2"/>
        <v>100</v>
      </c>
      <c r="X10" s="703"/>
      <c r="Y10" s="3625"/>
      <c r="Z10" s="52" t="str">
        <f t="shared" si="7"/>
        <v>土地使用年限（年）</v>
      </c>
      <c r="AA10" s="704">
        <f t="shared" si="3"/>
        <v>1.0526315789473684</v>
      </c>
      <c r="AB10" s="704">
        <f t="shared" si="4"/>
        <v>1.0526315789473684</v>
      </c>
      <c r="AC10" s="704">
        <f t="shared" si="5"/>
        <v>1</v>
      </c>
    </row>
    <row r="11" spans="1:29" ht="15.75" thickBot="1">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68"/>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15">
      <c r="A15" s="391" t="s">
        <v>1688</v>
      </c>
      <c r="B15" s="61" t="s">
        <v>1775</v>
      </c>
      <c r="C15" s="1896" t="str">
        <f>估价对象房地状况!C4</f>
        <v>一般</v>
      </c>
      <c r="D15" s="392">
        <v>100</v>
      </c>
      <c r="E15" s="393" t="s">
        <v>3399</v>
      </c>
      <c r="F15" s="394">
        <f>SUMIF(76:76,E16,77:77)-SUMIF(76:76,C16,77:77)+100</f>
        <v>100</v>
      </c>
      <c r="G15" s="393" t="s">
        <v>3399</v>
      </c>
      <c r="H15" s="392">
        <f>SUMIF(76:76,G16,77:77)-SUMIF(76:76,C16,77:77)+100</f>
        <v>100</v>
      </c>
      <c r="I15" s="393" t="s">
        <v>3399</v>
      </c>
      <c r="J15" s="392">
        <f>SUMIF(76:76,I16,77:77)-SUMIF(76:76,C16,77:77)+100</f>
        <v>100</v>
      </c>
      <c r="K15" s="563">
        <v>2</v>
      </c>
      <c r="L15" s="2716"/>
      <c r="M15" s="2710"/>
      <c r="N15" s="2710"/>
      <c r="O15" s="2710"/>
      <c r="P15" s="3682" t="s">
        <v>1689</v>
      </c>
      <c r="Q15" s="1352" t="str">
        <f t="shared" si="6"/>
        <v>商业繁华度</v>
      </c>
      <c r="R15" s="705" t="s">
        <v>14</v>
      </c>
      <c r="S15" s="706">
        <f t="shared" si="0"/>
        <v>100</v>
      </c>
      <c r="T15" s="705" t="s">
        <v>14</v>
      </c>
      <c r="U15" s="706">
        <f t="shared" si="1"/>
        <v>100</v>
      </c>
      <c r="V15" s="705" t="s">
        <v>14</v>
      </c>
      <c r="W15" s="706">
        <f t="shared" si="2"/>
        <v>100</v>
      </c>
      <c r="X15" s="1355"/>
      <c r="Y15" s="3684" t="s">
        <v>1689</v>
      </c>
      <c r="Z15" s="1356" t="str">
        <f t="shared" si="7"/>
        <v>商业繁华度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2716"/>
      <c r="M16" s="2710"/>
      <c r="N16" s="2710"/>
      <c r="O16" s="2710"/>
      <c r="P16" s="3683"/>
      <c r="Q16" s="1352"/>
      <c r="R16" s="705"/>
      <c r="S16" s="706"/>
      <c r="T16" s="705"/>
      <c r="U16" s="706"/>
      <c r="V16" s="705"/>
      <c r="W16" s="706"/>
      <c r="X16" s="1355"/>
      <c r="Y16" s="3685"/>
      <c r="Z16" s="1356"/>
      <c r="AA16" s="1353">
        <v>1</v>
      </c>
      <c r="AB16" s="1353">
        <v>1</v>
      </c>
      <c r="AC16" s="1353">
        <v>1</v>
      </c>
    </row>
    <row r="17" spans="1:29" ht="15">
      <c r="A17" s="379"/>
      <c r="B17" s="402" t="s">
        <v>1258</v>
      </c>
      <c r="C17" s="1900" t="str">
        <f>估价对象房地状况!C6</f>
        <v>一般</v>
      </c>
      <c r="D17" s="401">
        <v>100</v>
      </c>
      <c r="E17" s="403" t="s">
        <v>3399</v>
      </c>
      <c r="F17" s="404">
        <f>SUMIF(78:78,E18,79:79)-SUMIF(78:78,C18,79:79)+100</f>
        <v>100</v>
      </c>
      <c r="G17" s="403" t="s">
        <v>3399</v>
      </c>
      <c r="H17" s="406">
        <f>SUMIF(78:78,G18,79:79)-SUMIF(78:78,C18,79:79)+100</f>
        <v>100</v>
      </c>
      <c r="I17" s="403" t="s">
        <v>3399</v>
      </c>
      <c r="J17" s="406">
        <f>SUMIF(78:78,I18,79:79)-SUMIF(78:78,C18,79:79)+100</f>
        <v>100</v>
      </c>
      <c r="K17" s="563">
        <v>2</v>
      </c>
      <c r="L17" s="2716"/>
      <c r="M17" s="2710"/>
      <c r="N17" s="2710"/>
      <c r="O17" s="2710"/>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t="s">
        <v>3399</v>
      </c>
      <c r="D18" s="401"/>
      <c r="E18" s="1903" t="s">
        <v>3399</v>
      </c>
      <c r="F18" s="404"/>
      <c r="G18" s="1903" t="s">
        <v>3399</v>
      </c>
      <c r="H18" s="399"/>
      <c r="I18" s="1903" t="s">
        <v>3399</v>
      </c>
      <c r="J18" s="399"/>
      <c r="K18" s="564"/>
      <c r="L18" s="2716"/>
      <c r="M18" s="2710"/>
      <c r="N18" s="2710"/>
      <c r="O18" s="2710"/>
      <c r="P18" s="3683"/>
      <c r="Q18" s="1352"/>
      <c r="R18" s="705"/>
      <c r="S18" s="706"/>
      <c r="T18" s="705"/>
      <c r="U18" s="706"/>
      <c r="V18" s="705"/>
      <c r="W18" s="706"/>
      <c r="X18" s="1355"/>
      <c r="Y18" s="3685"/>
      <c r="Z18" s="1356"/>
      <c r="AA18" s="1353">
        <v>1</v>
      </c>
      <c r="AB18" s="1353">
        <v>1</v>
      </c>
      <c r="AC18" s="1353">
        <v>1</v>
      </c>
    </row>
    <row r="19" spans="1:29" ht="15">
      <c r="A19" s="379"/>
      <c r="B19" s="402" t="s">
        <v>1776</v>
      </c>
      <c r="C19" s="1900" t="str">
        <f>估价对象房地状况!C7</f>
        <v>一般</v>
      </c>
      <c r="D19" s="406">
        <v>100</v>
      </c>
      <c r="E19" s="408" t="s">
        <v>3399</v>
      </c>
      <c r="F19" s="409">
        <f>SUMIF(80:80,E20,81:81)-SUMIF(80:80,C20,81:81)+100</f>
        <v>100</v>
      </c>
      <c r="G19" s="408" t="s">
        <v>3399</v>
      </c>
      <c r="H19" s="401">
        <f>SUMIF(80:80,G20,81:81)-SUMIF(80:80,C20,81:81)+100</f>
        <v>100</v>
      </c>
      <c r="I19" s="408" t="s">
        <v>3399</v>
      </c>
      <c r="J19" s="401">
        <f>SUMIF(80:80,I20,81:81)-SUMIF(80:80,C20,81:81)+100</f>
        <v>100</v>
      </c>
      <c r="K19" s="563">
        <v>2</v>
      </c>
      <c r="L19" s="2716"/>
      <c r="M19" s="2710"/>
      <c r="N19" s="2710"/>
      <c r="O19" s="2710"/>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t="s">
        <v>3399</v>
      </c>
      <c r="D20" s="399"/>
      <c r="E20" s="1898" t="s">
        <v>3399</v>
      </c>
      <c r="F20" s="400"/>
      <c r="G20" s="1898" t="s">
        <v>3399</v>
      </c>
      <c r="H20" s="399"/>
      <c r="I20" s="1898" t="s">
        <v>3399</v>
      </c>
      <c r="J20" s="399"/>
      <c r="K20" s="564"/>
      <c r="L20" s="2716"/>
      <c r="M20" s="2710"/>
      <c r="N20" s="2710"/>
      <c r="O20" s="2710"/>
      <c r="P20" s="3683"/>
      <c r="Q20" s="1352"/>
      <c r="R20" s="705"/>
      <c r="S20" s="706"/>
      <c r="T20" s="705"/>
      <c r="U20" s="706"/>
      <c r="V20" s="705"/>
      <c r="W20" s="706"/>
      <c r="X20" s="1355"/>
      <c r="Y20" s="3685"/>
      <c r="Z20" s="1356"/>
      <c r="AA20" s="1353">
        <v>1</v>
      </c>
      <c r="AB20" s="1353">
        <v>1</v>
      </c>
      <c r="AC20" s="1353">
        <v>1</v>
      </c>
    </row>
    <row r="21" spans="1:29" ht="15">
      <c r="A21" s="379"/>
      <c r="B21" s="1131" t="s">
        <v>1777</v>
      </c>
      <c r="C21" s="1900" t="str">
        <f>估价对象房地状况!C8</f>
        <v>七通</v>
      </c>
      <c r="D21" s="406">
        <v>100</v>
      </c>
      <c r="E21" s="408" t="s">
        <v>3493</v>
      </c>
      <c r="F21" s="409">
        <f>SUMIF(82:82,E22,83:83)-SUMIF(82:82,C22,83:83)+100</f>
        <v>100</v>
      </c>
      <c r="G21" s="408" t="s">
        <v>3493</v>
      </c>
      <c r="H21" s="401">
        <f>SUMIF(82:82,G22,83:83)-SUMIF(82:82,C22,83:83)+100</f>
        <v>100</v>
      </c>
      <c r="I21" s="408" t="s">
        <v>3493</v>
      </c>
      <c r="J21" s="401">
        <f>SUMIF(82:82,I22,83:83)-SUMIF(82:82,C22,83:83)+100</f>
        <v>100</v>
      </c>
      <c r="K21" s="563">
        <v>1</v>
      </c>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t="s">
        <v>3493</v>
      </c>
      <c r="D22" s="399"/>
      <c r="E22" s="398" t="s">
        <v>3493</v>
      </c>
      <c r="F22" s="400"/>
      <c r="G22" s="398" t="s">
        <v>3493</v>
      </c>
      <c r="H22" s="399"/>
      <c r="I22" s="398" t="s">
        <v>3493</v>
      </c>
      <c r="J22" s="399"/>
      <c r="K22" s="1130"/>
      <c r="L22" s="2716"/>
      <c r="M22" s="2710"/>
      <c r="N22" s="2710"/>
      <c r="O22" s="2710"/>
      <c r="P22" s="3683"/>
      <c r="Q22" s="1352"/>
      <c r="R22" s="705"/>
      <c r="S22" s="706"/>
      <c r="T22" s="705"/>
      <c r="U22" s="706"/>
      <c r="V22" s="705"/>
      <c r="W22" s="706"/>
      <c r="X22" s="1355"/>
      <c r="Y22" s="3685"/>
      <c r="Z22" s="1356"/>
      <c r="AA22" s="1353">
        <v>1</v>
      </c>
      <c r="AB22" s="1353">
        <v>1</v>
      </c>
      <c r="AC22" s="1353">
        <v>1</v>
      </c>
    </row>
    <row r="23" spans="1:29" ht="15">
      <c r="A23" s="379"/>
      <c r="B23" s="402" t="s">
        <v>1260</v>
      </c>
      <c r="C23" s="1955" t="str">
        <f>估价对象房地状况!C9</f>
        <v>较好</v>
      </c>
      <c r="D23" s="401">
        <v>100</v>
      </c>
      <c r="E23" s="403" t="s">
        <v>3404</v>
      </c>
      <c r="F23" s="404">
        <f>SUMIF(84:84,E24,85:85)-SUMIF(84:84,C24,85:85)+100</f>
        <v>100</v>
      </c>
      <c r="G23" s="403" t="s">
        <v>3404</v>
      </c>
      <c r="H23" s="401">
        <f>SUMIF(84:84,G24,85:85)-SUMIF(84:84,C24,85:85)+100</f>
        <v>100</v>
      </c>
      <c r="I23" s="403" t="s">
        <v>3404</v>
      </c>
      <c r="J23" s="401">
        <f>SUMIF(84:84,I24,85:85)-SUMIF(84:84,C24,85:85)+100</f>
        <v>100</v>
      </c>
      <c r="K23" s="563">
        <v>2</v>
      </c>
      <c r="L23" s="2716"/>
      <c r="M23" s="2710"/>
      <c r="N23" s="2710"/>
      <c r="O23" s="2710"/>
      <c r="P23" s="3683"/>
      <c r="Q23" s="1352" t="str">
        <f>B23</f>
        <v>自然及人文环境</v>
      </c>
      <c r="R23" s="705" t="s">
        <v>14</v>
      </c>
      <c r="S23" s="706">
        <f>F23</f>
        <v>100</v>
      </c>
      <c r="T23" s="705" t="s">
        <v>14</v>
      </c>
      <c r="U23" s="706">
        <f>H23</f>
        <v>100</v>
      </c>
      <c r="V23" s="705" t="s">
        <v>14</v>
      </c>
      <c r="W23" s="706">
        <f>J23</f>
        <v>100</v>
      </c>
      <c r="X23" s="1355"/>
      <c r="Y23" s="3685"/>
      <c r="Z23" s="1356" t="str">
        <f>Q23</f>
        <v>自然及人文环境</v>
      </c>
      <c r="AA23" s="1353">
        <f t="shared" si="3"/>
        <v>1</v>
      </c>
      <c r="AB23" s="1353">
        <f t="shared" si="4"/>
        <v>1</v>
      </c>
      <c r="AC23" s="1353">
        <f t="shared" si="5"/>
        <v>1</v>
      </c>
    </row>
    <row r="24" spans="1:29" ht="15">
      <c r="A24" s="379"/>
      <c r="B24" s="407"/>
      <c r="C24" s="398" t="s">
        <v>3404</v>
      </c>
      <c r="D24" s="399"/>
      <c r="E24" s="1898" t="s">
        <v>3404</v>
      </c>
      <c r="F24" s="400"/>
      <c r="G24" s="1898" t="s">
        <v>3404</v>
      </c>
      <c r="H24" s="399"/>
      <c r="I24" s="1898" t="s">
        <v>3404</v>
      </c>
      <c r="J24" s="399"/>
      <c r="K24" s="564"/>
      <c r="L24" s="2716"/>
      <c r="M24" s="2710"/>
      <c r="N24" s="2710"/>
      <c r="O24" s="2710"/>
      <c r="P24" s="3683"/>
      <c r="Q24" s="1352"/>
      <c r="R24" s="705"/>
      <c r="S24" s="706"/>
      <c r="T24" s="705"/>
      <c r="U24" s="706"/>
      <c r="V24" s="705"/>
      <c r="W24" s="706"/>
      <c r="X24" s="1355"/>
      <c r="Y24" s="3685"/>
      <c r="Z24" s="1356"/>
      <c r="AA24" s="1353">
        <v>1</v>
      </c>
      <c r="AB24" s="1353">
        <v>1</v>
      </c>
      <c r="AC24" s="1353">
        <v>1</v>
      </c>
    </row>
    <row r="25" spans="1:29" ht="15">
      <c r="A25" s="379"/>
      <c r="B25" s="375" t="s">
        <v>1778</v>
      </c>
      <c r="C25" s="565" t="s">
        <v>3425</v>
      </c>
      <c r="D25" s="386">
        <v>100</v>
      </c>
      <c r="E25" s="565" t="s">
        <v>3444</v>
      </c>
      <c r="F25" s="412">
        <f>SUMIF(86:86,E25,87:87)-SUMIF(86:86,C25,87:87)+100</f>
        <v>98</v>
      </c>
      <c r="G25" s="565" t="s">
        <v>3444</v>
      </c>
      <c r="H25" s="386">
        <f>SUMIF(86:86,G25,87:87)-SUMIF(86:86,C25,87:87)+100</f>
        <v>98</v>
      </c>
      <c r="I25" s="565" t="s">
        <v>3444</v>
      </c>
      <c r="J25" s="386">
        <f>SUMIF(86:86,I25,87:87)-SUMIF(86:86,C25,87:87)+100</f>
        <v>98</v>
      </c>
      <c r="K25" s="561">
        <v>2</v>
      </c>
      <c r="L25" s="2716"/>
      <c r="M25" s="2710"/>
      <c r="N25" s="2710"/>
      <c r="O25" s="2710"/>
      <c r="P25" s="3683"/>
      <c r="Q25" s="1352" t="str">
        <f t="shared" ref="Q25:Q46" si="11">B25</f>
        <v>临街状况</v>
      </c>
      <c r="R25" s="705" t="s">
        <v>14</v>
      </c>
      <c r="S25" s="706">
        <f>F25</f>
        <v>98</v>
      </c>
      <c r="T25" s="705" t="s">
        <v>14</v>
      </c>
      <c r="U25" s="706">
        <f>H25</f>
        <v>98</v>
      </c>
      <c r="V25" s="705" t="s">
        <v>14</v>
      </c>
      <c r="W25" s="706">
        <f>J25</f>
        <v>98</v>
      </c>
      <c r="X25" s="1355"/>
      <c r="Y25" s="3685"/>
      <c r="Z25" s="1356" t="str">
        <f>Q25</f>
        <v>临街状况</v>
      </c>
      <c r="AA25" s="1353">
        <f t="shared" si="3"/>
        <v>1.0204081632653061</v>
      </c>
      <c r="AB25" s="1353">
        <f t="shared" si="4"/>
        <v>1.0204081632653061</v>
      </c>
      <c r="AC25" s="1353">
        <f t="shared" si="5"/>
        <v>1.0204081632653061</v>
      </c>
    </row>
    <row r="26" spans="1:29" ht="15">
      <c r="A26" s="379"/>
      <c r="B26" s="1133" t="s">
        <v>1779</v>
      </c>
      <c r="C26" s="3465" t="s">
        <v>3494</v>
      </c>
      <c r="D26" s="386">
        <v>100</v>
      </c>
      <c r="E26" s="3465" t="s">
        <v>3494</v>
      </c>
      <c r="F26" s="412">
        <f>SUMIF(88:88,E26,89:89)-SUMIF(88:88,C26,89:89)+100</f>
        <v>100</v>
      </c>
      <c r="G26" s="3465" t="s">
        <v>3494</v>
      </c>
      <c r="H26" s="386">
        <f>SUMIF(88:88,G26,89:89)-SUMIF(88:88,C26,89:89)+100</f>
        <v>100</v>
      </c>
      <c r="I26" s="3465" t="s">
        <v>3494</v>
      </c>
      <c r="J26" s="386">
        <f>SUMIF(88:88,I26,89:89)-SUMIF(88:88,C26,89:89)+100</f>
        <v>100</v>
      </c>
      <c r="K26" s="562"/>
      <c r="L26" s="2716"/>
      <c r="M26" s="2710"/>
      <c r="N26" s="2710"/>
      <c r="O26" s="2710"/>
      <c r="P26" s="3683"/>
      <c r="Q26" s="1352" t="str">
        <f t="shared" si="11"/>
        <v>平面位置/可视性</v>
      </c>
      <c r="R26" s="705" t="s">
        <v>14</v>
      </c>
      <c r="S26" s="706">
        <f>F26</f>
        <v>100</v>
      </c>
      <c r="T26" s="705" t="s">
        <v>14</v>
      </c>
      <c r="U26" s="706">
        <f>H26</f>
        <v>100</v>
      </c>
      <c r="V26" s="705" t="s">
        <v>14</v>
      </c>
      <c r="W26" s="706">
        <f>J26</f>
        <v>100</v>
      </c>
      <c r="X26" s="1355"/>
      <c r="Y26" s="3685"/>
      <c r="Z26" s="1356" t="str">
        <f>Q26</f>
        <v>平面位置/可视性</v>
      </c>
      <c r="AA26" s="1353">
        <f t="shared" si="3"/>
        <v>1</v>
      </c>
      <c r="AB26" s="1353">
        <f t="shared" si="4"/>
        <v>1</v>
      </c>
      <c r="AC26" s="1353">
        <f t="shared" si="5"/>
        <v>1</v>
      </c>
    </row>
    <row r="27" spans="1:29" s="108" customFormat="1" ht="15">
      <c r="A27" s="382"/>
      <c r="B27" s="402" t="s">
        <v>1780</v>
      </c>
      <c r="C27" s="1956" t="s">
        <v>3399</v>
      </c>
      <c r="D27" s="413">
        <v>100</v>
      </c>
      <c r="E27" s="1956" t="s">
        <v>3453</v>
      </c>
      <c r="F27" s="415">
        <f>SUMIF(90:90,E27,91:91)-SUMIF(90:90,C27,91:91)+100</f>
        <v>105</v>
      </c>
      <c r="G27" s="1956" t="s">
        <v>3453</v>
      </c>
      <c r="H27" s="413">
        <f>SUMIF(90:90,G27,91:91)-SUMIF(90:90,C27,91:91)+100</f>
        <v>105</v>
      </c>
      <c r="I27" s="1956" t="s">
        <v>3453</v>
      </c>
      <c r="J27" s="413">
        <f>SUMIF(90:90,I27,91:91)-SUMIF(90:90,C27,91:91)+100</f>
        <v>105</v>
      </c>
      <c r="K27" s="561">
        <v>5</v>
      </c>
      <c r="L27" s="2711"/>
      <c r="M27" s="2712"/>
      <c r="N27" s="2712"/>
      <c r="O27" s="2712"/>
      <c r="P27" s="3683"/>
      <c r="Q27" s="1343" t="str">
        <f t="shared" si="11"/>
        <v>人流量</v>
      </c>
      <c r="R27" s="701" t="s">
        <v>14</v>
      </c>
      <c r="S27" s="702">
        <f>F27</f>
        <v>105</v>
      </c>
      <c r="T27" s="701" t="s">
        <v>14</v>
      </c>
      <c r="U27" s="702">
        <f>H27</f>
        <v>105</v>
      </c>
      <c r="V27" s="701" t="s">
        <v>14</v>
      </c>
      <c r="W27" s="702">
        <f>J27</f>
        <v>105</v>
      </c>
      <c r="X27" s="703"/>
      <c r="Y27" s="3685"/>
      <c r="Z27" s="52" t="str">
        <f>Q27</f>
        <v>人流量</v>
      </c>
      <c r="AA27" s="1353">
        <f>D27/F27</f>
        <v>0.95238095238095233</v>
      </c>
      <c r="AB27" s="1353">
        <f>D27/H27</f>
        <v>0.95238095238095233</v>
      </c>
      <c r="AC27" s="1353">
        <f>D27/J27</f>
        <v>0.95238095238095233</v>
      </c>
    </row>
    <row r="28" spans="1:29" ht="15">
      <c r="A28" s="379"/>
      <c r="B28" s="375" t="s">
        <v>1781</v>
      </c>
      <c r="C28" s="565" t="s">
        <v>3495</v>
      </c>
      <c r="D28" s="386">
        <v>100</v>
      </c>
      <c r="E28" s="565" t="s">
        <v>3495</v>
      </c>
      <c r="F28" s="412">
        <f>SUMIF(92:92,E28,93:93)-SUMIF(92:92,C28,93:93)+100</f>
        <v>100</v>
      </c>
      <c r="G28" s="565" t="s">
        <v>3495</v>
      </c>
      <c r="H28" s="386">
        <f>SUMIF(92:92,G28,93:93)-SUMIF(92:92,C28,93:93)+100</f>
        <v>100</v>
      </c>
      <c r="I28" s="565" t="s">
        <v>3495</v>
      </c>
      <c r="J28" s="386">
        <f>SUMIF(92:92,I28,93:93)-SUMIF(92:92,C28,93:93)+100</f>
        <v>100</v>
      </c>
      <c r="K28" s="562"/>
      <c r="L28" s="2716"/>
      <c r="M28" s="2710"/>
      <c r="N28" s="2710"/>
      <c r="O28" s="2710"/>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83"/>
      <c r="Q29" s="1352">
        <f t="shared" si="11"/>
        <v>111</v>
      </c>
      <c r="R29" s="705" t="s">
        <v>14</v>
      </c>
      <c r="S29" s="706">
        <f t="shared" si="12"/>
        <v>100</v>
      </c>
      <c r="T29" s="705" t="s">
        <v>14</v>
      </c>
      <c r="U29" s="706">
        <f t="shared" si="13"/>
        <v>100</v>
      </c>
      <c r="V29" s="705" t="s">
        <v>14</v>
      </c>
      <c r="W29" s="706">
        <f t="shared" si="14"/>
        <v>100</v>
      </c>
      <c r="X29" s="1355"/>
      <c r="Y29" s="368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3423</v>
      </c>
      <c r="N31" s="2710"/>
      <c r="O31" s="2710"/>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353">
        <f t="shared" si="5"/>
        <v>1</v>
      </c>
    </row>
    <row r="32" spans="1:29" ht="15">
      <c r="A32" s="391" t="s">
        <v>1692</v>
      </c>
      <c r="B32" s="63" t="s">
        <v>1782</v>
      </c>
      <c r="C32" s="1910" t="s">
        <v>3386</v>
      </c>
      <c r="D32" s="418">
        <v>100</v>
      </c>
      <c r="E32" s="1910" t="s">
        <v>3462</v>
      </c>
      <c r="F32" s="412">
        <f>SUMIF(100:100,E32,101:101)-SUMIF(100:100,C32,101:101)+100</f>
        <v>115</v>
      </c>
      <c r="G32" s="1910" t="s">
        <v>3462</v>
      </c>
      <c r="H32" s="386">
        <f>SUMIF(100:100,G32,101:101)-SUMIF(100:100,C32,101:101)+100</f>
        <v>115</v>
      </c>
      <c r="I32" s="1910" t="s">
        <v>3462</v>
      </c>
      <c r="J32" s="418">
        <f>SUMIF(100:100,I32,101:101)-SUMIF(100:100,C32,101:101)+100</f>
        <v>115</v>
      </c>
      <c r="K32" s="561">
        <v>15</v>
      </c>
      <c r="L32" s="2716"/>
      <c r="M32" s="2710"/>
      <c r="N32" s="2710"/>
      <c r="O32" s="2710"/>
      <c r="P32" s="3686" t="s">
        <v>1694</v>
      </c>
      <c r="Q32" s="1352" t="str">
        <f t="shared" si="11"/>
        <v>商业类型</v>
      </c>
      <c r="R32" s="705" t="s">
        <v>14</v>
      </c>
      <c r="S32" s="706">
        <f t="shared" si="12"/>
        <v>115</v>
      </c>
      <c r="T32" s="705" t="s">
        <v>14</v>
      </c>
      <c r="U32" s="706">
        <f t="shared" si="13"/>
        <v>115</v>
      </c>
      <c r="V32" s="705" t="s">
        <v>14</v>
      </c>
      <c r="W32" s="706">
        <f t="shared" si="14"/>
        <v>115</v>
      </c>
      <c r="X32" s="1355"/>
      <c r="Y32" s="3689" t="s">
        <v>1694</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1695</v>
      </c>
      <c r="C33" s="420">
        <f>D3</f>
        <v>898.61</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87"/>
      <c r="Q33" s="707" t="str">
        <f t="shared" si="11"/>
        <v>项目建筑规模</v>
      </c>
      <c r="R33" s="708" t="s">
        <v>14</v>
      </c>
      <c r="S33" s="709">
        <f t="shared" si="12"/>
        <v>109</v>
      </c>
      <c r="T33" s="708" t="s">
        <v>14</v>
      </c>
      <c r="U33" s="709">
        <f t="shared" si="13"/>
        <v>112</v>
      </c>
      <c r="V33" s="708" t="s">
        <v>14</v>
      </c>
      <c r="W33" s="709">
        <f t="shared" si="14"/>
        <v>109</v>
      </c>
      <c r="X33" s="710"/>
      <c r="Y33" s="3689"/>
      <c r="Z33" s="711" t="str">
        <f t="shared" si="15"/>
        <v>项目建筑规模</v>
      </c>
      <c r="AA33" s="1353">
        <f t="shared" si="3"/>
        <v>0.91743119266055051</v>
      </c>
      <c r="AB33" s="1353">
        <f t="shared" si="4"/>
        <v>0.8928571428571429</v>
      </c>
      <c r="AC33" s="1353">
        <f t="shared" si="5"/>
        <v>0.91743119266055051</v>
      </c>
    </row>
    <row r="34" spans="1:29" ht="15">
      <c r="A34" s="423"/>
      <c r="B34" s="375" t="s">
        <v>1696</v>
      </c>
      <c r="C34" s="1912" t="s">
        <v>3465</v>
      </c>
      <c r="D34" s="386">
        <v>100</v>
      </c>
      <c r="E34" s="1912" t="s">
        <v>3465</v>
      </c>
      <c r="F34" s="412">
        <f>SUMIF(105:105,E34,106:106)-SUMIF(105:105,C34,106:106)+100</f>
        <v>100</v>
      </c>
      <c r="G34" s="1912" t="s">
        <v>3465</v>
      </c>
      <c r="H34" s="386">
        <f>SUMIF(105:105,G34,106:106)-SUMIF(105:105,C34,106:106)+100</f>
        <v>100</v>
      </c>
      <c r="I34" s="1912" t="s">
        <v>3465</v>
      </c>
      <c r="J34" s="386">
        <f>SUMIF(105:105,I34,106:106)-SUMIF(105:105,C34,106:106)+100</f>
        <v>100</v>
      </c>
      <c r="K34" s="561">
        <v>2</v>
      </c>
      <c r="L34" s="2716"/>
      <c r="M34" s="2710"/>
      <c r="N34" s="2710"/>
      <c r="O34" s="2710"/>
      <c r="P34" s="3687"/>
      <c r="Q34" s="1352" t="str">
        <f t="shared" si="11"/>
        <v>建筑结构</v>
      </c>
      <c r="R34" s="705" t="s">
        <v>14</v>
      </c>
      <c r="S34" s="706">
        <f t="shared" si="12"/>
        <v>100</v>
      </c>
      <c r="T34" s="705" t="s">
        <v>14</v>
      </c>
      <c r="U34" s="706">
        <f t="shared" si="13"/>
        <v>100</v>
      </c>
      <c r="V34" s="705" t="s">
        <v>14</v>
      </c>
      <c r="W34" s="706">
        <f t="shared" si="14"/>
        <v>100</v>
      </c>
      <c r="X34" s="1355"/>
      <c r="Y34" s="3689"/>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87"/>
      <c r="Q35" s="1352" t="str">
        <f t="shared" si="11"/>
        <v>公共部分装修</v>
      </c>
      <c r="R35" s="705" t="s">
        <v>14</v>
      </c>
      <c r="S35" s="706">
        <f t="shared" si="12"/>
        <v>100</v>
      </c>
      <c r="T35" s="705" t="s">
        <v>14</v>
      </c>
      <c r="U35" s="706">
        <f t="shared" si="13"/>
        <v>100</v>
      </c>
      <c r="V35" s="705" t="s">
        <v>14</v>
      </c>
      <c r="W35" s="706">
        <f t="shared" si="14"/>
        <v>100</v>
      </c>
      <c r="X35" s="1355"/>
      <c r="Y35" s="3689"/>
      <c r="Z35" s="1356" t="str">
        <f t="shared" si="15"/>
        <v>公共部分装修</v>
      </c>
      <c r="AA35" s="1353">
        <f t="shared" si="3"/>
        <v>1</v>
      </c>
      <c r="AB35" s="1353">
        <f t="shared" si="4"/>
        <v>1</v>
      </c>
      <c r="AC35" s="1353">
        <f t="shared" si="5"/>
        <v>1</v>
      </c>
    </row>
    <row r="36" spans="1:29" ht="15">
      <c r="A36" s="423"/>
      <c r="B36" s="375" t="s">
        <v>1784</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87"/>
      <c r="Q36" s="1352" t="str">
        <f t="shared" si="11"/>
        <v>成新度</v>
      </c>
      <c r="R36" s="705" t="s">
        <v>14</v>
      </c>
      <c r="S36" s="706">
        <f t="shared" si="12"/>
        <v>99</v>
      </c>
      <c r="T36" s="705" t="s">
        <v>14</v>
      </c>
      <c r="U36" s="706">
        <f t="shared" si="13"/>
        <v>98</v>
      </c>
      <c r="V36" s="705" t="s">
        <v>14</v>
      </c>
      <c r="W36" s="706">
        <f t="shared" si="14"/>
        <v>99</v>
      </c>
      <c r="X36" s="1355"/>
      <c r="Y36" s="3689"/>
      <c r="Z36" s="1356" t="str">
        <f t="shared" si="15"/>
        <v>成新度</v>
      </c>
      <c r="AA36" s="1353">
        <f t="shared" si="3"/>
        <v>1.0101010101010102</v>
      </c>
      <c r="AB36" s="1353">
        <f t="shared" si="4"/>
        <v>1.0204081632653061</v>
      </c>
      <c r="AC36" s="1353">
        <f t="shared" si="5"/>
        <v>1.0101010101010102</v>
      </c>
    </row>
    <row r="37" spans="1:29" s="108" customFormat="1" ht="15">
      <c r="A37" s="424"/>
      <c r="B37" s="375" t="s">
        <v>1785</v>
      </c>
      <c r="C37" s="1906" t="s">
        <v>3493</v>
      </c>
      <c r="D37" s="127">
        <v>100</v>
      </c>
      <c r="E37" s="1906" t="s">
        <v>3493</v>
      </c>
      <c r="F37" s="412">
        <f>SUMIF(112:112,E37,113:113)-SUMIF(112:112,C37,113:113)+100</f>
        <v>100</v>
      </c>
      <c r="G37" s="1906" t="s">
        <v>3493</v>
      </c>
      <c r="H37" s="386">
        <f>SUMIF(112:112,G37,113:113)-SUMIF(112:112,C37,113:113)+100</f>
        <v>100</v>
      </c>
      <c r="I37" s="1906" t="s">
        <v>3496</v>
      </c>
      <c r="J37" s="386">
        <f>SUMIF(112:112,I37,113:113)-SUMIF(112:112,C37,113:113)+100</f>
        <v>98</v>
      </c>
      <c r="K37" s="561">
        <v>1</v>
      </c>
      <c r="L37" s="2711"/>
      <c r="M37" s="2712"/>
      <c r="N37" s="2712"/>
      <c r="O37" s="2712"/>
      <c r="P37" s="3687"/>
      <c r="Q37" s="1343" t="str">
        <f t="shared" si="11"/>
        <v>市政基础设施</v>
      </c>
      <c r="R37" s="701" t="s">
        <v>14</v>
      </c>
      <c r="S37" s="702">
        <f t="shared" si="12"/>
        <v>100</v>
      </c>
      <c r="T37" s="701" t="s">
        <v>14</v>
      </c>
      <c r="U37" s="702">
        <f t="shared" si="13"/>
        <v>100</v>
      </c>
      <c r="V37" s="701" t="s">
        <v>14</v>
      </c>
      <c r="W37" s="702">
        <f t="shared" si="14"/>
        <v>98</v>
      </c>
      <c r="X37" s="703"/>
      <c r="Y37" s="3689"/>
      <c r="Z37" s="52" t="str">
        <f t="shared" si="15"/>
        <v>市政基础设施</v>
      </c>
      <c r="AA37" s="704">
        <f t="shared" si="3"/>
        <v>1</v>
      </c>
      <c r="AB37" s="704">
        <f t="shared" si="4"/>
        <v>1</v>
      </c>
      <c r="AC37" s="704">
        <f t="shared" si="5"/>
        <v>1.0204081632653061</v>
      </c>
    </row>
    <row r="38" spans="1:29" ht="15">
      <c r="A38" s="423"/>
      <c r="B38" s="375" t="s">
        <v>1786</v>
      </c>
      <c r="C38" s="1906" t="s">
        <v>3473</v>
      </c>
      <c r="D38" s="386">
        <v>100</v>
      </c>
      <c r="E38" s="1906" t="s">
        <v>3473</v>
      </c>
      <c r="F38" s="412">
        <f>SUMIF(114:114,E38,115:115)-SUMIF(114:114,C38,115:115)+100</f>
        <v>100</v>
      </c>
      <c r="G38" s="1906" t="s">
        <v>3473</v>
      </c>
      <c r="H38" s="386">
        <f>SUMIF(114:114,G38,115:115)-SUMIF(114:114,C38,115:115)+100</f>
        <v>100</v>
      </c>
      <c r="I38" s="1906" t="s">
        <v>3475</v>
      </c>
      <c r="J38" s="386">
        <f>SUMIF(114:114,I38,115:115)-SUMIF(114:114,C38,115:115)+100</f>
        <v>98</v>
      </c>
      <c r="K38" s="561">
        <v>2</v>
      </c>
      <c r="L38" s="2716"/>
      <c r="M38" s="2710"/>
      <c r="N38" s="2710"/>
      <c r="O38" s="2710"/>
      <c r="P38" s="3687" t="s">
        <v>1694</v>
      </c>
      <c r="Q38" s="1352" t="str">
        <f t="shared" si="11"/>
        <v>业态</v>
      </c>
      <c r="R38" s="705" t="s">
        <v>14</v>
      </c>
      <c r="S38" s="706">
        <f t="shared" si="12"/>
        <v>100</v>
      </c>
      <c r="T38" s="705" t="s">
        <v>14</v>
      </c>
      <c r="U38" s="706">
        <f t="shared" si="13"/>
        <v>100</v>
      </c>
      <c r="V38" s="705" t="s">
        <v>14</v>
      </c>
      <c r="W38" s="706">
        <f t="shared" si="14"/>
        <v>98</v>
      </c>
      <c r="X38" s="1355"/>
      <c r="Y38" s="3689" t="s">
        <v>1694</v>
      </c>
      <c r="Z38" s="1356" t="str">
        <f t="shared" si="15"/>
        <v>业态</v>
      </c>
      <c r="AA38" s="1353">
        <f t="shared" si="3"/>
        <v>1</v>
      </c>
      <c r="AB38" s="1353">
        <f t="shared" si="4"/>
        <v>1</v>
      </c>
      <c r="AC38" s="1353">
        <f t="shared" si="5"/>
        <v>1.0204081632653061</v>
      </c>
    </row>
    <row r="39" spans="1:29" ht="15">
      <c r="A39" s="423"/>
      <c r="B39" s="375" t="s">
        <v>1787</v>
      </c>
      <c r="C39" s="1906" t="s">
        <v>3478</v>
      </c>
      <c r="D39" s="386">
        <v>100</v>
      </c>
      <c r="E39" s="1906" t="s">
        <v>3478</v>
      </c>
      <c r="F39" s="412">
        <f>SUMIF(116:116,E39,117:117)-SUMIF(116:116,C39,117:117)+100</f>
        <v>100</v>
      </c>
      <c r="G39" s="1906" t="s">
        <v>3478</v>
      </c>
      <c r="H39" s="386">
        <f>SUMIF(116:116,G39,117:117)-SUMIF(116:116,C39,117:117)+100</f>
        <v>100</v>
      </c>
      <c r="I39" s="1906" t="s">
        <v>3478</v>
      </c>
      <c r="J39" s="386">
        <f>SUMIF(116:116,I39,117:117)-SUMIF(116:116,C39,117:117)+100</f>
        <v>100</v>
      </c>
      <c r="K39" s="561">
        <v>5</v>
      </c>
      <c r="L39" s="2716"/>
      <c r="M39" s="2710"/>
      <c r="N39" s="2710"/>
      <c r="O39" s="2710"/>
      <c r="P39" s="3687"/>
      <c r="Q39" s="1352" t="str">
        <f t="shared" si="11"/>
        <v>层高</v>
      </c>
      <c r="R39" s="705" t="s">
        <v>14</v>
      </c>
      <c r="S39" s="706">
        <f t="shared" si="12"/>
        <v>100</v>
      </c>
      <c r="T39" s="705" t="s">
        <v>14</v>
      </c>
      <c r="U39" s="706">
        <f t="shared" si="13"/>
        <v>100</v>
      </c>
      <c r="V39" s="705" t="s">
        <v>14</v>
      </c>
      <c r="W39" s="706">
        <f t="shared" si="14"/>
        <v>100</v>
      </c>
      <c r="X39" s="1355"/>
      <c r="Y39" s="3689"/>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87"/>
      <c r="Q40" s="1352" t="str">
        <f t="shared" si="11"/>
        <v>单套建筑面积</v>
      </c>
      <c r="R40" s="705" t="s">
        <v>14</v>
      </c>
      <c r="S40" s="706">
        <f t="shared" si="12"/>
        <v>100</v>
      </c>
      <c r="T40" s="705" t="s">
        <v>14</v>
      </c>
      <c r="U40" s="706">
        <f t="shared" si="13"/>
        <v>100</v>
      </c>
      <c r="V40" s="705" t="s">
        <v>14</v>
      </c>
      <c r="W40" s="706">
        <f t="shared" si="14"/>
        <v>100</v>
      </c>
      <c r="X40" s="1355"/>
      <c r="Y40" s="3689"/>
      <c r="Z40" s="1356" t="str">
        <f t="shared" si="15"/>
        <v>单套建筑面积</v>
      </c>
      <c r="AA40" s="1353">
        <f t="shared" si="3"/>
        <v>1</v>
      </c>
      <c r="AB40" s="1353">
        <f t="shared" si="4"/>
        <v>1</v>
      </c>
      <c r="AC40" s="1353">
        <f t="shared" si="5"/>
        <v>1</v>
      </c>
    </row>
    <row r="41" spans="1:29" s="422" customFormat="1" ht="15">
      <c r="A41" s="419"/>
      <c r="B41" s="1354" t="s">
        <v>1789</v>
      </c>
      <c r="C41" s="565" t="s">
        <v>3399</v>
      </c>
      <c r="D41" s="386">
        <v>100</v>
      </c>
      <c r="E41" s="565" t="s">
        <v>3481</v>
      </c>
      <c r="F41" s="412">
        <f>SUMIF(120:120,E41,121:121)-SUMIF(120:120,C41,121:121)+100</f>
        <v>105</v>
      </c>
      <c r="G41" s="565" t="s">
        <v>3481</v>
      </c>
      <c r="H41" s="386">
        <f>SUMIF(120:120,G41,121:121)-SUMIF(120:120,C41,121:121)+100</f>
        <v>105</v>
      </c>
      <c r="I41" s="565" t="s">
        <v>3481</v>
      </c>
      <c r="J41" s="386">
        <f>SUMIF(120:120,I41,121:121)-SUMIF(120:120,C41,121:121)+100</f>
        <v>105</v>
      </c>
      <c r="K41" s="561">
        <v>5</v>
      </c>
      <c r="L41" s="2715"/>
      <c r="M41" s="2717"/>
      <c r="N41" s="2717"/>
      <c r="O41" s="2717"/>
      <c r="P41" s="3687"/>
      <c r="Q41" s="707" t="str">
        <f t="shared" si="11"/>
        <v>进深比</v>
      </c>
      <c r="R41" s="708" t="s">
        <v>14</v>
      </c>
      <c r="S41" s="709">
        <f t="shared" si="12"/>
        <v>105</v>
      </c>
      <c r="T41" s="708" t="s">
        <v>14</v>
      </c>
      <c r="U41" s="709">
        <f t="shared" si="13"/>
        <v>105</v>
      </c>
      <c r="V41" s="708" t="s">
        <v>14</v>
      </c>
      <c r="W41" s="709">
        <f t="shared" si="14"/>
        <v>105</v>
      </c>
      <c r="X41" s="710"/>
      <c r="Y41" s="3689"/>
      <c r="Z41" s="711" t="str">
        <f t="shared" si="15"/>
        <v>进深比</v>
      </c>
      <c r="AA41" s="1353">
        <f t="shared" si="3"/>
        <v>0.95238095238095233</v>
      </c>
      <c r="AB41" s="1353">
        <f t="shared" si="4"/>
        <v>0.95238095238095233</v>
      </c>
      <c r="AC41" s="1353">
        <f t="shared" si="5"/>
        <v>0.95238095238095233</v>
      </c>
    </row>
    <row r="42" spans="1:29" ht="15">
      <c r="A42" s="423"/>
      <c r="B42" s="375" t="s">
        <v>1790</v>
      </c>
      <c r="C42" s="1906" t="s">
        <v>3467</v>
      </c>
      <c r="D42" s="386">
        <v>100</v>
      </c>
      <c r="E42" s="1906" t="s">
        <v>3467</v>
      </c>
      <c r="F42" s="412">
        <f>SUMIF(122:122,E42,123:123)-SUMIF(122:122,C42,123:123)+100</f>
        <v>100</v>
      </c>
      <c r="G42" s="1906" t="s">
        <v>3469</v>
      </c>
      <c r="H42" s="386">
        <f>SUMIF(122:122,G42,123:123)-SUMIF(122:122,C42,123:123)+100</f>
        <v>98</v>
      </c>
      <c r="I42" s="1906" t="s">
        <v>3467</v>
      </c>
      <c r="J42" s="386">
        <f>SUMIF(122:122,I42,123:123)-SUMIF(122:122,C42,123:123)+100</f>
        <v>100</v>
      </c>
      <c r="K42" s="561">
        <v>2</v>
      </c>
      <c r="L42" s="2716"/>
      <c r="M42" s="2710"/>
      <c r="N42" s="2710"/>
      <c r="O42" s="2710"/>
      <c r="P42" s="3687"/>
      <c r="Q42" s="1352" t="str">
        <f t="shared" si="11"/>
        <v>内部装修</v>
      </c>
      <c r="R42" s="705" t="s">
        <v>14</v>
      </c>
      <c r="S42" s="706">
        <f t="shared" si="12"/>
        <v>100</v>
      </c>
      <c r="T42" s="705" t="s">
        <v>14</v>
      </c>
      <c r="U42" s="706">
        <f t="shared" si="13"/>
        <v>98</v>
      </c>
      <c r="V42" s="705" t="s">
        <v>14</v>
      </c>
      <c r="W42" s="706">
        <f t="shared" si="14"/>
        <v>100</v>
      </c>
      <c r="X42" s="1355"/>
      <c r="Y42" s="3689"/>
      <c r="Z42" s="1356" t="str">
        <f t="shared" si="15"/>
        <v>内部装修</v>
      </c>
      <c r="AA42" s="1353">
        <f t="shared" si="3"/>
        <v>1</v>
      </c>
      <c r="AB42" s="1353">
        <f t="shared" si="4"/>
        <v>1.0204081632653061</v>
      </c>
      <c r="AC42" s="1353">
        <f t="shared" si="5"/>
        <v>1</v>
      </c>
    </row>
    <row r="43" spans="1:29" ht="15.75" thickBot="1">
      <c r="A43" s="423"/>
      <c r="B43" s="375" t="s">
        <v>1705</v>
      </c>
      <c r="C43" s="1906" t="s">
        <v>3404</v>
      </c>
      <c r="D43" s="386">
        <v>100</v>
      </c>
      <c r="E43" s="1906" t="s">
        <v>3404</v>
      </c>
      <c r="F43" s="412">
        <f>SUMIF(124:124,E43,125:125)-SUMIF(124:124,C43,125:125)+100</f>
        <v>100</v>
      </c>
      <c r="G43" s="1906" t="s">
        <v>3404</v>
      </c>
      <c r="H43" s="386">
        <f>SUMIF(124:124,G43,125:125)-SUMIF(124:124,C43,125:125)+100</f>
        <v>100</v>
      </c>
      <c r="I43" s="1906" t="s">
        <v>3404</v>
      </c>
      <c r="J43" s="386">
        <f>SUMIF(124:124,I43,125:125)-SUMIF(124:124,C43,125:125)+100</f>
        <v>100</v>
      </c>
      <c r="K43" s="561">
        <v>2</v>
      </c>
      <c r="L43" s="2716"/>
      <c r="M43" s="2710"/>
      <c r="N43" s="2710"/>
      <c r="O43" s="2710"/>
      <c r="P43" s="3687"/>
      <c r="Q43" s="1352" t="str">
        <f t="shared" si="11"/>
        <v>内部装修维护情况</v>
      </c>
      <c r="R43" s="705" t="s">
        <v>14</v>
      </c>
      <c r="S43" s="706">
        <f t="shared" si="12"/>
        <v>100</v>
      </c>
      <c r="T43" s="705" t="s">
        <v>14</v>
      </c>
      <c r="U43" s="706">
        <f t="shared" si="13"/>
        <v>100</v>
      </c>
      <c r="V43" s="705" t="s">
        <v>14</v>
      </c>
      <c r="W43" s="706">
        <f t="shared" si="14"/>
        <v>100</v>
      </c>
      <c r="X43" s="1355"/>
      <c r="Y43" s="3689"/>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87"/>
      <c r="Q44" s="1343">
        <f t="shared" si="11"/>
        <v>111</v>
      </c>
      <c r="R44" s="701" t="s">
        <v>14</v>
      </c>
      <c r="S44" s="702">
        <f t="shared" si="12"/>
        <v>100</v>
      </c>
      <c r="T44" s="701" t="s">
        <v>14</v>
      </c>
      <c r="U44" s="702">
        <f t="shared" si="13"/>
        <v>100</v>
      </c>
      <c r="V44" s="701" t="s">
        <v>14</v>
      </c>
      <c r="W44" s="702">
        <f t="shared" si="14"/>
        <v>100</v>
      </c>
      <c r="X44" s="703"/>
      <c r="Y44" s="3689"/>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87"/>
      <c r="Q45" s="1352">
        <f t="shared" si="11"/>
        <v>111</v>
      </c>
      <c r="R45" s="705" t="s">
        <v>14</v>
      </c>
      <c r="S45" s="706">
        <f t="shared" si="12"/>
        <v>100</v>
      </c>
      <c r="T45" s="705" t="s">
        <v>14</v>
      </c>
      <c r="U45" s="706">
        <f t="shared" si="13"/>
        <v>100</v>
      </c>
      <c r="V45" s="705" t="s">
        <v>14</v>
      </c>
      <c r="W45" s="706">
        <f t="shared" si="14"/>
        <v>100</v>
      </c>
      <c r="X45" s="1355"/>
      <c r="Y45" s="3689"/>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353">
        <f t="shared" si="5"/>
        <v>1</v>
      </c>
    </row>
    <row r="47" spans="1:29" ht="15">
      <c r="A47" s="430" t="s">
        <v>1706</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691" t="str">
        <f>A47</f>
        <v>成交单价（元/平方米）</v>
      </c>
      <c r="Q47" s="3691"/>
      <c r="R47" s="3652">
        <f>E47</f>
        <v>59890</v>
      </c>
      <c r="S47" s="3652"/>
      <c r="T47" s="3652">
        <f>G47</f>
        <v>58832</v>
      </c>
      <c r="U47" s="3652"/>
      <c r="V47" s="3652">
        <f>I47</f>
        <v>64451</v>
      </c>
      <c r="W47" s="3652"/>
      <c r="X47" s="690"/>
      <c r="Y47" s="712"/>
      <c r="Z47" s="690"/>
      <c r="AA47" s="690"/>
      <c r="AB47" s="690"/>
      <c r="AC47" s="690"/>
    </row>
    <row r="48" spans="1:29" ht="15.75" thickBot="1">
      <c r="A48" s="437" t="s">
        <v>1791</v>
      </c>
      <c r="B48" s="438"/>
      <c r="C48" s="1160">
        <f>R49</f>
        <v>47802</v>
      </c>
      <c r="D48" s="2316" t="s">
        <v>2136</v>
      </c>
      <c r="E48" s="1161">
        <f>R48</f>
        <v>47018</v>
      </c>
      <c r="F48" s="2317"/>
      <c r="G48" s="1160">
        <f>T48</f>
        <v>46336</v>
      </c>
      <c r="H48" s="2317"/>
      <c r="I48" s="1161">
        <f>V48</f>
        <v>50051</v>
      </c>
      <c r="J48" s="2317"/>
      <c r="K48" s="2319">
        <f>F48+H48+J48</f>
        <v>0</v>
      </c>
      <c r="L48" s="2718">
        <v>0.95</v>
      </c>
      <c r="M48" s="2719"/>
      <c r="N48" s="2710"/>
      <c r="O48" s="2719"/>
      <c r="P48" s="3691" t="str">
        <f>A48</f>
        <v>比较价值（元/平方米）</v>
      </c>
      <c r="Q48" s="3691"/>
      <c r="R48" s="3692">
        <f>IF(F1="售价",ROUND(PRODUCT(R47,AA7:AA46),0),ROUND(PRODUCT(R47,AA7:AA46),1))</f>
        <v>47018</v>
      </c>
      <c r="S48" s="3692"/>
      <c r="T48" s="3692">
        <f>IF(F1="售价",ROUND(PRODUCT(T47,AB7:AB46),0),ROUND(PRODUCT(T47,AB7:AB46),1))</f>
        <v>46336</v>
      </c>
      <c r="U48" s="3692"/>
      <c r="V48" s="3692">
        <f>IF(F1="售价",ROUND(PRODUCT(V47,AC7:AC46),0),ROUND(PRODUCT(V47,AC7:AC46),1))</f>
        <v>50051</v>
      </c>
      <c r="W48" s="3692"/>
      <c r="X48" s="690"/>
      <c r="Y48" s="690"/>
      <c r="Z48" s="690"/>
      <c r="AA48" s="690"/>
      <c r="AB48" s="690"/>
      <c r="AC48" s="690"/>
    </row>
    <row r="49" spans="1:29" ht="15.75" thickBot="1">
      <c r="A49" s="441" t="s">
        <v>1792</v>
      </c>
      <c r="B49" s="442"/>
      <c r="C49" s="1163">
        <f>R49</f>
        <v>47802</v>
      </c>
      <c r="D49" s="1163"/>
      <c r="E49" s="1163"/>
      <c r="F49" s="1163"/>
      <c r="G49" s="1163"/>
      <c r="H49" s="1163"/>
      <c r="I49" s="1163"/>
      <c r="J49" s="1163"/>
      <c r="K49" s="715"/>
      <c r="L49" s="2718"/>
      <c r="M49" s="2719"/>
      <c r="N49" s="2710"/>
      <c r="O49" s="2719"/>
      <c r="P49" s="3693" t="str">
        <f>A49</f>
        <v>估价对象XX用房的比较价值（楼面单价，元/平方米）</v>
      </c>
      <c r="Q49" s="3694"/>
      <c r="R49" s="3695">
        <f>IF(F1="售价",ROUND(IF(D48="简单平均",AVERAGE(R48:V48),R48*F48+T48*H48+V48*J48),0),ROUND(IF(D48="简单平均",AVERAGE(R48:V48),R48*F48+T48*H48+V48*J48),1))</f>
        <v>47802</v>
      </c>
      <c r="S49" s="3695"/>
      <c r="T49" s="3695"/>
      <c r="U49" s="3695"/>
      <c r="V49" s="3695"/>
      <c r="W49" s="369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1793</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1794</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1795</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1796</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1677</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1714</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1679</v>
      </c>
      <c r="B61" s="459"/>
      <c r="C61" s="471" t="s">
        <v>1774</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1717</v>
      </c>
      <c r="B63" s="477" t="s">
        <v>1683</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1686</v>
      </c>
      <c r="C65" s="532" t="s">
        <v>3488</v>
      </c>
      <c r="D65" s="532" t="s">
        <v>3490</v>
      </c>
      <c r="E65" s="3459" t="s">
        <v>3441</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1687</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1688</v>
      </c>
      <c r="B76" s="477" t="s">
        <v>1718</v>
      </c>
      <c r="C76" s="522" t="s">
        <v>1719</v>
      </c>
      <c r="D76" s="522" t="s">
        <v>1720</v>
      </c>
      <c r="E76" s="522" t="s">
        <v>1721</v>
      </c>
      <c r="F76" s="522" t="s">
        <v>1722</v>
      </c>
      <c r="G76" s="522" t="s">
        <v>1723</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1724</v>
      </c>
      <c r="C78" s="527" t="s">
        <v>1719</v>
      </c>
      <c r="D78" s="527" t="s">
        <v>1720</v>
      </c>
      <c r="E78" s="527" t="s">
        <v>1721</v>
      </c>
      <c r="F78" s="527" t="s">
        <v>1722</v>
      </c>
      <c r="G78" s="527" t="s">
        <v>1723</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1725</v>
      </c>
      <c r="C80" s="527" t="s">
        <v>1719</v>
      </c>
      <c r="D80" s="527" t="s">
        <v>1720</v>
      </c>
      <c r="E80" s="527" t="s">
        <v>1721</v>
      </c>
      <c r="F80" s="527" t="s">
        <v>1722</v>
      </c>
      <c r="G80" s="527" t="s">
        <v>1723</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1777</v>
      </c>
      <c r="C82" s="608" t="s">
        <v>1797</v>
      </c>
      <c r="D82" s="608" t="s">
        <v>1798</v>
      </c>
      <c r="E82" s="608" t="s">
        <v>1799</v>
      </c>
      <c r="F82" s="608" t="s">
        <v>1800</v>
      </c>
      <c r="G82" s="608" t="s">
        <v>1801</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1731</v>
      </c>
      <c r="C84" s="527" t="s">
        <v>1719</v>
      </c>
      <c r="D84" s="527" t="s">
        <v>1720</v>
      </c>
      <c r="E84" s="527" t="s">
        <v>1721</v>
      </c>
      <c r="F84" s="527" t="s">
        <v>1722</v>
      </c>
      <c r="G84" s="527" t="s">
        <v>1723</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1802</v>
      </c>
      <c r="C86" s="3460" t="s">
        <v>3442</v>
      </c>
      <c r="D86" s="3460" t="s">
        <v>3443</v>
      </c>
      <c r="E86" s="3460" t="s">
        <v>3445</v>
      </c>
      <c r="F86" s="3460" t="s">
        <v>3446</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60" t="s">
        <v>3447</v>
      </c>
      <c r="D88" s="3460" t="s">
        <v>3448</v>
      </c>
      <c r="E88" s="3460" t="s">
        <v>3449</v>
      </c>
      <c r="F88" s="3461" t="s">
        <v>3450</v>
      </c>
      <c r="G88" s="3460" t="s">
        <v>3451</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60" t="s">
        <v>3452</v>
      </c>
      <c r="D90" s="3460" t="s">
        <v>3454</v>
      </c>
      <c r="E90" s="3460" t="s">
        <v>3455</v>
      </c>
      <c r="F90" s="3460" t="s">
        <v>3456</v>
      </c>
      <c r="G90" s="3460" t="s">
        <v>3457</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3458</v>
      </c>
      <c r="D92" s="503" t="s">
        <v>3459</v>
      </c>
      <c r="E92" s="503" t="s">
        <v>3460</v>
      </c>
      <c r="F92" s="503" t="s">
        <v>3461</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1692</v>
      </c>
      <c r="B100" s="477" t="s">
        <v>1803</v>
      </c>
      <c r="C100" s="3462" t="s">
        <v>3463</v>
      </c>
      <c r="D100" s="3462" t="s">
        <v>3464</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1735</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500(含)-1000</v>
      </c>
      <c r="I102" s="527" t="str">
        <f t="shared" si="23"/>
        <v>1000(含)-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1000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1736</v>
      </c>
      <c r="C105" s="3460" t="s">
        <v>3466</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1738</v>
      </c>
      <c r="C107" s="3460" t="s">
        <v>3468</v>
      </c>
      <c r="D107" s="3460" t="s">
        <v>3470</v>
      </c>
      <c r="E107" s="3460" t="s">
        <v>3471</v>
      </c>
      <c r="F107" s="3463" t="s">
        <v>3472</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1804</v>
      </c>
      <c r="C114" s="3460" t="s">
        <v>3474</v>
      </c>
      <c r="D114" s="3460" t="s">
        <v>3476</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1805</v>
      </c>
      <c r="C116" s="3460" t="s">
        <v>3477</v>
      </c>
      <c r="D116" s="3460" t="s">
        <v>3479</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1806</v>
      </c>
      <c r="C118" s="575" t="str">
        <f>D102</f>
        <v>100(含)-150</v>
      </c>
      <c r="D118" s="575" t="str">
        <f>E102</f>
        <v>150(含)-200</v>
      </c>
      <c r="E118" s="575" t="str">
        <f>F102</f>
        <v>200(含)-300</v>
      </c>
      <c r="F118" s="575" t="str">
        <f>G102</f>
        <v>300(含)-500</v>
      </c>
      <c r="G118" s="575" t="str">
        <f>H102</f>
        <v>500(含)-1000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1807</v>
      </c>
      <c r="C120" s="3463" t="s">
        <v>3480</v>
      </c>
      <c r="D120" s="3463" t="s">
        <v>3482</v>
      </c>
      <c r="E120" s="3463" t="s">
        <v>3455</v>
      </c>
      <c r="F120" s="3463" t="s">
        <v>3483</v>
      </c>
      <c r="G120" s="3464" t="s">
        <v>3484</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1742</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北京市陈庄子路3号院4号楼1层101房地产市场价值预评估</v>
      </c>
      <c r="C37" s="3466"/>
      <c r="D37" s="3466"/>
      <c r="E37" s="3466"/>
      <c r="F37" s="3466"/>
      <c r="G37" s="3466"/>
      <c r="H37" s="3466"/>
      <c r="I37" s="3466"/>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38" sqref="C3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3497</v>
      </c>
      <c r="C1" s="198"/>
      <c r="D1" s="198"/>
      <c r="E1" s="198"/>
      <c r="F1" s="198"/>
      <c r="G1" s="1126">
        <f>MATCH(B1,'数据-取费表'!A6:A16,0)+5</f>
        <v>6</v>
      </c>
    </row>
    <row r="2" spans="1:9" s="200" customFormat="1" ht="18" customHeight="1">
      <c r="A2" s="201" t="s">
        <v>1460</v>
      </c>
      <c r="B2" s="202">
        <f ca="1">IF(D2="——",C52,C52-E2)</f>
        <v>2519</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28032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1567</v>
      </c>
      <c r="D5" s="211" t="s">
        <v>1467</v>
      </c>
      <c r="E5" s="212" t="s">
        <v>1468</v>
      </c>
      <c r="F5" s="212" t="s">
        <v>1469</v>
      </c>
      <c r="G5" s="213"/>
    </row>
    <row r="6" spans="1:9" s="214" customFormat="1" ht="13.5" customHeight="1">
      <c r="A6" s="778" t="s">
        <v>1470</v>
      </c>
      <c r="B6" s="215" t="s">
        <v>1471</v>
      </c>
      <c r="C6" s="216">
        <f>基准地价修正!B2</f>
        <v>1503</v>
      </c>
      <c r="D6" s="217"/>
      <c r="E6" s="218"/>
      <c r="F6" s="218"/>
      <c r="G6" s="219"/>
    </row>
    <row r="7" spans="1:9" s="214" customFormat="1" ht="13.5" customHeight="1">
      <c r="A7" s="778" t="s">
        <v>1472</v>
      </c>
      <c r="B7" s="215" t="s">
        <v>1473</v>
      </c>
      <c r="C7" s="220">
        <f>ROUND(C6*F7,0)</f>
        <v>46</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18</v>
      </c>
      <c r="D8" s="222"/>
      <c r="E8" s="220"/>
      <c r="F8" s="221"/>
      <c r="G8" s="1856" t="s">
        <v>3413</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t="s">
        <v>3509</v>
      </c>
      <c r="H9" s="1137"/>
      <c r="I9" s="1858" t="s">
        <v>1477</v>
      </c>
    </row>
    <row r="10" spans="1:9" s="214" customFormat="1" ht="13.5" customHeight="1">
      <c r="A10" s="779" t="s">
        <v>356</v>
      </c>
      <c r="B10" s="224" t="s">
        <v>1478</v>
      </c>
      <c r="C10" s="225">
        <f ca="1">ROUND(D10*E10/10000,0)</f>
        <v>18</v>
      </c>
      <c r="D10" s="845">
        <f ca="1">IF(B1="",'数据-汇总表'!E6,IF(INDIRECT("'数据-取费表'!c"&amp;$G$1)="住宅",INDIRECT("'数据-取费表'!s"&amp;$G$1),INDIRECT("'数据-取费表'!k"&amp;$G$1)+INDIRECT("'数据-取费表'!s"&amp;$G$1)))</f>
        <v>898.61</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898.61</v>
      </c>
      <c r="E19" s="211">
        <f>'数据-取费表'!B31</f>
        <v>200</v>
      </c>
      <c r="F19" s="231"/>
      <c r="G19" s="1856" t="s">
        <v>3414</v>
      </c>
    </row>
    <row r="20" spans="1:7" s="214" customFormat="1" ht="13.5" customHeight="1">
      <c r="A20" s="255" t="s">
        <v>1491</v>
      </c>
      <c r="B20" s="210" t="s">
        <v>1492</v>
      </c>
      <c r="C20" s="232">
        <f ca="1">ROUND((C5+C19)*F20,0)</f>
        <v>31</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66</v>
      </c>
      <c r="D22" s="235">
        <f ca="1">C26</f>
        <v>4.0000000000000002E-4</v>
      </c>
      <c r="E22" s="236" t="s">
        <v>1496</v>
      </c>
      <c r="F22" s="237">
        <f ca="1">'数据-取费表'!B40</f>
        <v>4.1499999999999995E-2</v>
      </c>
      <c r="G22" s="234" t="str">
        <f>IF('数据-取费表'!B22&lt;=1,"单利计息","复利计息")</f>
        <v>单利计息</v>
      </c>
    </row>
    <row r="23" spans="1:7" s="214" customFormat="1" ht="13.5" customHeight="1">
      <c r="A23" s="780" t="s">
        <v>1500</v>
      </c>
      <c r="B23" s="215" t="s">
        <v>1501</v>
      </c>
      <c r="C23" s="1105">
        <f ca="1">ROUND(IF('数据-取费表'!B22&lt;=1,C5*F22*'数据-取费表'!B23,C5*(POWER((1+F22),'数据-取费表'!B23)-1)),0)</f>
        <v>65</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v>
      </c>
      <c r="D25" s="238"/>
      <c r="E25" s="241"/>
      <c r="F25" s="239"/>
      <c r="G25" s="242" t="s">
        <v>1508</v>
      </c>
    </row>
    <row r="26" spans="1:7" s="214" customFormat="1">
      <c r="A26" s="780" t="s">
        <v>350</v>
      </c>
      <c r="B26" s="215" t="s">
        <v>1509</v>
      </c>
      <c r="C26" s="238">
        <f ca="1">ROUND(IF('数据-取费表'!B22&lt;=1,F21*F22*'数据-取费表'!B23/2,F21*(POWER((1+F22),'数据-取费表'!B23/2)-1)),4)</f>
        <v>4.0000000000000002E-4</v>
      </c>
      <c r="D26" s="238"/>
      <c r="E26" s="241"/>
      <c r="F26" s="239"/>
      <c r="G26" s="243"/>
    </row>
    <row r="27" spans="1:7" s="214" customFormat="1" ht="24.75">
      <c r="A27" s="255" t="s">
        <v>1510</v>
      </c>
      <c r="B27" s="244" t="s">
        <v>1511</v>
      </c>
      <c r="C27" s="245">
        <f ca="1">C28</f>
        <v>240</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ROUND((C5+C19+C20)*F27*'数据-取费表'!B21/'数据-取费表'!B20,0)</f>
        <v>240</v>
      </c>
      <c r="D28" s="235"/>
      <c r="E28" s="236"/>
      <c r="F28" s="246"/>
      <c r="G28" s="247"/>
    </row>
    <row r="29" spans="1:7" s="214" customFormat="1" ht="13.5" customHeight="1">
      <c r="A29" s="780"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2060</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374</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341</v>
      </c>
      <c r="D34" s="217"/>
      <c r="E34" s="220"/>
      <c r="F34" s="257">
        <f ca="1">IF('数据-取费表'!B24=0,1,IF(B1="",'数据-取费表'!N16,INDIRECT("'数据-取费表'!n"&amp;$G$1)))</f>
        <v>1</v>
      </c>
      <c r="G34" s="219" t="s">
        <v>1524</v>
      </c>
    </row>
    <row r="35" spans="1:7" ht="13.5" customHeight="1">
      <c r="A35" s="780" t="s">
        <v>351</v>
      </c>
      <c r="B35" s="215" t="s">
        <v>1525</v>
      </c>
      <c r="C35" s="220">
        <f ca="1">ROUND(C34*F35,0)</f>
        <v>10</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18</v>
      </c>
      <c r="D37" s="217">
        <f ca="1">D19</f>
        <v>898.61</v>
      </c>
      <c r="E37" s="249">
        <f>'数据-取费表'!B35</f>
        <v>200</v>
      </c>
      <c r="F37" s="259"/>
      <c r="G37" s="261" t="s">
        <v>1530</v>
      </c>
    </row>
    <row r="38" spans="1:7" ht="13.5" customHeight="1">
      <c r="A38" s="780" t="s">
        <v>354</v>
      </c>
      <c r="B38" s="215" t="s">
        <v>1531</v>
      </c>
      <c r="C38" s="220">
        <f ca="1">ROUND(C34*F38,0)</f>
        <v>5</v>
      </c>
      <c r="D38" s="220"/>
      <c r="E38" s="220"/>
      <c r="F38" s="259">
        <f>'数据-取费表'!B36</f>
        <v>1.4999999999999999E-2</v>
      </c>
      <c r="G38" s="219" t="s">
        <v>1526</v>
      </c>
    </row>
    <row r="39" spans="1:7" s="214" customFormat="1" ht="13.5" customHeight="1">
      <c r="A39" s="255" t="s">
        <v>1532</v>
      </c>
      <c r="B39" s="210" t="s">
        <v>1533</v>
      </c>
      <c r="C39" s="232">
        <f ca="1">ROUND(C33*F20,0)</f>
        <v>7</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8</v>
      </c>
      <c r="D41" s="235">
        <f ca="1">C44</f>
        <v>4.0000000000000002E-4</v>
      </c>
      <c r="E41" s="236" t="s">
        <v>1537</v>
      </c>
      <c r="F41" s="237">
        <f ca="1">F22</f>
        <v>4.1499999999999995E-2</v>
      </c>
      <c r="G41" s="234" t="str">
        <f>IF('数据-取费表'!B22&lt;=1,"单利计息","复利计息")</f>
        <v>单利计息</v>
      </c>
    </row>
    <row r="42" spans="1:7" ht="13.5" customHeight="1">
      <c r="A42" s="780" t="s">
        <v>346</v>
      </c>
      <c r="B42" s="215" t="s">
        <v>1541</v>
      </c>
      <c r="C42" s="238">
        <f ca="1">ROUND(IF('数据-取费表'!B22&lt;=1,C33*F22*'数据-取费表'!B21/2,C33*(POWER((1+F22),'数据-取费表'!B21/2)-1)),0)</f>
        <v>8</v>
      </c>
      <c r="D42" s="238"/>
      <c r="E42" s="238"/>
      <c r="F42" s="239"/>
      <c r="G42" s="3696" t="s">
        <v>1542</v>
      </c>
    </row>
    <row r="43" spans="1:7" ht="13.5" customHeight="1">
      <c r="A43" s="780" t="s">
        <v>347</v>
      </c>
      <c r="B43" s="215" t="s">
        <v>1543</v>
      </c>
      <c r="C43" s="238">
        <f ca="1">ROUND(IF('数据-取费表'!B22&lt;=1,C39*F22*'数据-取费表'!B21/2,C39*(POWER((1+F22),'数据-取费表'!B21/2)-1)),0)</f>
        <v>0</v>
      </c>
      <c r="D43" s="238"/>
      <c r="E43" s="238"/>
      <c r="F43" s="239"/>
      <c r="G43" s="3697"/>
    </row>
    <row r="44" spans="1:7" ht="13.5" customHeight="1">
      <c r="A44" s="780" t="s">
        <v>348</v>
      </c>
      <c r="B44" s="215" t="s">
        <v>1544</v>
      </c>
      <c r="C44" s="238">
        <f ca="1">ROUND(IF('数据-取费表'!B22&lt;=1,C40*F22*'数据-取费表'!B21/2,C40*(POWER((1+F22),'数据-取费表'!B21/2)-1)),4)</f>
        <v>4.0000000000000002E-4</v>
      </c>
      <c r="D44" s="238"/>
      <c r="E44" s="238"/>
      <c r="F44" s="239"/>
      <c r="G44" s="3698"/>
    </row>
    <row r="45" spans="1:7" s="214" customFormat="1" ht="13.5" customHeight="1">
      <c r="A45" s="255" t="s">
        <v>1545</v>
      </c>
      <c r="B45" s="244" t="s">
        <v>1511</v>
      </c>
      <c r="C45" s="245">
        <f ca="1">C46</f>
        <v>57</v>
      </c>
      <c r="D45" s="235">
        <f ca="1">C47</f>
        <v>3.0000000000000001E-3</v>
      </c>
      <c r="E45" s="236" t="s">
        <v>1537</v>
      </c>
      <c r="F45" s="246">
        <f ca="1">F27</f>
        <v>0.15</v>
      </c>
      <c r="G45" s="247" t="s">
        <v>1546</v>
      </c>
    </row>
    <row r="46" spans="1:7" s="214" customFormat="1" ht="13.5" customHeight="1">
      <c r="A46" s="780" t="s">
        <v>346</v>
      </c>
      <c r="B46" s="248" t="s">
        <v>1547</v>
      </c>
      <c r="C46" s="249">
        <f ca="1">ROUND((C33+C39)*F27,0)</f>
        <v>57</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1327">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483</v>
      </c>
      <c r="D49" s="232"/>
      <c r="E49" s="232"/>
      <c r="F49" s="264"/>
      <c r="G49" s="234" t="s">
        <v>1552</v>
      </c>
    </row>
    <row r="50" spans="1:7" s="258" customFormat="1" ht="24">
      <c r="A50" s="255" t="s">
        <v>1553</v>
      </c>
      <c r="B50" s="210" t="s">
        <v>1554</v>
      </c>
      <c r="C50" s="232"/>
      <c r="D50" s="232"/>
      <c r="E50" s="232"/>
      <c r="F50" s="264">
        <f>IF('数据-取费表'!B24=0,'数据-取费表'!N16,1)</f>
        <v>0.95</v>
      </c>
      <c r="G50" s="247" t="s">
        <v>1555</v>
      </c>
    </row>
    <row r="51" spans="1:7" ht="16.5" customHeight="1">
      <c r="A51" s="255" t="s">
        <v>1556</v>
      </c>
      <c r="B51" s="210" t="s">
        <v>1557</v>
      </c>
      <c r="C51" s="232">
        <f ca="1">ROUND(C49*F50,0)</f>
        <v>459</v>
      </c>
      <c r="D51" s="232"/>
      <c r="E51" s="232"/>
      <c r="F51" s="264"/>
      <c r="G51" s="234" t="s">
        <v>1558</v>
      </c>
    </row>
    <row r="52" spans="1:7" s="208" customFormat="1" ht="16.5" thickBot="1">
      <c r="A52" s="265" t="s">
        <v>1559</v>
      </c>
      <c r="B52" s="266"/>
      <c r="C52" s="267">
        <f ca="1">C31+C51</f>
        <v>2519</v>
      </c>
      <c r="D52" s="266"/>
      <c r="E52" s="266"/>
      <c r="F52" s="266"/>
      <c r="G52" s="268"/>
    </row>
    <row r="55" spans="1:7" ht="15">
      <c r="B55" s="270" t="s">
        <v>1560</v>
      </c>
      <c r="C55" s="271"/>
    </row>
    <row r="56" spans="1:7">
      <c r="B56" s="273" t="s">
        <v>802</v>
      </c>
      <c r="C56" s="275">
        <f ca="1">1-C57</f>
        <v>0.81800000000000006</v>
      </c>
    </row>
    <row r="57" spans="1:7">
      <c r="B57" s="273" t="s">
        <v>803</v>
      </c>
      <c r="C57" s="274">
        <f ca="1">ROUND(C51/C52,3)</f>
        <v>0.182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9" t="s">
        <v>1561</v>
      </c>
      <c r="D1" s="198"/>
      <c r="E1" s="198"/>
      <c r="F1" s="198"/>
      <c r="G1" s="1126">
        <f>MATCH(B1,'数据-取费表'!A6:A16,0)+5</f>
        <v>7</v>
      </c>
      <c r="H1" s="1061" t="str">
        <f>IF(ISERROR(FIND("住宅",B1)),"非住宅","住宅")</f>
        <v>非住宅</v>
      </c>
    </row>
    <row r="2" spans="1:8" s="200" customFormat="1" ht="18" customHeight="1">
      <c r="A2" s="201" t="s">
        <v>1460</v>
      </c>
      <c r="B2" s="3419">
        <f ca="1">ROUND(IF(D2="——",C52/10000,C52/10000-E2),4)</f>
        <v>507.33100000000002</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5646</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179722</v>
      </c>
      <c r="D5" s="211" t="s">
        <v>1467</v>
      </c>
      <c r="E5" s="212" t="s">
        <v>1468</v>
      </c>
      <c r="F5" s="212" t="s">
        <v>1469</v>
      </c>
      <c r="G5" s="213"/>
    </row>
    <row r="6" spans="1:8" s="214" customFormat="1" ht="13.5" customHeight="1">
      <c r="A6" s="778" t="s">
        <v>1470</v>
      </c>
      <c r="B6" s="215" t="s">
        <v>1471</v>
      </c>
      <c r="C6" s="216"/>
      <c r="D6" s="217"/>
      <c r="E6" s="218"/>
      <c r="F6" s="218"/>
      <c r="G6" s="219"/>
    </row>
    <row r="7" spans="1:8" s="214" customFormat="1" ht="13.5" customHeight="1">
      <c r="A7" s="778" t="s">
        <v>1472</v>
      </c>
      <c r="B7" s="215" t="s">
        <v>1473</v>
      </c>
      <c r="C7" s="220">
        <f>ROUND(C6*F7,0)</f>
        <v>0</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179722</v>
      </c>
      <c r="D8" s="222"/>
      <c r="E8" s="220"/>
      <c r="F8" s="221"/>
      <c r="G8" s="1856"/>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179722</v>
      </c>
      <c r="D10" s="845">
        <f ca="1">IF(B1="",'数据-汇总表'!E6,IF(INDIRECT("'数据-取费表'!c"&amp;$G$1)="住宅",INDIRECT("'数据-取费表'!s"&amp;$G$1),INDIRECT("'数据-取费表'!k"&amp;$G$1)+INDIRECT("'数据-取费表'!s"&amp;$G$1)))</f>
        <v>898.61</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f ca="1">IF(G19="已包含在土地取得成本中","0",ROUND(D19*E19,0))</f>
        <v>179722</v>
      </c>
      <c r="D19" s="849">
        <f ca="1">D9+D10</f>
        <v>898.61</v>
      </c>
      <c r="E19" s="211">
        <f>'数据-取费表'!B31</f>
        <v>200</v>
      </c>
      <c r="F19" s="231"/>
      <c r="G19" s="1856"/>
    </row>
    <row r="20" spans="1:7" s="214" customFormat="1" ht="13.5" customHeight="1">
      <c r="A20" s="255" t="s">
        <v>1572</v>
      </c>
      <c r="B20" s="210" t="s">
        <v>1573</v>
      </c>
      <c r="C20" s="232">
        <f ca="1">ROUND((C5+C19)*F20,0)</f>
        <v>7189</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15065</v>
      </c>
      <c r="D22" s="235">
        <f ca="1">C26</f>
        <v>4.0000000000000002E-4</v>
      </c>
      <c r="E22" s="236" t="s">
        <v>1577</v>
      </c>
      <c r="F22" s="237">
        <f ca="1">'数据-取费表'!B40</f>
        <v>4.1499999999999995E-2</v>
      </c>
      <c r="G22" s="234" t="str">
        <f>IF('数据-取费表'!B22&lt;=1,"单利计息","复利计息")</f>
        <v>单利计息</v>
      </c>
    </row>
    <row r="23" spans="1:7" s="214" customFormat="1" ht="13.5" customHeight="1">
      <c r="A23" s="780" t="s">
        <v>1470</v>
      </c>
      <c r="B23" s="215" t="s">
        <v>1581</v>
      </c>
      <c r="C23" s="1128">
        <f ca="1">ROUND(IF('数据-取费表'!B22&lt;=1,C5*F22*'数据-取费表'!B22,C5*(POWER((1+F22),'数据-取费表'!B22)-1)),0)</f>
        <v>7458</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7458</v>
      </c>
      <c r="D24" s="238"/>
      <c r="E24" s="238"/>
      <c r="F24" s="239"/>
      <c r="G24" s="240" t="s">
        <v>1584</v>
      </c>
    </row>
    <row r="25" spans="1:7" s="214" customFormat="1" ht="24">
      <c r="A25" s="780" t="s">
        <v>1474</v>
      </c>
      <c r="B25" s="215" t="s">
        <v>1585</v>
      </c>
      <c r="C25" s="1128">
        <f ca="1">ROUND(IF('数据-取费表'!B22&lt;=1,C20*F22*'数据-取费表'!B22/2,C20*(POWER((1+F22),'数据-取费表'!B22/2)-1)),0)</f>
        <v>149</v>
      </c>
      <c r="D25" s="238"/>
      <c r="E25" s="241"/>
      <c r="F25" s="239"/>
      <c r="G25" s="242" t="s">
        <v>1586</v>
      </c>
    </row>
    <row r="26" spans="1:7" s="214" customFormat="1">
      <c r="A26" s="780" t="s">
        <v>350</v>
      </c>
      <c r="B26" s="215" t="s">
        <v>1509</v>
      </c>
      <c r="C26" s="238">
        <f ca="1">ROUND(IF('数据-取费表'!B22&lt;=1,F21*F22*'数据-取费表'!B22/2,F21*(POWER((1+F22),'数据-取费表'!B22/2)-1)),4)</f>
        <v>4.0000000000000002E-4</v>
      </c>
      <c r="D26" s="238"/>
      <c r="E26" s="241"/>
      <c r="F26" s="239"/>
      <c r="G26" s="243"/>
    </row>
    <row r="27" spans="1:7" s="214" customFormat="1" ht="24.75">
      <c r="A27" s="255" t="s">
        <v>1510</v>
      </c>
      <c r="B27" s="244" t="s">
        <v>1511</v>
      </c>
      <c r="C27" s="245">
        <f ca="1">C28</f>
        <v>54995</v>
      </c>
      <c r="D27" s="235">
        <f ca="1">C29</f>
        <v>3.0000000000000001E-3</v>
      </c>
      <c r="E27" s="236" t="s">
        <v>1512</v>
      </c>
      <c r="F27" s="246">
        <f ca="1">IF(B1="",'数据-取费表'!Q16,INDIRECT("'数据-取费表'!q"&amp;$G$1))</f>
        <v>0.15</v>
      </c>
      <c r="G27" s="247" t="s">
        <v>1513</v>
      </c>
    </row>
    <row r="28" spans="1:7" s="214" customFormat="1" ht="13.5" customHeight="1">
      <c r="A28" s="780" t="s">
        <v>346</v>
      </c>
      <c r="B28" s="248" t="s">
        <v>1514</v>
      </c>
      <c r="C28" s="249">
        <f ca="1">ROUND((C5+C19+C20)*F27,0)</f>
        <v>54995</v>
      </c>
      <c r="D28" s="235"/>
      <c r="E28" s="236"/>
      <c r="F28" s="246"/>
      <c r="G28" s="247"/>
    </row>
    <row r="29" spans="1:7" s="214" customFormat="1" ht="13.5" customHeight="1">
      <c r="A29" s="780"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472509</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3748103</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3414718</v>
      </c>
      <c r="D34" s="217"/>
      <c r="E34" s="220"/>
      <c r="F34" s="257"/>
      <c r="G34" s="219"/>
    </row>
    <row r="35" spans="1:7" ht="13.5" customHeight="1">
      <c r="A35" s="780" t="s">
        <v>351</v>
      </c>
      <c r="B35" s="215" t="s">
        <v>1525</v>
      </c>
      <c r="C35" s="220">
        <f ca="1">ROUND(C34*F35,0)</f>
        <v>102442</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179722</v>
      </c>
      <c r="D37" s="217">
        <f ca="1">D19</f>
        <v>898.61</v>
      </c>
      <c r="E37" s="249">
        <f>'数据-取费表'!B35</f>
        <v>200</v>
      </c>
      <c r="F37" s="259"/>
      <c r="G37" s="261"/>
    </row>
    <row r="38" spans="1:7" ht="13.5" customHeight="1">
      <c r="A38" s="780" t="s">
        <v>354</v>
      </c>
      <c r="B38" s="215" t="s">
        <v>1531</v>
      </c>
      <c r="C38" s="220">
        <f ca="1">ROUND(C34*F38,0)</f>
        <v>51221</v>
      </c>
      <c r="D38" s="220"/>
      <c r="E38" s="220"/>
      <c r="F38" s="259">
        <f>'数据-取费表'!B36</f>
        <v>1.4999999999999999E-2</v>
      </c>
      <c r="G38" s="219" t="s">
        <v>1526</v>
      </c>
    </row>
    <row r="39" spans="1:7" s="214" customFormat="1" ht="13.5" customHeight="1">
      <c r="A39" s="255" t="s">
        <v>1532</v>
      </c>
      <c r="B39" s="210" t="s">
        <v>1533</v>
      </c>
      <c r="C39" s="232">
        <f ca="1">ROUND(C33*F20,0)</f>
        <v>74962</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79328</v>
      </c>
      <c r="D41" s="235">
        <f ca="1">C44</f>
        <v>4.0000000000000002E-4</v>
      </c>
      <c r="E41" s="236" t="s">
        <v>1537</v>
      </c>
      <c r="F41" s="237">
        <f ca="1">F22</f>
        <v>4.1499999999999995E-2</v>
      </c>
      <c r="G41" s="234" t="str">
        <f>IF('数据-取费表'!B22&lt;=1,"单利计息","复利计息")</f>
        <v>单利计息</v>
      </c>
    </row>
    <row r="42" spans="1:7" ht="13.5" customHeight="1">
      <c r="A42" s="780" t="s">
        <v>346</v>
      </c>
      <c r="B42" s="215" t="s">
        <v>1541</v>
      </c>
      <c r="C42" s="238">
        <f ca="1">ROUND(IF('数据-取费表'!B22&lt;=1,C33*F22*'数据-取费表'!B20/2,C33*(POWER((1+F22),'数据-取费表'!B20/2)-1)),0)</f>
        <v>77773</v>
      </c>
      <c r="D42" s="238"/>
      <c r="E42" s="238"/>
      <c r="F42" s="239"/>
      <c r="G42" s="3696" t="s">
        <v>1589</v>
      </c>
    </row>
    <row r="43" spans="1:7" ht="13.5" customHeight="1">
      <c r="A43" s="780" t="s">
        <v>347</v>
      </c>
      <c r="B43" s="215" t="s">
        <v>1543</v>
      </c>
      <c r="C43" s="238">
        <f ca="1">ROUND(IF('数据-取费表'!B22&lt;=1,C39*F22*'数据-取费表'!B20/2,C39*(POWER((1+F22),'数据-取费表'!B20/2)-1)),0)</f>
        <v>1555</v>
      </c>
      <c r="D43" s="238"/>
      <c r="E43" s="238"/>
      <c r="F43" s="239"/>
      <c r="G43" s="3697"/>
    </row>
    <row r="44" spans="1:7" ht="13.5" customHeight="1">
      <c r="A44" s="780" t="s">
        <v>348</v>
      </c>
      <c r="B44" s="215" t="s">
        <v>1544</v>
      </c>
      <c r="C44" s="238">
        <f ca="1">ROUND(IF('数据-取费表'!B22&lt;=1,C40*F22*'数据-取费表'!B20/2,C40*(POWER((1+F22),'数据-取费表'!B20/2)-1)),4)</f>
        <v>4.0000000000000002E-4</v>
      </c>
      <c r="D44" s="238"/>
      <c r="E44" s="238"/>
      <c r="F44" s="239"/>
      <c r="G44" s="3698"/>
    </row>
    <row r="45" spans="1:7" s="214" customFormat="1" ht="13.5" customHeight="1">
      <c r="A45" s="255" t="s">
        <v>1545</v>
      </c>
      <c r="B45" s="244" t="s">
        <v>1511</v>
      </c>
      <c r="C45" s="245">
        <f ca="1">C46</f>
        <v>573460</v>
      </c>
      <c r="D45" s="235">
        <f ca="1">C47</f>
        <v>3.0000000000000001E-3</v>
      </c>
      <c r="E45" s="236" t="s">
        <v>1537</v>
      </c>
      <c r="F45" s="246">
        <f ca="1">F27</f>
        <v>0.15</v>
      </c>
      <c r="G45" s="247" t="s">
        <v>1546</v>
      </c>
    </row>
    <row r="46" spans="1:7" s="214" customFormat="1" ht="13.5" customHeight="1">
      <c r="A46" s="780" t="s">
        <v>346</v>
      </c>
      <c r="B46" s="248" t="s">
        <v>1547</v>
      </c>
      <c r="C46" s="249">
        <f ca="1">ROUND((C33+C39)*F27,0)</f>
        <v>573460</v>
      </c>
      <c r="D46" s="263"/>
      <c r="E46" s="236"/>
      <c r="F46" s="246"/>
      <c r="G46" s="247"/>
    </row>
    <row r="47" spans="1:7" s="214" customFormat="1" ht="13.5" customHeight="1">
      <c r="A47" s="780"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4842948</v>
      </c>
      <c r="D49" s="232"/>
      <c r="E49" s="232"/>
      <c r="F49" s="264"/>
      <c r="G49" s="234" t="s">
        <v>1552</v>
      </c>
    </row>
    <row r="50" spans="1:7" s="258" customFormat="1">
      <c r="A50" s="255" t="s">
        <v>1553</v>
      </c>
      <c r="B50" s="210" t="s">
        <v>1554</v>
      </c>
      <c r="C50" s="232"/>
      <c r="D50" s="232"/>
      <c r="E50" s="232"/>
      <c r="F50" s="264">
        <f>IF('数据-取费表'!B24=0,'数据-取费表'!N16,1)</f>
        <v>0.95</v>
      </c>
      <c r="G50" s="247"/>
    </row>
    <row r="51" spans="1:7" ht="16.5" customHeight="1">
      <c r="A51" s="255" t="s">
        <v>1556</v>
      </c>
      <c r="B51" s="210" t="s">
        <v>1591</v>
      </c>
      <c r="C51" s="232">
        <f ca="1">ROUND(C49*F50,0)</f>
        <v>4600801</v>
      </c>
      <c r="D51" s="232"/>
      <c r="E51" s="232"/>
      <c r="F51" s="264"/>
      <c r="G51" s="234" t="s">
        <v>1558</v>
      </c>
    </row>
    <row r="52" spans="1:7" s="208" customFormat="1" ht="16.5" thickBot="1">
      <c r="A52" s="265" t="s">
        <v>1559</v>
      </c>
      <c r="B52" s="266"/>
      <c r="C52" s="267">
        <f ca="1">C31+C51</f>
        <v>5073310</v>
      </c>
      <c r="D52" s="266"/>
      <c r="E52" s="266"/>
      <c r="F52" s="266"/>
      <c r="G52" s="268"/>
    </row>
    <row r="55" spans="1:7" ht="15">
      <c r="B55" s="270" t="s">
        <v>1560</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0"/>
      <c r="F1" s="2800"/>
      <c r="G1" s="2665"/>
      <c r="H1" s="2800"/>
      <c r="I1" s="2800"/>
      <c r="J1" s="2800"/>
      <c r="K1" s="2801">
        <f>MATCH(C1,'数据-取费表'!A6:A16,0)+5</f>
        <v>7</v>
      </c>
    </row>
    <row r="2" spans="1:33" ht="18" customHeight="1">
      <c r="A2" s="201" t="s">
        <v>1460</v>
      </c>
      <c r="B2" s="204">
        <f ca="1">C32</f>
        <v>0</v>
      </c>
      <c r="C2" s="276" t="s">
        <v>1593</v>
      </c>
      <c r="D2" s="276"/>
      <c r="E2" s="2800"/>
      <c r="F2" s="2800"/>
      <c r="G2" s="2800"/>
      <c r="H2" s="2800"/>
      <c r="I2" s="2800"/>
      <c r="J2" s="2800"/>
      <c r="K2" s="2800"/>
    </row>
    <row r="3" spans="1:33" ht="18" customHeight="1" thickBot="1">
      <c r="A3" s="203" t="s">
        <v>1462</v>
      </c>
      <c r="B3" s="204">
        <f ca="1">ROUND(B2*10000/IF(C1="",'数据-汇总表'!E3,INDIRECT("'数据-取费表'!K"&amp;$K$1)),0)</f>
        <v>0</v>
      </c>
      <c r="C3" s="276" t="s">
        <v>1594</v>
      </c>
      <c r="D3" s="276"/>
      <c r="E3" s="2800"/>
      <c r="F3" s="2800"/>
      <c r="G3" s="2800"/>
      <c r="H3" s="2800"/>
      <c r="I3" s="2800"/>
      <c r="J3" s="2800"/>
      <c r="K3" s="2800"/>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898.61</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898.61</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18</v>
      </c>
      <c r="D20" s="846">
        <f ca="1">IF(C1="",'数据-汇总表'!E6,IF(INDIRECT("'数据-取费表'!c"&amp;$K$1)="住宅",INDIRECT("'数据-取费表'!s"&amp;$K$1),INDIRECT("'数据-取费表'!k"&amp;$K$1)+INDIRECT("'数据-取费表'!s"&amp;$K$1)))</f>
        <v>898.61</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5.5000000000000007E-2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1" t="s">
        <v>694</v>
      </c>
      <c r="C6" s="1074">
        <f ca="1">ROUND(F6*F8*F7*(1-F9)/10000,0)</f>
        <v>0</v>
      </c>
      <c r="D6" s="155" t="s">
        <v>2107</v>
      </c>
      <c r="E6" s="302" t="s">
        <v>696</v>
      </c>
      <c r="F6" s="303">
        <f ca="1">INDIRECT("'数据-取费表'!u"&amp;$G$1)</f>
        <v>0</v>
      </c>
      <c r="G6" s="1384"/>
      <c r="H6" s="1069" t="s">
        <v>398</v>
      </c>
      <c r="I6" s="3701" t="s">
        <v>694</v>
      </c>
      <c r="J6" s="301">
        <f ca="1">ROUND(M6*M8*M7*(1-M9)/10000,0)</f>
        <v>0</v>
      </c>
      <c r="K6" s="155" t="s">
        <v>2106</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1" t="s">
        <v>694</v>
      </c>
      <c r="C6" s="1074">
        <f ca="1">ROUND(F6*F8*F7*(1-F9),0)</f>
        <v>0</v>
      </c>
      <c r="D6" s="155" t="s">
        <v>2104</v>
      </c>
      <c r="E6" s="302" t="s">
        <v>696</v>
      </c>
      <c r="F6" s="303">
        <f ca="1">INDIRECT("'数据-取费表'!u"&amp;$G$1)</f>
        <v>0</v>
      </c>
      <c r="G6" s="1384"/>
      <c r="H6" s="1069" t="s">
        <v>398</v>
      </c>
      <c r="I6" s="3701" t="s">
        <v>694</v>
      </c>
      <c r="J6" s="301">
        <f ca="1">ROUND(M6*M8*M7*(1-M9),0)</f>
        <v>0</v>
      </c>
      <c r="K6" s="1376" t="s">
        <v>2105</v>
      </c>
      <c r="L6" s="302" t="s">
        <v>696</v>
      </c>
      <c r="M6" s="303">
        <f ca="1">INDIRECT("'数据-取费表'!z"&amp;$G$1)</f>
        <v>0</v>
      </c>
    </row>
    <row r="7" spans="1:37" ht="18" customHeight="1">
      <c r="A7" s="1073"/>
      <c r="B7" s="3702"/>
      <c r="C7" s="1075"/>
      <c r="D7" s="307"/>
      <c r="E7" s="1076" t="s">
        <v>697</v>
      </c>
      <c r="F7" s="303">
        <f ca="1">IF(INDIRECT("'数据-取费表'!ah"&amp;$G$1)="",INDIRECT("'数据-取费表'!k"&amp;$G$1),INDIRECT("'数据-取费表'!ah"&amp;$G$1))</f>
        <v>0</v>
      </c>
      <c r="G7" s="1384"/>
      <c r="H7" s="304"/>
      <c r="I7" s="3702"/>
      <c r="J7" s="306"/>
      <c r="K7" s="307"/>
      <c r="L7" s="302" t="s">
        <v>697</v>
      </c>
      <c r="M7" s="303">
        <f ca="1">F7</f>
        <v>0</v>
      </c>
    </row>
    <row r="8" spans="1:37" ht="18" customHeight="1">
      <c r="A8" s="304"/>
      <c r="B8" s="3702"/>
      <c r="C8" s="306"/>
      <c r="D8" s="307"/>
      <c r="E8" s="302" t="s">
        <v>698</v>
      </c>
      <c r="F8" s="303">
        <f ca="1">INDIRECT("'数据-取费表'!ai"&amp;$G$1)</f>
        <v>0</v>
      </c>
      <c r="G8" s="1384"/>
      <c r="H8" s="304"/>
      <c r="I8" s="3702"/>
      <c r="J8" s="306"/>
      <c r="K8" s="307"/>
      <c r="L8" s="302" t="s">
        <v>698</v>
      </c>
      <c r="M8" s="303">
        <f ca="1">INDIRECT("'数据-取费表'!ai"&amp;$G$1)</f>
        <v>0</v>
      </c>
    </row>
    <row r="9" spans="1:37" ht="18" customHeight="1">
      <c r="A9" s="304"/>
      <c r="B9" s="3703"/>
      <c r="C9" s="306"/>
      <c r="D9" s="307"/>
      <c r="E9" s="302" t="s">
        <v>699</v>
      </c>
      <c r="F9" s="312">
        <f ca="1">INDIRECT("'数据-取费表'!w"&amp;$G$1)</f>
        <v>0</v>
      </c>
      <c r="G9" s="1384"/>
      <c r="H9" s="304"/>
      <c r="I9" s="37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699" t="s">
        <v>837</v>
      </c>
      <c r="L53" s="370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04" t="s">
        <v>2311</v>
      </c>
      <c r="K2" s="3705"/>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06" t="s">
        <v>2321</v>
      </c>
      <c r="K3" s="3707"/>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06" t="s">
        <v>2323</v>
      </c>
      <c r="K4" s="3707"/>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08" t="s">
        <v>2327</v>
      </c>
      <c r="B6" s="3709"/>
      <c r="C6" s="3710"/>
      <c r="D6" s="2864"/>
      <c r="E6" s="2865"/>
      <c r="F6" s="2866"/>
      <c r="G6" s="2867"/>
      <c r="H6" s="2842"/>
      <c r="I6" s="2843"/>
      <c r="J6" s="3711">
        <v>1</v>
      </c>
      <c r="K6" s="3712"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11"/>
      <c r="K7" s="3713"/>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15" t="s">
        <v>2341</v>
      </c>
      <c r="C8" s="3716"/>
      <c r="D8" s="2883" t="s">
        <v>2342</v>
      </c>
      <c r="E8" s="2884" t="s">
        <v>2343</v>
      </c>
      <c r="F8" s="2885" t="s">
        <v>2344</v>
      </c>
      <c r="G8" s="2886"/>
      <c r="H8" s="2842"/>
      <c r="I8" s="2843"/>
      <c r="J8" s="3711"/>
      <c r="K8" s="3713"/>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15" t="s">
        <v>2347</v>
      </c>
      <c r="C9" s="3716"/>
      <c r="D9" s="2883">
        <f>ROUND(D6*E9,0)</f>
        <v>0</v>
      </c>
      <c r="E9" s="2887"/>
      <c r="F9" s="2888" t="s">
        <v>2348</v>
      </c>
      <c r="G9" s="2867"/>
      <c r="H9" s="2842"/>
      <c r="I9" s="2843"/>
      <c r="J9" s="3711"/>
      <c r="K9" s="3713"/>
      <c r="L9" s="2877" t="s">
        <v>2349</v>
      </c>
      <c r="M9" s="2878"/>
      <c r="N9" s="2854"/>
      <c r="O9" s="2879"/>
      <c r="P9" s="2879"/>
      <c r="Q9" s="2880">
        <v>365</v>
      </c>
      <c r="R9" s="2881">
        <f t="shared" si="0"/>
        <v>0</v>
      </c>
      <c r="S9" s="2835"/>
      <c r="T9" s="2835"/>
      <c r="U9" s="2835"/>
      <c r="V9" s="2843"/>
    </row>
    <row r="10" spans="1:22" s="2847" customFormat="1" ht="13.15" customHeight="1">
      <c r="A10" s="2882">
        <v>2</v>
      </c>
      <c r="B10" s="3715" t="s">
        <v>2350</v>
      </c>
      <c r="C10" s="3716"/>
      <c r="D10" s="2883">
        <f>ROUND(D6*E10,0)</f>
        <v>0</v>
      </c>
      <c r="E10" s="2887"/>
      <c r="F10" s="2888" t="s">
        <v>2351</v>
      </c>
      <c r="G10" s="2867"/>
      <c r="H10" s="2842"/>
      <c r="I10" s="2843"/>
      <c r="J10" s="3711"/>
      <c r="K10" s="3713"/>
      <c r="L10" s="2877" t="s">
        <v>2352</v>
      </c>
      <c r="M10" s="2878"/>
      <c r="N10" s="2854"/>
      <c r="O10" s="2879"/>
      <c r="P10" s="2879"/>
      <c r="Q10" s="2880">
        <v>365</v>
      </c>
      <c r="R10" s="2881">
        <f t="shared" si="0"/>
        <v>0</v>
      </c>
      <c r="S10" s="2835"/>
      <c r="T10" s="2835"/>
      <c r="U10" s="2835"/>
      <c r="V10" s="2843"/>
    </row>
    <row r="11" spans="1:22" s="2847" customFormat="1" ht="13.15" customHeight="1">
      <c r="A11" s="2882">
        <v>3</v>
      </c>
      <c r="B11" s="3715" t="s">
        <v>2353</v>
      </c>
      <c r="C11" s="3716"/>
      <c r="D11" s="2883">
        <f>D12+D14+D15+D16</f>
        <v>0</v>
      </c>
      <c r="E11" s="2889" t="e">
        <f>D11/D6</f>
        <v>#DIV/0!</v>
      </c>
      <c r="F11" s="2885"/>
      <c r="G11" s="2886"/>
      <c r="H11" s="2842"/>
      <c r="I11" s="2843"/>
      <c r="J11" s="3711"/>
      <c r="K11" s="3713"/>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17" t="s">
        <v>2356</v>
      </c>
      <c r="C12" s="3718"/>
      <c r="D12" s="2891">
        <f>ROUND(D13*1.2%*(1-30%),0)</f>
        <v>0</v>
      </c>
      <c r="E12" s="2892">
        <v>1.2E-2</v>
      </c>
      <c r="F12" s="2885" t="s">
        <v>2357</v>
      </c>
      <c r="G12" s="2886"/>
      <c r="H12" s="2842"/>
      <c r="I12" s="2843"/>
      <c r="J12" s="3711"/>
      <c r="K12" s="3713"/>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11"/>
      <c r="K13" s="3713"/>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17" t="s">
        <v>2362</v>
      </c>
      <c r="C14" s="3718"/>
      <c r="D14" s="2891">
        <f>ROUND(E14*B5/10000,0)</f>
        <v>0</v>
      </c>
      <c r="E14" s="2880"/>
      <c r="F14" s="2885" t="s">
        <v>2363</v>
      </c>
      <c r="G14" s="2886"/>
      <c r="H14" s="2842"/>
      <c r="I14" s="2843"/>
      <c r="J14" s="3711"/>
      <c r="K14" s="3714"/>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17" t="s">
        <v>2366</v>
      </c>
      <c r="C15" s="3718"/>
      <c r="D15" s="2891">
        <f>ROUND(D6*E15,0)</f>
        <v>0</v>
      </c>
      <c r="E15" s="2892">
        <v>5.5E-2</v>
      </c>
      <c r="F15" s="2885" t="s">
        <v>2367</v>
      </c>
      <c r="G15" s="2867"/>
      <c r="H15" s="2842"/>
      <c r="I15" s="2843"/>
      <c r="J15" s="3711">
        <v>2</v>
      </c>
      <c r="K15" s="3712"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17" t="s">
        <v>2375</v>
      </c>
      <c r="C16" s="3718"/>
      <c r="D16" s="2902">
        <f>D6*E16</f>
        <v>0</v>
      </c>
      <c r="E16" s="2903"/>
      <c r="F16" s="2888" t="s">
        <v>2376</v>
      </c>
      <c r="G16" s="2867"/>
      <c r="H16" s="2842"/>
      <c r="I16" s="2843"/>
      <c r="J16" s="3711"/>
      <c r="K16" s="3713"/>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19" t="s">
        <v>2378</v>
      </c>
      <c r="C17" s="3720"/>
      <c r="D17" s="2905">
        <f>ROUND(D6*E17,0)</f>
        <v>0</v>
      </c>
      <c r="E17" s="2906"/>
      <c r="F17" s="2907" t="s">
        <v>2379</v>
      </c>
      <c r="G17" s="2867"/>
      <c r="H17" s="2842"/>
      <c r="I17" s="2843"/>
      <c r="J17" s="3711"/>
      <c r="K17" s="3713"/>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11"/>
      <c r="K18" s="3713"/>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11"/>
      <c r="K19" s="3714"/>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1">
        <v>3</v>
      </c>
      <c r="K20" s="3712"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11"/>
      <c r="K21" s="3713"/>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11"/>
      <c r="K22" s="3713"/>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11"/>
      <c r="K23" s="3713"/>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11"/>
      <c r="K24" s="3714"/>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21">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22"/>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04" t="s">
        <v>2311</v>
      </c>
      <c r="K32" s="3705"/>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06" t="s">
        <v>2321</v>
      </c>
      <c r="K33" s="3707"/>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06" t="s">
        <v>2323</v>
      </c>
      <c r="K34" s="3707"/>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11">
        <v>1</v>
      </c>
      <c r="K36" s="3712"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11"/>
      <c r="K37" s="3713"/>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1"/>
      <c r="K38" s="3713"/>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11"/>
      <c r="K39" s="3713"/>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11"/>
      <c r="K40" s="3714"/>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21">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22"/>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1"/>
      <c r="G1" s="1489"/>
      <c r="H1" s="1489"/>
      <c r="I1" s="1489"/>
      <c r="J1" s="1489"/>
      <c r="K1" s="1489"/>
      <c r="L1" s="1489"/>
      <c r="M1" s="1489"/>
      <c r="N1" s="1489"/>
      <c r="O1" s="1489"/>
      <c r="P1" s="1489"/>
      <c r="Q1" s="1489"/>
      <c r="R1" s="1489"/>
      <c r="S1" s="1489"/>
    </row>
    <row r="2" spans="1:22" ht="15.75">
      <c r="A2" s="1870" t="s">
        <v>1460</v>
      </c>
      <c r="B2" s="1871">
        <f ca="1">SUMIF(B6:B13,"&lt;&gt;#ref!",B6:B13)</f>
        <v>0</v>
      </c>
      <c r="C2" s="1872" t="s">
        <v>1649</v>
      </c>
      <c r="D2" s="1873" t="s">
        <v>1650</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1657</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1651</v>
      </c>
      <c r="B5" s="3723" t="s">
        <v>1652</v>
      </c>
      <c r="C5" s="3724"/>
      <c r="D5" s="2702"/>
      <c r="E5" s="1874" t="s">
        <v>1653</v>
      </c>
      <c r="F5" s="1875" t="s">
        <v>1654</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1649</v>
      </c>
      <c r="D6" s="2703"/>
      <c r="E6" s="2600">
        <f>IF(OR(A6=0,F6="否"),0,'数据-取费表'!K6+'数据-取费表'!S6)</f>
        <v>0</v>
      </c>
      <c r="F6" s="1876" t="s">
        <v>1655</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1649</v>
      </c>
      <c r="D7" s="2703"/>
      <c r="E7" s="2600">
        <f>IF(OR(A7=0,F7="否"),0,'数据-取费表'!K7+'数据-取费表'!S7)</f>
        <v>0</v>
      </c>
      <c r="F7" s="1876" t="s">
        <v>1655</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1649</v>
      </c>
      <c r="D8" s="2703"/>
      <c r="E8" s="2600">
        <f>IF(OR(A8=0,F8="否"),0,'数据-取费表'!K8+'数据-取费表'!S8)</f>
        <v>0</v>
      </c>
      <c r="F8" s="1876" t="s">
        <v>1655</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1649</v>
      </c>
      <c r="D9" s="2703"/>
      <c r="E9" s="2600">
        <f>IF(OR(A9=0,F9="否"),0,'数据-取费表'!K9+'数据-取费表'!S9)</f>
        <v>0</v>
      </c>
      <c r="F9" s="1876" t="s">
        <v>1655</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1649</v>
      </c>
      <c r="D10" s="2703"/>
      <c r="E10" s="2600">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1649</v>
      </c>
      <c r="D11" s="2703"/>
      <c r="E11" s="2600">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1649</v>
      </c>
      <c r="D12" s="2703"/>
      <c r="E12" s="2600">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1649</v>
      </c>
      <c r="D13" s="2704"/>
      <c r="E13" s="2600">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1"/>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1663</v>
      </c>
      <c r="D3" s="353">
        <f>IF(D1="",'数据-汇总表'!E3,SUMIF('数据-汇总表'!$C19:$C33,D1,'数据-汇总表'!$E19:$E33))</f>
        <v>898.61</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1664</v>
      </c>
      <c r="B4" s="356"/>
      <c r="C4" s="3669" t="s">
        <v>1665</v>
      </c>
      <c r="D4" s="3670"/>
      <c r="E4" s="3671" t="s">
        <v>1666</v>
      </c>
      <c r="F4" s="3672"/>
      <c r="G4" s="3669" t="s">
        <v>1667</v>
      </c>
      <c r="H4" s="3670"/>
      <c r="I4" s="3669" t="s">
        <v>1668</v>
      </c>
      <c r="J4" s="3670"/>
      <c r="K4" s="1889" t="s">
        <v>1669</v>
      </c>
      <c r="L4" s="2709"/>
      <c r="M4" s="2710"/>
      <c r="N4" s="2710"/>
      <c r="O4" s="2710"/>
      <c r="P4" s="3673" t="s">
        <v>1670</v>
      </c>
      <c r="Q4" s="3674"/>
      <c r="R4" s="3655" t="s">
        <v>1666</v>
      </c>
      <c r="S4" s="3656"/>
      <c r="T4" s="3655" t="s">
        <v>1667</v>
      </c>
      <c r="U4" s="3656"/>
      <c r="V4" s="3652" t="s">
        <v>1668</v>
      </c>
      <c r="W4" s="3652"/>
      <c r="X4" s="1355"/>
      <c r="Y4" s="3655" t="s">
        <v>1670</v>
      </c>
      <c r="Z4" s="3656"/>
      <c r="AA4" s="3649" t="s">
        <v>1666</v>
      </c>
      <c r="AB4" s="3649" t="s">
        <v>1667</v>
      </c>
      <c r="AC4" s="3649" t="s">
        <v>1668</v>
      </c>
    </row>
    <row r="5" spans="1:29" ht="15">
      <c r="A5" s="358"/>
      <c r="B5" s="359"/>
      <c r="C5" s="3665" t="s">
        <v>1671</v>
      </c>
      <c r="D5" s="3662"/>
      <c r="E5" s="3659" t="s">
        <v>1672</v>
      </c>
      <c r="F5" s="3660"/>
      <c r="G5" s="3665" t="s">
        <v>1673</v>
      </c>
      <c r="H5" s="3662"/>
      <c r="I5" s="3665" t="s">
        <v>1674</v>
      </c>
      <c r="J5" s="3662"/>
      <c r="K5" s="1890"/>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25" t="s">
        <v>1675</v>
      </c>
      <c r="D6" s="3664"/>
      <c r="E6" s="3726" t="s">
        <v>1675</v>
      </c>
      <c r="F6" s="3667"/>
      <c r="G6" s="3725" t="s">
        <v>1675</v>
      </c>
      <c r="H6" s="3664"/>
      <c r="I6" s="3725" t="s">
        <v>1675</v>
      </c>
      <c r="J6" s="3664"/>
      <c r="K6" s="1890" t="s">
        <v>1676</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1677</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53" t="s">
        <v>1678</v>
      </c>
      <c r="Q7" s="3681"/>
      <c r="R7" s="701" t="s">
        <v>20</v>
      </c>
      <c r="S7" s="702">
        <f t="shared" ref="S7:S15" si="0">F7</f>
        <v>0</v>
      </c>
      <c r="T7" s="701" t="s">
        <v>20</v>
      </c>
      <c r="U7" s="702">
        <f t="shared" ref="U7:U15" si="1">H7</f>
        <v>0</v>
      </c>
      <c r="V7" s="701" t="s">
        <v>20</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53" t="s">
        <v>1681</v>
      </c>
      <c r="Q8" s="3654"/>
      <c r="R8" s="701" t="s">
        <v>20</v>
      </c>
      <c r="S8" s="702">
        <f t="shared" si="0"/>
        <v>100</v>
      </c>
      <c r="T8" s="701" t="s">
        <v>20</v>
      </c>
      <c r="U8" s="702">
        <f t="shared" si="1"/>
        <v>100</v>
      </c>
      <c r="V8" s="701" t="s">
        <v>20</v>
      </c>
      <c r="W8" s="702">
        <f t="shared" si="2"/>
        <v>100</v>
      </c>
      <c r="X8" s="703"/>
      <c r="Y8" s="3653" t="s">
        <v>1681</v>
      </c>
      <c r="Z8" s="365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8"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6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8"/>
      <c r="Q11" s="1343"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68"/>
      <c r="Q12" s="1343">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68"/>
      <c r="Q13" s="1343">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68"/>
      <c r="Q14" s="1343">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15">
      <c r="A15" s="391" t="s">
        <v>1688</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82" t="s">
        <v>1689</v>
      </c>
      <c r="Q15" s="1352" t="str">
        <f t="shared" si="6"/>
        <v>居住社区成熟度</v>
      </c>
      <c r="R15" s="705" t="s">
        <v>18</v>
      </c>
      <c r="S15" s="706">
        <f t="shared" si="0"/>
        <v>100</v>
      </c>
      <c r="T15" s="705" t="s">
        <v>18</v>
      </c>
      <c r="U15" s="706">
        <f t="shared" si="1"/>
        <v>100</v>
      </c>
      <c r="V15" s="705" t="s">
        <v>18</v>
      </c>
      <c r="W15" s="706">
        <f t="shared" si="2"/>
        <v>100</v>
      </c>
      <c r="X15" s="1355"/>
      <c r="Y15" s="3684"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83"/>
      <c r="Q16" s="1352"/>
      <c r="R16" s="705"/>
      <c r="S16" s="706"/>
      <c r="T16" s="705"/>
      <c r="U16" s="706"/>
      <c r="V16" s="705"/>
      <c r="W16" s="706"/>
      <c r="X16" s="1355"/>
      <c r="Y16" s="3685"/>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83"/>
      <c r="Q17" s="1352" t="str">
        <f>B17</f>
        <v>交通便捷度</v>
      </c>
      <c r="R17" s="705" t="s">
        <v>18</v>
      </c>
      <c r="S17" s="706">
        <f>F17</f>
        <v>100</v>
      </c>
      <c r="T17" s="705" t="s">
        <v>18</v>
      </c>
      <c r="U17" s="706">
        <f>H17</f>
        <v>100</v>
      </c>
      <c r="V17" s="705" t="s">
        <v>18</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83"/>
      <c r="Q18" s="1352"/>
      <c r="R18" s="705"/>
      <c r="S18" s="706"/>
      <c r="T18" s="705"/>
      <c r="U18" s="706"/>
      <c r="V18" s="705"/>
      <c r="W18" s="706"/>
      <c r="X18" s="1355"/>
      <c r="Y18" s="3685"/>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83"/>
      <c r="Q19" s="1352" t="str">
        <f>B19</f>
        <v>公共配套设施</v>
      </c>
      <c r="R19" s="705" t="s">
        <v>18</v>
      </c>
      <c r="S19" s="706">
        <f>F19</f>
        <v>100</v>
      </c>
      <c r="T19" s="705" t="s">
        <v>18</v>
      </c>
      <c r="U19" s="706">
        <f>H19</f>
        <v>100</v>
      </c>
      <c r="V19" s="705" t="s">
        <v>18</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83"/>
      <c r="Q20" s="1352"/>
      <c r="R20" s="705"/>
      <c r="S20" s="706"/>
      <c r="T20" s="705"/>
      <c r="U20" s="706"/>
      <c r="V20" s="705"/>
      <c r="W20" s="706"/>
      <c r="X20" s="1355"/>
      <c r="Y20" s="368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83"/>
      <c r="Q22" s="1352"/>
      <c r="R22" s="705"/>
      <c r="S22" s="706"/>
      <c r="T22" s="705"/>
      <c r="U22" s="706"/>
      <c r="V22" s="705"/>
      <c r="W22" s="706"/>
      <c r="X22" s="1355"/>
      <c r="Y22" s="368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83"/>
      <c r="Q23" s="1352" t="str">
        <f>B23</f>
        <v>自然及人文环境</v>
      </c>
      <c r="R23" s="705" t="s">
        <v>18</v>
      </c>
      <c r="S23" s="706">
        <f>F23</f>
        <v>100</v>
      </c>
      <c r="T23" s="705" t="s">
        <v>18</v>
      </c>
      <c r="U23" s="706">
        <f>H23</f>
        <v>100</v>
      </c>
      <c r="V23" s="705" t="s">
        <v>18</v>
      </c>
      <c r="W23" s="706">
        <f>J23</f>
        <v>100</v>
      </c>
      <c r="X23" s="1355"/>
      <c r="Y23" s="368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83"/>
      <c r="Q24" s="1352"/>
      <c r="R24" s="705"/>
      <c r="S24" s="706"/>
      <c r="T24" s="705"/>
      <c r="U24" s="706"/>
      <c r="V24" s="705"/>
      <c r="W24" s="706"/>
      <c r="X24" s="1355"/>
      <c r="Y24" s="3685"/>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5"/>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83"/>
      <c r="Q26" s="1352" t="str">
        <f t="shared" si="11"/>
        <v>朝向</v>
      </c>
      <c r="R26" s="705" t="s">
        <v>18</v>
      </c>
      <c r="S26" s="706">
        <f t="shared" si="12"/>
        <v>100</v>
      </c>
      <c r="T26" s="705" t="s">
        <v>18</v>
      </c>
      <c r="U26" s="706">
        <f t="shared" si="13"/>
        <v>100</v>
      </c>
      <c r="V26" s="705" t="s">
        <v>18</v>
      </c>
      <c r="W26" s="706">
        <f t="shared" si="14"/>
        <v>100</v>
      </c>
      <c r="X26" s="1355"/>
      <c r="Y26" s="368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83"/>
      <c r="Q27" s="1343">
        <f t="shared" si="11"/>
        <v>111</v>
      </c>
      <c r="R27" s="701" t="s">
        <v>18</v>
      </c>
      <c r="S27" s="702">
        <f t="shared" si="12"/>
        <v>100</v>
      </c>
      <c r="T27" s="701" t="s">
        <v>18</v>
      </c>
      <c r="U27" s="702">
        <f t="shared" si="13"/>
        <v>100</v>
      </c>
      <c r="V27" s="701" t="s">
        <v>18</v>
      </c>
      <c r="W27" s="702">
        <f t="shared" si="14"/>
        <v>100</v>
      </c>
      <c r="X27" s="703"/>
      <c r="Y27" s="368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83"/>
      <c r="Q28" s="1352">
        <f t="shared" si="11"/>
        <v>111</v>
      </c>
      <c r="R28" s="705" t="s">
        <v>18</v>
      </c>
      <c r="S28" s="706">
        <f t="shared" si="12"/>
        <v>100</v>
      </c>
      <c r="T28" s="705" t="s">
        <v>18</v>
      </c>
      <c r="U28" s="706">
        <f t="shared" si="13"/>
        <v>100</v>
      </c>
      <c r="V28" s="705" t="s">
        <v>18</v>
      </c>
      <c r="W28" s="706">
        <f t="shared" si="14"/>
        <v>100</v>
      </c>
      <c r="X28" s="1355"/>
      <c r="Y28" s="368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83"/>
      <c r="Q29" s="1352">
        <f t="shared" si="11"/>
        <v>111</v>
      </c>
      <c r="R29" s="705" t="s">
        <v>18</v>
      </c>
      <c r="S29" s="706">
        <f t="shared" si="12"/>
        <v>100</v>
      </c>
      <c r="T29" s="705" t="s">
        <v>18</v>
      </c>
      <c r="U29" s="706">
        <f t="shared" si="13"/>
        <v>100</v>
      </c>
      <c r="V29" s="705" t="s">
        <v>18</v>
      </c>
      <c r="W29" s="706">
        <f t="shared" si="14"/>
        <v>100</v>
      </c>
      <c r="X29" s="1355"/>
      <c r="Y29" s="368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83"/>
      <c r="Q30" s="1352">
        <f t="shared" si="11"/>
        <v>111</v>
      </c>
      <c r="R30" s="705" t="s">
        <v>18</v>
      </c>
      <c r="S30" s="706">
        <f t="shared" si="12"/>
        <v>100</v>
      </c>
      <c r="T30" s="705" t="s">
        <v>18</v>
      </c>
      <c r="U30" s="706">
        <f t="shared" si="13"/>
        <v>100</v>
      </c>
      <c r="V30" s="705" t="s">
        <v>18</v>
      </c>
      <c r="W30" s="706">
        <f t="shared" si="14"/>
        <v>100</v>
      </c>
      <c r="X30" s="1355"/>
      <c r="Y30" s="368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83"/>
      <c r="Q31" s="1352">
        <f t="shared" si="11"/>
        <v>111</v>
      </c>
      <c r="R31" s="705" t="s">
        <v>18</v>
      </c>
      <c r="S31" s="706">
        <f t="shared" si="12"/>
        <v>100</v>
      </c>
      <c r="T31" s="705" t="s">
        <v>18</v>
      </c>
      <c r="U31" s="706">
        <f t="shared" si="13"/>
        <v>100</v>
      </c>
      <c r="V31" s="705" t="s">
        <v>18</v>
      </c>
      <c r="W31" s="706">
        <f t="shared" si="14"/>
        <v>100</v>
      </c>
      <c r="X31" s="1355"/>
      <c r="Y31" s="3685"/>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86" t="s">
        <v>1694</v>
      </c>
      <c r="Q32" s="1352" t="str">
        <f t="shared" si="11"/>
        <v>建筑类型</v>
      </c>
      <c r="R32" s="705" t="s">
        <v>18</v>
      </c>
      <c r="S32" s="706">
        <f t="shared" si="12"/>
        <v>100</v>
      </c>
      <c r="T32" s="705" t="s">
        <v>18</v>
      </c>
      <c r="U32" s="706">
        <f t="shared" si="13"/>
        <v>100</v>
      </c>
      <c r="V32" s="705" t="s">
        <v>18</v>
      </c>
      <c r="W32" s="706">
        <f t="shared" si="14"/>
        <v>100</v>
      </c>
      <c r="X32" s="1355"/>
      <c r="Y32" s="3689"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87"/>
      <c r="Q33" s="707" t="str">
        <f t="shared" si="11"/>
        <v>项目建筑规模</v>
      </c>
      <c r="R33" s="708" t="s">
        <v>18</v>
      </c>
      <c r="S33" s="709" t="e">
        <f t="shared" si="12"/>
        <v>#N/A</v>
      </c>
      <c r="T33" s="708" t="s">
        <v>18</v>
      </c>
      <c r="U33" s="709" t="e">
        <f t="shared" si="13"/>
        <v>#N/A</v>
      </c>
      <c r="V33" s="708" t="s">
        <v>18</v>
      </c>
      <c r="W33" s="709" t="e">
        <f t="shared" si="14"/>
        <v>#N/A</v>
      </c>
      <c r="X33" s="710"/>
      <c r="Y33" s="3689"/>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87"/>
      <c r="Q34" s="1352" t="str">
        <f t="shared" si="11"/>
        <v>建筑结构</v>
      </c>
      <c r="R34" s="705" t="s">
        <v>18</v>
      </c>
      <c r="S34" s="706">
        <f t="shared" si="12"/>
        <v>100</v>
      </c>
      <c r="T34" s="705" t="s">
        <v>18</v>
      </c>
      <c r="U34" s="706">
        <f t="shared" si="13"/>
        <v>100</v>
      </c>
      <c r="V34" s="705" t="s">
        <v>18</v>
      </c>
      <c r="W34" s="706">
        <f t="shared" si="14"/>
        <v>100</v>
      </c>
      <c r="X34" s="1355"/>
      <c r="Y34" s="3689"/>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87"/>
      <c r="Q35" s="1352" t="str">
        <f t="shared" si="11"/>
        <v>建筑品质</v>
      </c>
      <c r="R35" s="705" t="s">
        <v>18</v>
      </c>
      <c r="S35" s="706">
        <f t="shared" si="12"/>
        <v>100</v>
      </c>
      <c r="T35" s="705" t="s">
        <v>18</v>
      </c>
      <c r="U35" s="706">
        <f t="shared" si="13"/>
        <v>100</v>
      </c>
      <c r="V35" s="705" t="s">
        <v>18</v>
      </c>
      <c r="W35" s="706">
        <f t="shared" si="14"/>
        <v>100</v>
      </c>
      <c r="X35" s="1355"/>
      <c r="Y35" s="3689"/>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87"/>
      <c r="Q36" s="1352" t="str">
        <f t="shared" si="11"/>
        <v>公共部分装修</v>
      </c>
      <c r="R36" s="705" t="s">
        <v>18</v>
      </c>
      <c r="S36" s="706">
        <f t="shared" si="12"/>
        <v>100</v>
      </c>
      <c r="T36" s="705" t="s">
        <v>18</v>
      </c>
      <c r="U36" s="706">
        <f t="shared" si="13"/>
        <v>100</v>
      </c>
      <c r="V36" s="705" t="s">
        <v>18</v>
      </c>
      <c r="W36" s="706">
        <f t="shared" si="14"/>
        <v>100</v>
      </c>
      <c r="X36" s="1355"/>
      <c r="Y36" s="3689"/>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87"/>
      <c r="Q37" s="1343" t="str">
        <f t="shared" si="11"/>
        <v>成新度</v>
      </c>
      <c r="R37" s="701" t="s">
        <v>18</v>
      </c>
      <c r="S37" s="702" t="e">
        <f t="shared" si="12"/>
        <v>#N/A</v>
      </c>
      <c r="T37" s="701" t="s">
        <v>18</v>
      </c>
      <c r="U37" s="702" t="e">
        <f t="shared" si="13"/>
        <v>#N/A</v>
      </c>
      <c r="V37" s="701" t="s">
        <v>18</v>
      </c>
      <c r="W37" s="702" t="e">
        <f t="shared" si="14"/>
        <v>#N/A</v>
      </c>
      <c r="X37" s="703"/>
      <c r="Y37" s="3689"/>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87" t="s">
        <v>1694</v>
      </c>
      <c r="Q38" s="1352" t="str">
        <f t="shared" si="11"/>
        <v>物业管理</v>
      </c>
      <c r="R38" s="705" t="s">
        <v>18</v>
      </c>
      <c r="S38" s="706">
        <f t="shared" si="12"/>
        <v>100</v>
      </c>
      <c r="T38" s="705" t="s">
        <v>18</v>
      </c>
      <c r="U38" s="706">
        <f t="shared" si="13"/>
        <v>100</v>
      </c>
      <c r="V38" s="705" t="s">
        <v>18</v>
      </c>
      <c r="W38" s="706">
        <f t="shared" si="14"/>
        <v>100</v>
      </c>
      <c r="X38" s="1355"/>
      <c r="Y38" s="3689"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87"/>
      <c r="Q39" s="1352" t="str">
        <f t="shared" si="11"/>
        <v>市政基础设施</v>
      </c>
      <c r="R39" s="705" t="s">
        <v>18</v>
      </c>
      <c r="S39" s="706">
        <f t="shared" si="12"/>
        <v>100</v>
      </c>
      <c r="T39" s="705" t="s">
        <v>18</v>
      </c>
      <c r="U39" s="706">
        <f t="shared" si="13"/>
        <v>100</v>
      </c>
      <c r="V39" s="705" t="s">
        <v>18</v>
      </c>
      <c r="W39" s="706">
        <f t="shared" si="14"/>
        <v>100</v>
      </c>
      <c r="X39" s="1355"/>
      <c r="Y39" s="3689"/>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87"/>
      <c r="Q40" s="1352" t="str">
        <f t="shared" si="11"/>
        <v>房型</v>
      </c>
      <c r="R40" s="705" t="s">
        <v>18</v>
      </c>
      <c r="S40" s="706">
        <f t="shared" si="12"/>
        <v>100</v>
      </c>
      <c r="T40" s="705" t="s">
        <v>18</v>
      </c>
      <c r="U40" s="706">
        <f t="shared" si="13"/>
        <v>100</v>
      </c>
      <c r="V40" s="705" t="s">
        <v>18</v>
      </c>
      <c r="W40" s="706">
        <f t="shared" si="14"/>
        <v>100</v>
      </c>
      <c r="X40" s="1355"/>
      <c r="Y40" s="3689"/>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87"/>
      <c r="Q41" s="707" t="str">
        <f t="shared" si="11"/>
        <v>单套/主力户型建筑面积</v>
      </c>
      <c r="R41" s="708" t="s">
        <v>18</v>
      </c>
      <c r="S41" s="709">
        <f t="shared" si="12"/>
        <v>100</v>
      </c>
      <c r="T41" s="708" t="s">
        <v>18</v>
      </c>
      <c r="U41" s="709">
        <f t="shared" si="13"/>
        <v>100</v>
      </c>
      <c r="V41" s="708" t="s">
        <v>18</v>
      </c>
      <c r="W41" s="709">
        <f t="shared" si="14"/>
        <v>100</v>
      </c>
      <c r="X41" s="710"/>
      <c r="Y41" s="3689"/>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87"/>
      <c r="Q42" s="1352" t="str">
        <f t="shared" si="11"/>
        <v>内部装修</v>
      </c>
      <c r="R42" s="705" t="s">
        <v>18</v>
      </c>
      <c r="S42" s="706">
        <f t="shared" si="12"/>
        <v>100</v>
      </c>
      <c r="T42" s="705" t="s">
        <v>18</v>
      </c>
      <c r="U42" s="706">
        <f t="shared" si="13"/>
        <v>100</v>
      </c>
      <c r="V42" s="705" t="s">
        <v>18</v>
      </c>
      <c r="W42" s="706">
        <f t="shared" si="14"/>
        <v>100</v>
      </c>
      <c r="X42" s="1355"/>
      <c r="Y42" s="3689"/>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87"/>
      <c r="Q43" s="1352" t="str">
        <f t="shared" si="11"/>
        <v>内部装修维护情况</v>
      </c>
      <c r="R43" s="705" t="s">
        <v>18</v>
      </c>
      <c r="S43" s="706">
        <f t="shared" si="12"/>
        <v>100</v>
      </c>
      <c r="T43" s="705" t="s">
        <v>18</v>
      </c>
      <c r="U43" s="706">
        <f t="shared" si="13"/>
        <v>100</v>
      </c>
      <c r="V43" s="705" t="s">
        <v>18</v>
      </c>
      <c r="W43" s="706">
        <f t="shared" si="14"/>
        <v>100</v>
      </c>
      <c r="X43" s="1355"/>
      <c r="Y43" s="368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87"/>
      <c r="Q44" s="1343">
        <f t="shared" si="11"/>
        <v>111</v>
      </c>
      <c r="R44" s="701" t="s">
        <v>18</v>
      </c>
      <c r="S44" s="702">
        <f t="shared" si="12"/>
        <v>100</v>
      </c>
      <c r="T44" s="701" t="s">
        <v>18</v>
      </c>
      <c r="U44" s="702">
        <f t="shared" si="13"/>
        <v>100</v>
      </c>
      <c r="V44" s="701" t="s">
        <v>18</v>
      </c>
      <c r="W44" s="702">
        <f t="shared" si="14"/>
        <v>100</v>
      </c>
      <c r="X44" s="703"/>
      <c r="Y44" s="368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87"/>
      <c r="Q45" s="1352">
        <f t="shared" si="11"/>
        <v>111</v>
      </c>
      <c r="R45" s="705" t="s">
        <v>18</v>
      </c>
      <c r="S45" s="706">
        <f t="shared" si="12"/>
        <v>100</v>
      </c>
      <c r="T45" s="705" t="s">
        <v>18</v>
      </c>
      <c r="U45" s="706">
        <f t="shared" si="13"/>
        <v>100</v>
      </c>
      <c r="V45" s="705" t="s">
        <v>18</v>
      </c>
      <c r="W45" s="706">
        <f t="shared" si="14"/>
        <v>100</v>
      </c>
      <c r="X45" s="1355"/>
      <c r="Y45" s="368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88"/>
      <c r="Q46" s="1352">
        <f t="shared" si="11"/>
        <v>111</v>
      </c>
      <c r="R46" s="705" t="s">
        <v>17</v>
      </c>
      <c r="S46" s="706">
        <f t="shared" si="12"/>
        <v>100</v>
      </c>
      <c r="T46" s="705" t="s">
        <v>17</v>
      </c>
      <c r="U46" s="706">
        <f t="shared" si="13"/>
        <v>100</v>
      </c>
      <c r="V46" s="705" t="s">
        <v>17</v>
      </c>
      <c r="W46" s="706">
        <f t="shared" si="14"/>
        <v>100</v>
      </c>
      <c r="X46" s="1355"/>
      <c r="Y46" s="3690"/>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18"/>
      <c r="M47" s="2719"/>
      <c r="N47" s="2710"/>
      <c r="O47" s="2719"/>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18"/>
      <c r="M49" s="2719"/>
      <c r="N49" s="2719"/>
      <c r="O49" s="2719"/>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D50" sqref="D50:D58"/>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1924</v>
      </c>
      <c r="B1" s="197"/>
      <c r="C1" s="201" t="s">
        <v>1925</v>
      </c>
      <c r="D1" s="342">
        <f>SUM(D33:D34,D37:D42)</f>
        <v>898.61</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1503</v>
      </c>
      <c r="C2" s="1999" t="s">
        <v>1933</v>
      </c>
      <c r="D2" s="2000" t="s">
        <v>1934</v>
      </c>
      <c r="E2" s="3417" t="s">
        <v>673</v>
      </c>
      <c r="F2" s="2000" t="s">
        <v>1935</v>
      </c>
      <c r="G2" s="2001" t="str">
        <f>IF(E2="商业",项目基本情况!B37,IF(E2="办公",项目基本情况!C37,IF(E2="住宅",项目基本情况!D37,IF(E2="工业",项目基本情况!E37,项目基本情况!F37))))</f>
        <v>六级</v>
      </c>
      <c r="H2" s="2000" t="s">
        <v>1936</v>
      </c>
      <c r="I2" s="2001" t="str">
        <f>IF(E2="商业",项目基本情况!B38,IF(E2="办公",项目基本情况!C38,IF(E2="住宅",项目基本情况!D38,IF(E2="工业",项目基本情况!E38,项目基本情况!F38))))</f>
        <v>Ⅵ-兴1</v>
      </c>
      <c r="J2" s="2002"/>
      <c r="K2" s="1119"/>
      <c r="L2" s="2003" t="s">
        <v>1937</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f>'数据-汇总表'!F27</f>
        <v>898.61</v>
      </c>
      <c r="V2" s="3356">
        <f>ROUND(T2*U2/10000,0)</f>
        <v>1503</v>
      </c>
      <c r="W2" s="1216"/>
      <c r="X2" s="1216"/>
      <c r="Y2" s="1216"/>
      <c r="Z2" s="1216"/>
      <c r="AA2" s="1216"/>
      <c r="AB2" s="1216"/>
      <c r="AC2" s="1217"/>
      <c r="AD2" s="1218"/>
      <c r="AE2" s="1218"/>
      <c r="AF2" s="1218"/>
      <c r="AG2" s="1218"/>
      <c r="AH2" s="1218"/>
      <c r="AI2" s="1218"/>
      <c r="AJ2" s="1219"/>
    </row>
    <row r="3" spans="1:36" ht="15.75">
      <c r="A3" s="203" t="s">
        <v>1938</v>
      </c>
      <c r="B3" s="204">
        <f>ROUND(B2*10000/D1,0)</f>
        <v>16726</v>
      </c>
      <c r="C3" s="1999" t="s">
        <v>1939</v>
      </c>
      <c r="D3" s="2000" t="s">
        <v>1940</v>
      </c>
      <c r="E3" s="3415" t="s">
        <v>2433</v>
      </c>
      <c r="F3" s="2004" t="s">
        <v>3406</v>
      </c>
      <c r="G3" s="752">
        <f>IF(F3="宗地容积率",'数据-汇总表'!I4,IF(F3="估价对象容积率",'数据-汇总表'!I6,'数据-汇总表'!I7))</f>
        <v>2.5</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34"/>
      <c r="B4" s="3735"/>
      <c r="C4" s="3735"/>
      <c r="D4" s="3736"/>
      <c r="E4" s="3736"/>
      <c r="F4" s="3736"/>
      <c r="G4" s="3736"/>
      <c r="H4" s="3736"/>
      <c r="I4" s="3736"/>
      <c r="J4" s="3737"/>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c r="V4" s="3356">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11180</v>
      </c>
      <c r="D5" s="1339">
        <f>ROUND(C6*C17+C20,0)</f>
        <v>11180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11180</v>
      </c>
      <c r="D6" s="2017"/>
      <c r="E6" s="2018"/>
      <c r="F6" s="2018"/>
      <c r="G6" s="2019"/>
      <c r="H6" s="2019"/>
      <c r="I6" s="2019"/>
      <c r="J6" s="2020"/>
      <c r="K6" s="1384"/>
      <c r="L6" s="2003" t="s">
        <v>1949</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1950</v>
      </c>
      <c r="C7" s="755">
        <f>IF(C8="不临65条商业街",1,ROUND(1+(1.6*E8+1.2*E9+0.8*E10+0.4*E11)*C9,4))</f>
        <v>1</v>
      </c>
      <c r="D7" s="2022" t="s">
        <v>1951</v>
      </c>
      <c r="E7" s="776">
        <v>30</v>
      </c>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1953</v>
      </c>
      <c r="X7" s="1214" t="str">
        <f>G2</f>
        <v>六级</v>
      </c>
      <c r="Y7" s="1214" t="s">
        <v>1954</v>
      </c>
      <c r="Z7" s="1215">
        <f>G3</f>
        <v>2.5</v>
      </c>
      <c r="AA7" s="1216"/>
      <c r="AB7" s="1216"/>
      <c r="AC7" s="1217"/>
      <c r="AD7" s="1218"/>
      <c r="AE7" s="1218"/>
      <c r="AF7" s="1218"/>
      <c r="AG7" s="1218"/>
      <c r="AH7" s="1218"/>
      <c r="AI7" s="1218"/>
      <c r="AJ7" s="1219"/>
    </row>
    <row r="8" spans="1:36" ht="25.5">
      <c r="A8" s="3294"/>
      <c r="B8" s="170" t="s">
        <v>1955</v>
      </c>
      <c r="C8" s="2026" t="s">
        <v>3407</v>
      </c>
      <c r="D8" s="756" t="s">
        <v>112</v>
      </c>
      <c r="E8" s="757">
        <f>ROUND(C11/E7,4)</f>
        <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31" t="s">
        <v>1958</v>
      </c>
      <c r="X8" s="3732"/>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4"/>
      <c r="B9" s="170" t="s">
        <v>1971</v>
      </c>
      <c r="C9" s="758">
        <f>SUMIF(修正!C71:C138,C8,修正!E71:E138)</f>
        <v>0</v>
      </c>
      <c r="D9" s="171" t="s">
        <v>113</v>
      </c>
      <c r="E9" s="171">
        <f>ROUND(C11/E7,4)</f>
        <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33"/>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f>ROUND(C11/E7,4)</f>
        <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3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1977</v>
      </c>
      <c r="C11" s="759">
        <f>C10/4</f>
        <v>0</v>
      </c>
      <c r="D11" s="759" t="s">
        <v>115</v>
      </c>
      <c r="E11" s="759">
        <f>ROUND(C11/E7,4)</f>
        <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1980</v>
      </c>
      <c r="C13" s="755">
        <f>ROUND(C16*D16*E16*F16*G16*H16*I16*J16,4)</f>
        <v>0</v>
      </c>
      <c r="D13" s="2035" t="s">
        <v>1981</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1983</v>
      </c>
      <c r="C14" s="2041" t="s">
        <v>1984</v>
      </c>
      <c r="D14" s="1350" t="s">
        <v>1985</v>
      </c>
      <c r="E14" s="27" t="s">
        <v>1986</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1987</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38" t="s">
        <v>3254</v>
      </c>
      <c r="B20" s="167" t="s">
        <v>1992</v>
      </c>
      <c r="C20" s="3320">
        <f>ROUND(IF(F21="与级别开发程度一致",0,(G21-E21)/C21),0)</f>
        <v>0</v>
      </c>
      <c r="D20" s="3336" t="s">
        <v>1996</v>
      </c>
      <c r="E20" s="3337"/>
      <c r="F20" s="3744" t="s">
        <v>1993</v>
      </c>
      <c r="G20" s="3745"/>
      <c r="H20" s="3321" t="s">
        <v>3377</v>
      </c>
      <c r="I20" s="3321" t="s">
        <v>3378</v>
      </c>
      <c r="J20" s="3322" t="s">
        <v>3379</v>
      </c>
      <c r="K20" s="2047" t="s">
        <v>3380</v>
      </c>
      <c r="L20" s="2047" t="s">
        <v>3381</v>
      </c>
      <c r="M20" s="2047" t="s">
        <v>3382</v>
      </c>
      <c r="N20" s="3453" t="s">
        <v>3411</v>
      </c>
      <c r="O20" s="3454" t="s">
        <v>3426</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39"/>
      <c r="B21" s="2163" t="s">
        <v>1995</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3427</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1998</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1999</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2000</v>
      </c>
      <c r="E23" s="761">
        <v>44197</v>
      </c>
      <c r="F23" s="2053" t="s">
        <v>2001</v>
      </c>
      <c r="G23" s="762">
        <f>'数据-取费表'!B2</f>
        <v>44931</v>
      </c>
      <c r="H23" s="3338" t="s">
        <v>3255</v>
      </c>
      <c r="I23" s="3339" t="str">
        <f>IF(H23="季度增幅（自定义）",SUMIF(N25:N28,E2,O25:O28),"")</f>
        <v/>
      </c>
      <c r="J23" s="3441" t="s">
        <v>3408</v>
      </c>
      <c r="K23" s="1125"/>
      <c r="L23" s="2054" t="s">
        <v>2002</v>
      </c>
      <c r="M23" s="1328">
        <f>ROUND(SUMIF(地价!B2:G2,E2,地价!B16:G16),0)</f>
        <v>350</v>
      </c>
      <c r="N23" s="2055" t="s">
        <v>2003</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2004</v>
      </c>
      <c r="C24" s="764">
        <f>ROUND(POWER(1+G24,J24-I24)*(POWER(1+G24,I24)-1)/(POWER(1+G24,J24)-1),4)</f>
        <v>0.96130000000000004</v>
      </c>
      <c r="D24" s="2059" t="s">
        <v>2005</v>
      </c>
      <c r="E24" s="1335">
        <f>存贷款利率!E22/100</f>
        <v>4.3499999999999997E-2</v>
      </c>
      <c r="F24" s="2059" t="s">
        <v>1997</v>
      </c>
      <c r="G24" s="768">
        <f>SUMIF(M30:Q30,E2,M33:Q33)</f>
        <v>5.5E-2</v>
      </c>
      <c r="H24" s="2059" t="s">
        <v>2006</v>
      </c>
      <c r="I24" s="769">
        <f>SUMIF('数据-取费表'!C6:C15,E2,'数据-取费表'!F6:F15)/COUNTIF('数据-取费表'!C6:C15,E2)</f>
        <v>35.229999999999997</v>
      </c>
      <c r="J24" s="770">
        <f>IF(E2="住宅",70,IF(E2="商业",40,50))</f>
        <v>40</v>
      </c>
      <c r="K24" s="1125"/>
      <c r="L24" s="2060" t="s">
        <v>2007</v>
      </c>
      <c r="M24" s="1329">
        <f>ROUND(SUMPRODUCT((地价!A4:A16=YEAR(G23)&amp;"-"&amp;ROUNDUP(MONTH(G23)/3,0))*(地价!B2:G2=E2)*(地价!B4:G16)),0)</f>
        <v>0</v>
      </c>
      <c r="N24" s="2061" t="s">
        <v>2008</v>
      </c>
      <c r="O24" s="2062" t="s">
        <v>2009</v>
      </c>
      <c r="P24" s="2063" t="s">
        <v>2010</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3412</v>
      </c>
      <c r="C25" s="771">
        <f>IF(B25="容积率修正",IF(G3&lt;10,D26,J26),C27)</f>
        <v>1.5019</v>
      </c>
      <c r="D25" s="2066"/>
      <c r="E25" s="2066"/>
      <c r="F25" s="2066"/>
      <c r="G25" s="2066"/>
      <c r="H25" s="2066"/>
      <c r="I25" s="2066"/>
      <c r="J25" s="2067"/>
      <c r="K25" s="1125"/>
      <c r="L25" s="2782"/>
      <c r="M25" s="2782"/>
      <c r="N25" s="2068" t="s">
        <v>2011</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2012</v>
      </c>
      <c r="B26" s="2069" t="s">
        <v>2013</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2015</v>
      </c>
      <c r="B27" s="2070" t="s">
        <v>2016</v>
      </c>
      <c r="C27" s="841">
        <f>ROUND(IF(I3&lt;6,SUMPRODUCT((B106:B110=I3)*(C105:N105=G2)*(C106:N110)),SUMIF(C105:N105,G2,C112:N112)),4)</f>
        <v>1.5019</v>
      </c>
      <c r="D27" s="2046"/>
      <c r="E27" s="2046"/>
      <c r="F27" s="2071"/>
      <c r="G27" s="2072"/>
      <c r="H27" s="2073"/>
      <c r="I27" s="2074"/>
      <c r="J27" s="2075"/>
      <c r="K27" s="1119"/>
      <c r="L27" s="1997"/>
      <c r="M27" s="1997"/>
      <c r="N27" s="2068"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1.0116000000000001</v>
      </c>
      <c r="D28" s="2051"/>
      <c r="E28" s="2076"/>
      <c r="F28" s="2076"/>
      <c r="G28" s="2076"/>
      <c r="H28" s="2076"/>
      <c r="I28" s="2076"/>
      <c r="J28" s="2077"/>
      <c r="K28" s="1125"/>
      <c r="L28" s="2782"/>
      <c r="M28" s="2782"/>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4"/>
      <c r="E29" s="2024"/>
      <c r="F29" s="2080"/>
      <c r="G29" s="2024"/>
      <c r="H29" s="2024"/>
      <c r="I29" s="2024"/>
      <c r="J29" s="2025"/>
      <c r="K29" s="1119"/>
      <c r="L29" s="1997"/>
      <c r="M29" s="1997"/>
      <c r="N29" s="2779" t="s">
        <v>2021</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2022</v>
      </c>
      <c r="C30" s="2320">
        <f>IF(B25="容积率修正",E33+SUM(E37:E42),SUM(V2:V16)+SUM(E37:E42))</f>
        <v>1503</v>
      </c>
      <c r="D30" s="2082"/>
      <c r="E30" s="2046"/>
      <c r="F30" s="2083"/>
      <c r="G30" s="2046"/>
      <c r="H30" s="2046"/>
      <c r="I30" s="2046"/>
      <c r="J30" s="2084"/>
      <c r="K30" s="1119"/>
      <c r="L30" s="3346" t="s">
        <v>1934</v>
      </c>
      <c r="M30" s="3347" t="s">
        <v>1988</v>
      </c>
      <c r="N30" s="3347" t="s">
        <v>1989</v>
      </c>
      <c r="O30" s="3347" t="s">
        <v>1990</v>
      </c>
      <c r="P30" s="3347" t="s">
        <v>1991</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2023</v>
      </c>
      <c r="C31" s="766">
        <f>E34+SUM(I37:I42)</f>
        <v>0</v>
      </c>
      <c r="D31" s="2086"/>
      <c r="E31" s="2087"/>
      <c r="F31" s="2088"/>
      <c r="G31" s="2087"/>
      <c r="H31" s="2087"/>
      <c r="I31" s="2087"/>
      <c r="J31" s="2089"/>
      <c r="K31" s="1119"/>
      <c r="L31" s="3348" t="s">
        <v>1994</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2024</v>
      </c>
      <c r="C32" s="2092" t="s">
        <v>2025</v>
      </c>
      <c r="D32" s="2092" t="s">
        <v>2026</v>
      </c>
      <c r="E32" s="2093" t="s">
        <v>2027</v>
      </c>
      <c r="F32" s="2094"/>
      <c r="G32" s="2037"/>
      <c r="H32" s="2037"/>
      <c r="I32" s="2037"/>
      <c r="J32" s="2038"/>
      <c r="K32" s="1119"/>
      <c r="L32" s="3349" t="s">
        <v>1997</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2028</v>
      </c>
      <c r="C33" s="175">
        <f>ROUND(C5*C22*C23*C24*C25*C28,0)</f>
        <v>16722</v>
      </c>
      <c r="D33" s="2097">
        <f>'数据-汇总表'!F27</f>
        <v>898.61</v>
      </c>
      <c r="E33" s="773">
        <f>ROUND(C33*D33/10000,0)</f>
        <v>1503</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t="e">
        <f>ROUND(IF(E2="工业",C33*M42,IF(B25="楼层修正",SUM(V2:V16)*M41*10000/D34,C33*M41)),0)</f>
        <v>#DIV/0!</v>
      </c>
      <c r="D34" s="2102"/>
      <c r="E34" s="773">
        <f>ROUND(IF(B25="楼层修正",SUM(V2:V16)*M40,C34*D34/10000),0)</f>
        <v>0</v>
      </c>
      <c r="F34" s="2103" t="s">
        <v>2030</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2" t="s">
        <v>3260</v>
      </c>
      <c r="D35" s="2037"/>
      <c r="E35" s="2108"/>
      <c r="F35" s="2108"/>
      <c r="G35" s="2035" t="s">
        <v>2032</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2"/>
      <c r="B37" s="2112" t="s">
        <v>2034</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3"/>
      <c r="B38" s="2041" t="s">
        <v>2035</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43"/>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2036</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2037</v>
      </c>
      <c r="M40" s="2116"/>
      <c r="Z40" s="1120"/>
      <c r="AA40" s="1120"/>
      <c r="AB40" s="1120"/>
      <c r="AC40" s="1120"/>
      <c r="AD40" s="1120"/>
      <c r="AE40" s="1120"/>
      <c r="AF40" s="1120"/>
      <c r="AG40" s="1120"/>
      <c r="AH40" s="1120"/>
      <c r="AI40" s="1120"/>
      <c r="AJ40" s="1120"/>
    </row>
    <row r="41" spans="1:37" s="1119" customFormat="1">
      <c r="A41" s="2114"/>
      <c r="B41" s="2041" t="s">
        <v>2038</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1997</v>
      </c>
      <c r="E44" s="2152">
        <f>G24</f>
        <v>5.5E-2</v>
      </c>
      <c r="F44" s="171" t="s">
        <v>2006</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2041</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2042</v>
      </c>
      <c r="B49" s="1351" t="s">
        <v>2043</v>
      </c>
      <c r="C49" s="1351" t="s">
        <v>2044</v>
      </c>
      <c r="D49" s="1351" t="s">
        <v>2045</v>
      </c>
      <c r="E49" s="743" t="s">
        <v>2046</v>
      </c>
      <c r="F49" s="2130" t="s">
        <v>2047</v>
      </c>
      <c r="G49" s="1351" t="s">
        <v>310</v>
      </c>
      <c r="H49" s="2131"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29" t="s">
        <v>2050</v>
      </c>
      <c r="B50" s="2132" t="str">
        <f>估价对象房地状况!C4</f>
        <v>一般</v>
      </c>
      <c r="C50" s="2044" t="s">
        <v>3399</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2051</v>
      </c>
      <c r="B51" s="2133" t="str">
        <f>估价对象房地状况!C18</f>
        <v>一般</v>
      </c>
      <c r="C51" s="2044" t="s">
        <v>3399</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3399</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2052</v>
      </c>
      <c r="B53" s="2134" t="s">
        <v>2053</v>
      </c>
      <c r="C53" s="2044" t="s">
        <v>3399</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4" t="s">
        <v>3409</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2055</v>
      </c>
      <c r="B55" s="2135" t="s">
        <v>2056</v>
      </c>
      <c r="C55" s="2044" t="s">
        <v>3404</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2057</v>
      </c>
      <c r="B56" s="1326" t="str">
        <f>估价对象房地状况!C21</f>
        <v>一般</v>
      </c>
      <c r="C56" s="2044" t="s">
        <v>3399</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2058</v>
      </c>
      <c r="B57" s="2133" t="str">
        <f>估价对象房地状况!C22</f>
        <v>七通</v>
      </c>
      <c r="C57" s="2044" t="s">
        <v>3410</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2059</v>
      </c>
      <c r="B58" s="2138" t="str">
        <f>估价对象房地状况!C20</f>
        <v>较好</v>
      </c>
      <c r="C58" s="2044" t="s">
        <v>3404</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2060</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1"/>
      <c r="C60" s="1351" t="s">
        <v>2044</v>
      </c>
      <c r="D60" s="1351" t="s">
        <v>2045</v>
      </c>
      <c r="E60" s="743" t="s">
        <v>2046</v>
      </c>
      <c r="F60" s="2130" t="s">
        <v>2061</v>
      </c>
      <c r="G60" s="1351" t="s">
        <v>310</v>
      </c>
      <c r="H60" s="2131"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29" t="s">
        <v>2062</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2051</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2052</v>
      </c>
      <c r="B64" s="2134" t="s">
        <v>2053</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2055</v>
      </c>
      <c r="B66" s="2135" t="s">
        <v>2056</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2057</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2058</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2059</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1"/>
      <c r="C71" s="1351" t="s">
        <v>2044</v>
      </c>
      <c r="D71" s="1351" t="s">
        <v>2045</v>
      </c>
      <c r="E71" s="743" t="s">
        <v>2046</v>
      </c>
      <c r="F71" s="2130" t="s">
        <v>2061</v>
      </c>
      <c r="G71" s="1351" t="s">
        <v>310</v>
      </c>
      <c r="H71" s="2131"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29" t="s">
        <v>2064</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2051</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2057</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2058</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2055</v>
      </c>
      <c r="B78" s="2135" t="s">
        <v>2056</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2059</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2066</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2067</v>
      </c>
      <c r="B81" s="2126">
        <f>1+E83</f>
        <v>1</v>
      </c>
      <c r="C81" s="741"/>
      <c r="D81" s="741"/>
      <c r="E81" s="742"/>
      <c r="F81" s="2128"/>
      <c r="G81" s="3"/>
      <c r="H81" s="3"/>
      <c r="I81" s="3"/>
      <c r="J81" s="4"/>
      <c r="K81" s="4"/>
      <c r="L81" s="4"/>
      <c r="M81" s="4"/>
      <c r="N81" s="4"/>
      <c r="Z81" s="1998"/>
      <c r="AA81" s="2052"/>
      <c r="AG81" s="1121"/>
      <c r="AK81" s="2052"/>
    </row>
    <row r="82" spans="1:37" ht="24.75">
      <c r="A82" s="2129" t="s">
        <v>2042</v>
      </c>
      <c r="B82" s="1351"/>
      <c r="C82" s="1351" t="s">
        <v>2044</v>
      </c>
      <c r="D82" s="1351" t="s">
        <v>2045</v>
      </c>
      <c r="E82" s="743" t="s">
        <v>2046</v>
      </c>
      <c r="F82" s="2130" t="s">
        <v>2061</v>
      </c>
      <c r="G82" s="1351" t="s">
        <v>310</v>
      </c>
      <c r="H82" s="2131" t="s">
        <v>2048</v>
      </c>
      <c r="I82" s="1351" t="s">
        <v>2049</v>
      </c>
      <c r="J82" s="552" t="s">
        <v>1719</v>
      </c>
      <c r="K82" s="552" t="s">
        <v>1720</v>
      </c>
      <c r="L82" s="552" t="s">
        <v>1721</v>
      </c>
      <c r="M82" s="552" t="s">
        <v>1722</v>
      </c>
      <c r="N82" s="552" t="s">
        <v>1723</v>
      </c>
      <c r="Z82" s="1998"/>
      <c r="AA82" s="2052"/>
      <c r="AG82" s="1121"/>
      <c r="AK82" s="2052"/>
    </row>
    <row r="83" spans="1:37" ht="38.25">
      <c r="A83" s="2129" t="s">
        <v>2068</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2051</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2065</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2057</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2058</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2055</v>
      </c>
      <c r="B89" s="2135" t="s">
        <v>2069</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40" t="s">
        <v>3293</v>
      </c>
      <c r="B103" s="3740"/>
      <c r="C103" s="3740"/>
      <c r="D103" s="3740"/>
      <c r="E103" s="3740"/>
      <c r="F103" s="3740"/>
      <c r="G103" s="3740"/>
      <c r="H103" s="3740"/>
      <c r="I103" s="3740"/>
      <c r="J103" s="3740"/>
      <c r="K103" s="3385"/>
      <c r="L103" s="3385"/>
      <c r="M103" s="3385"/>
      <c r="N103" s="3385"/>
    </row>
    <row r="104" spans="1:14">
      <c r="A104" s="3741" t="s">
        <v>3294</v>
      </c>
      <c r="B104" s="3741" t="s">
        <v>3295</v>
      </c>
      <c r="C104" s="3386" t="s">
        <v>3296</v>
      </c>
      <c r="D104" s="3387"/>
      <c r="E104" s="3387"/>
      <c r="F104" s="3387"/>
      <c r="G104" s="3387"/>
      <c r="H104" s="3387"/>
      <c r="I104" s="3387"/>
      <c r="J104" s="3388"/>
      <c r="K104" s="3389"/>
      <c r="L104" s="3389"/>
      <c r="M104" s="3389"/>
      <c r="N104" s="3389"/>
    </row>
    <row r="105" spans="1:14">
      <c r="A105" s="3741"/>
      <c r="B105" s="3741"/>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27"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2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2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2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2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28"/>
      <c r="B111" s="3390" t="s">
        <v>3267</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29"/>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30" t="s">
        <v>3310</v>
      </c>
      <c r="B113" s="3730"/>
      <c r="C113" s="3730"/>
      <c r="D113" s="3730"/>
      <c r="E113" s="3730"/>
      <c r="F113" s="3730"/>
      <c r="G113" s="3730"/>
      <c r="H113" s="3730"/>
      <c r="I113" s="3730"/>
      <c r="J113" s="373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898.61</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1767</v>
      </c>
      <c r="B4" s="356"/>
      <c r="C4" s="3669" t="s">
        <v>1768</v>
      </c>
      <c r="D4" s="3670"/>
      <c r="E4" s="3671" t="s">
        <v>1769</v>
      </c>
      <c r="F4" s="3672"/>
      <c r="G4" s="3669" t="s">
        <v>1770</v>
      </c>
      <c r="H4" s="3670"/>
      <c r="I4" s="3669" t="s">
        <v>1771</v>
      </c>
      <c r="J4" s="3670"/>
      <c r="K4" s="559" t="s">
        <v>1772</v>
      </c>
      <c r="L4" s="2709"/>
      <c r="M4" s="2710"/>
      <c r="N4" s="2710"/>
      <c r="O4" s="2710"/>
      <c r="P4" s="3752" t="s">
        <v>1773</v>
      </c>
      <c r="Q4" s="3753"/>
      <c r="R4" s="3747" t="s">
        <v>1769</v>
      </c>
      <c r="S4" s="3748"/>
      <c r="T4" s="3747" t="s">
        <v>1770</v>
      </c>
      <c r="U4" s="3748"/>
      <c r="V4" s="3756" t="s">
        <v>1771</v>
      </c>
      <c r="W4" s="3756"/>
      <c r="X4" s="1958"/>
      <c r="Y4" s="3747" t="s">
        <v>1773</v>
      </c>
      <c r="Z4" s="3748"/>
      <c r="AA4" s="3746" t="s">
        <v>1769</v>
      </c>
      <c r="AB4" s="3746" t="s">
        <v>1770</v>
      </c>
      <c r="AC4" s="3749" t="s">
        <v>1771</v>
      </c>
    </row>
    <row r="5" spans="1:29" ht="15">
      <c r="A5" s="358"/>
      <c r="B5" s="359"/>
      <c r="C5" s="3665" t="s">
        <v>1671</v>
      </c>
      <c r="D5" s="3662"/>
      <c r="E5" s="3659" t="s">
        <v>1672</v>
      </c>
      <c r="F5" s="3660"/>
      <c r="G5" s="3665" t="s">
        <v>1673</v>
      </c>
      <c r="H5" s="3662"/>
      <c r="I5" s="3665" t="s">
        <v>1674</v>
      </c>
      <c r="J5" s="3662"/>
      <c r="K5" s="559"/>
      <c r="L5" s="2709"/>
      <c r="M5" s="2710"/>
      <c r="N5" s="2710"/>
      <c r="O5" s="2710"/>
      <c r="P5" s="3754"/>
      <c r="Q5" s="3676"/>
      <c r="R5" s="3657"/>
      <c r="S5" s="3658"/>
      <c r="T5" s="3657"/>
      <c r="U5" s="3658"/>
      <c r="V5" s="3652"/>
      <c r="W5" s="3652"/>
      <c r="X5" s="1355"/>
      <c r="Y5" s="3657"/>
      <c r="Z5" s="3658"/>
      <c r="AA5" s="3650"/>
      <c r="AB5" s="3650"/>
      <c r="AC5" s="3750"/>
    </row>
    <row r="6" spans="1:29" ht="15.75" thickBot="1">
      <c r="A6" s="360"/>
      <c r="B6" s="361"/>
      <c r="C6" s="3725" t="s">
        <v>1675</v>
      </c>
      <c r="D6" s="3664"/>
      <c r="E6" s="3726" t="s">
        <v>1675</v>
      </c>
      <c r="F6" s="3667"/>
      <c r="G6" s="3725" t="s">
        <v>1675</v>
      </c>
      <c r="H6" s="3664"/>
      <c r="I6" s="3725" t="s">
        <v>1675</v>
      </c>
      <c r="J6" s="3664"/>
      <c r="K6" s="559" t="s">
        <v>1676</v>
      </c>
      <c r="L6" s="2709"/>
      <c r="M6" s="2710"/>
      <c r="N6" s="2710"/>
      <c r="O6" s="2710"/>
      <c r="P6" s="3755"/>
      <c r="Q6" s="3678"/>
      <c r="R6" s="3657"/>
      <c r="S6" s="3658"/>
      <c r="T6" s="3679"/>
      <c r="U6" s="3680"/>
      <c r="V6" s="3652"/>
      <c r="W6" s="3652"/>
      <c r="X6" s="1355"/>
      <c r="Y6" s="3679"/>
      <c r="Z6" s="3680"/>
      <c r="AA6" s="3651"/>
      <c r="AB6" s="3651"/>
      <c r="AC6" s="3751"/>
    </row>
    <row r="7" spans="1:29" s="108" customFormat="1" ht="15.75" thickBot="1">
      <c r="A7" s="362" t="s">
        <v>1677</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57" t="s">
        <v>1678</v>
      </c>
      <c r="Q7" s="3681"/>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1959"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57" t="s">
        <v>1681</v>
      </c>
      <c r="Q8" s="3654"/>
      <c r="R8" s="701" t="s">
        <v>14</v>
      </c>
      <c r="S8" s="702">
        <f t="shared" si="0"/>
        <v>100</v>
      </c>
      <c r="T8" s="701" t="s">
        <v>14</v>
      </c>
      <c r="U8" s="702">
        <f t="shared" si="1"/>
        <v>100</v>
      </c>
      <c r="V8" s="701" t="s">
        <v>14</v>
      </c>
      <c r="W8" s="702">
        <f t="shared" si="2"/>
        <v>100</v>
      </c>
      <c r="X8" s="703"/>
      <c r="Y8" s="3653" t="s">
        <v>1681</v>
      </c>
      <c r="Z8" s="3654"/>
      <c r="AA8" s="704">
        <f t="shared" ref="AA8:AA47" si="3">D8/F8</f>
        <v>1</v>
      </c>
      <c r="AB8" s="704">
        <f t="shared" ref="AB8:AB47" si="4">D8/H8</f>
        <v>1</v>
      </c>
      <c r="AC8" s="1959">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8"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1959">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68"/>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8"/>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68"/>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68"/>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68"/>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9">
        <f t="shared" si="5"/>
        <v>1</v>
      </c>
    </row>
    <row r="15" spans="1:29" ht="15">
      <c r="A15" s="391" t="s">
        <v>1688</v>
      </c>
      <c r="B15" s="577" t="s">
        <v>1809</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82" t="s">
        <v>1689</v>
      </c>
      <c r="Q15" s="1352" t="str">
        <f t="shared" si="6"/>
        <v>办公集聚程度</v>
      </c>
      <c r="R15" s="705" t="s">
        <v>14</v>
      </c>
      <c r="S15" s="706">
        <f t="shared" si="0"/>
        <v>100</v>
      </c>
      <c r="T15" s="705" t="s">
        <v>14</v>
      </c>
      <c r="U15" s="706">
        <f t="shared" si="1"/>
        <v>100</v>
      </c>
      <c r="V15" s="705" t="s">
        <v>14</v>
      </c>
      <c r="W15" s="706">
        <f t="shared" si="2"/>
        <v>100</v>
      </c>
      <c r="X15" s="1355"/>
      <c r="Y15" s="3684"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83"/>
      <c r="Q16" s="1352"/>
      <c r="R16" s="705"/>
      <c r="S16" s="706"/>
      <c r="T16" s="705"/>
      <c r="U16" s="706"/>
      <c r="V16" s="705"/>
      <c r="W16" s="706"/>
      <c r="X16" s="1355"/>
      <c r="Y16" s="3685"/>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83"/>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83"/>
      <c r="Q18" s="1352"/>
      <c r="R18" s="705"/>
      <c r="S18" s="706"/>
      <c r="T18" s="705"/>
      <c r="U18" s="706"/>
      <c r="V18" s="705"/>
      <c r="W18" s="706"/>
      <c r="X18" s="1355"/>
      <c r="Y18" s="3685"/>
      <c r="Z18" s="1356"/>
      <c r="AA18" s="1353">
        <v>1</v>
      </c>
      <c r="AB18" s="1353">
        <v>1</v>
      </c>
      <c r="AC18" s="1962">
        <v>1</v>
      </c>
    </row>
    <row r="19" spans="1:29" ht="15">
      <c r="A19" s="379"/>
      <c r="B19" s="579" t="s">
        <v>1810</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83"/>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83"/>
      <c r="Q20" s="1352"/>
      <c r="R20" s="705"/>
      <c r="S20" s="706"/>
      <c r="T20" s="705"/>
      <c r="U20" s="706"/>
      <c r="V20" s="705"/>
      <c r="W20" s="706"/>
      <c r="X20" s="1355"/>
      <c r="Y20" s="3685"/>
      <c r="Z20" s="1356"/>
      <c r="AA20" s="1353">
        <v>1</v>
      </c>
      <c r="AB20" s="1353">
        <v>1</v>
      </c>
      <c r="AC20" s="1962">
        <v>1</v>
      </c>
    </row>
    <row r="21" spans="1:29" ht="15">
      <c r="A21" s="379"/>
      <c r="B21" s="581" t="s">
        <v>1811</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83"/>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83"/>
      <c r="Q22" s="1352"/>
      <c r="R22" s="705"/>
      <c r="S22" s="706"/>
      <c r="T22" s="705"/>
      <c r="U22" s="706"/>
      <c r="V22" s="705"/>
      <c r="W22" s="706"/>
      <c r="X22" s="1355"/>
      <c r="Y22" s="3685"/>
      <c r="Z22" s="1356"/>
      <c r="AA22" s="1353">
        <v>1</v>
      </c>
      <c r="AB22" s="1353">
        <v>1</v>
      </c>
      <c r="AC22" s="1962">
        <v>1</v>
      </c>
    </row>
    <row r="23" spans="1:29" ht="15">
      <c r="A23" s="379"/>
      <c r="B23" s="579" t="s">
        <v>1812</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83"/>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83"/>
      <c r="Q24" s="1352"/>
      <c r="R24" s="705"/>
      <c r="S24" s="706"/>
      <c r="T24" s="705"/>
      <c r="U24" s="706"/>
      <c r="V24" s="705"/>
      <c r="W24" s="706"/>
      <c r="X24" s="1355"/>
      <c r="Y24" s="3685"/>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83"/>
      <c r="Q25" s="1352" t="str">
        <f>B25</f>
        <v>毗邻道路的类型与等级</v>
      </c>
      <c r="R25" s="705" t="s">
        <v>14</v>
      </c>
      <c r="S25" s="706">
        <f>F25</f>
        <v>100</v>
      </c>
      <c r="T25" s="705" t="s">
        <v>14</v>
      </c>
      <c r="U25" s="706">
        <f>H25</f>
        <v>100</v>
      </c>
      <c r="V25" s="705" t="s">
        <v>14</v>
      </c>
      <c r="W25" s="706">
        <f>J25</f>
        <v>100</v>
      </c>
      <c r="X25" s="1355"/>
      <c r="Y25" s="368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83"/>
      <c r="Q26" s="1352"/>
      <c r="R26" s="705"/>
      <c r="S26" s="706"/>
      <c r="T26" s="705"/>
      <c r="U26" s="706"/>
      <c r="V26" s="705"/>
      <c r="W26" s="706"/>
      <c r="X26" s="1355"/>
      <c r="Y26" s="3685"/>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83"/>
      <c r="Q27" s="1352" t="str">
        <f t="shared" ref="Q27:Q47" si="11">B27</f>
        <v>楼层</v>
      </c>
      <c r="R27" s="705" t="s">
        <v>14</v>
      </c>
      <c r="S27" s="706">
        <f>F27</f>
        <v>100</v>
      </c>
      <c r="T27" s="705" t="s">
        <v>14</v>
      </c>
      <c r="U27" s="706">
        <f>H27</f>
        <v>100</v>
      </c>
      <c r="V27" s="705" t="s">
        <v>14</v>
      </c>
      <c r="W27" s="706">
        <f>J27</f>
        <v>100</v>
      </c>
      <c r="X27" s="1355"/>
      <c r="Y27" s="3685"/>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83"/>
      <c r="Q28" s="1343" t="str">
        <f t="shared" si="11"/>
        <v>朝向</v>
      </c>
      <c r="R28" s="701" t="s">
        <v>14</v>
      </c>
      <c r="S28" s="702">
        <f>F28</f>
        <v>100</v>
      </c>
      <c r="T28" s="701" t="s">
        <v>14</v>
      </c>
      <c r="U28" s="702">
        <f>H28</f>
        <v>100</v>
      </c>
      <c r="V28" s="701" t="s">
        <v>14</v>
      </c>
      <c r="W28" s="702">
        <f>J28</f>
        <v>100</v>
      </c>
      <c r="X28" s="703"/>
      <c r="Y28" s="368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8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83"/>
      <c r="Q30" s="1352">
        <f t="shared" si="11"/>
        <v>111</v>
      </c>
      <c r="R30" s="705" t="s">
        <v>14</v>
      </c>
      <c r="S30" s="706">
        <f t="shared" si="12"/>
        <v>100</v>
      </c>
      <c r="T30" s="705" t="s">
        <v>14</v>
      </c>
      <c r="U30" s="706">
        <f t="shared" si="13"/>
        <v>100</v>
      </c>
      <c r="V30" s="705" t="s">
        <v>14</v>
      </c>
      <c r="W30" s="706">
        <f t="shared" si="14"/>
        <v>100</v>
      </c>
      <c r="X30" s="1355"/>
      <c r="Y30" s="368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83"/>
      <c r="Q31" s="1352">
        <f t="shared" si="11"/>
        <v>111</v>
      </c>
      <c r="R31" s="705" t="s">
        <v>14</v>
      </c>
      <c r="S31" s="706">
        <f t="shared" si="12"/>
        <v>100</v>
      </c>
      <c r="T31" s="705" t="s">
        <v>14</v>
      </c>
      <c r="U31" s="706">
        <f t="shared" si="13"/>
        <v>100</v>
      </c>
      <c r="V31" s="705" t="s">
        <v>14</v>
      </c>
      <c r="W31" s="706">
        <f t="shared" si="14"/>
        <v>100</v>
      </c>
      <c r="X31" s="1355"/>
      <c r="Y31" s="368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83"/>
      <c r="Q32" s="1352">
        <f t="shared" si="11"/>
        <v>111</v>
      </c>
      <c r="R32" s="705" t="s">
        <v>14</v>
      </c>
      <c r="S32" s="706">
        <f t="shared" si="12"/>
        <v>100</v>
      </c>
      <c r="T32" s="705" t="s">
        <v>14</v>
      </c>
      <c r="U32" s="706">
        <f t="shared" si="13"/>
        <v>100</v>
      </c>
      <c r="V32" s="705" t="s">
        <v>14</v>
      </c>
      <c r="W32" s="706">
        <f t="shared" si="14"/>
        <v>100</v>
      </c>
      <c r="X32" s="1355"/>
      <c r="Y32" s="3685"/>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86" t="s">
        <v>1694</v>
      </c>
      <c r="Q33" s="1352" t="str">
        <f t="shared" si="11"/>
        <v>建筑类型</v>
      </c>
      <c r="R33" s="705" t="s">
        <v>14</v>
      </c>
      <c r="S33" s="706">
        <f t="shared" si="12"/>
        <v>100</v>
      </c>
      <c r="T33" s="705" t="s">
        <v>14</v>
      </c>
      <c r="U33" s="706">
        <f t="shared" si="13"/>
        <v>100</v>
      </c>
      <c r="V33" s="705" t="s">
        <v>14</v>
      </c>
      <c r="W33" s="706">
        <f t="shared" si="14"/>
        <v>100</v>
      </c>
      <c r="X33" s="1355"/>
      <c r="Y33" s="3689"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87"/>
      <c r="Q34" s="707" t="str">
        <f t="shared" si="11"/>
        <v>项目建筑规模</v>
      </c>
      <c r="R34" s="708" t="s">
        <v>14</v>
      </c>
      <c r="S34" s="709" t="e">
        <f t="shared" si="12"/>
        <v>#N/A</v>
      </c>
      <c r="T34" s="708" t="s">
        <v>14</v>
      </c>
      <c r="U34" s="709" t="e">
        <f t="shared" si="13"/>
        <v>#N/A</v>
      </c>
      <c r="V34" s="708" t="s">
        <v>14</v>
      </c>
      <c r="W34" s="709" t="e">
        <f t="shared" si="14"/>
        <v>#N/A</v>
      </c>
      <c r="X34" s="710"/>
      <c r="Y34" s="3689"/>
      <c r="Z34" s="711" t="str">
        <f t="shared" si="15"/>
        <v>项目建筑规模</v>
      </c>
      <c r="AA34" s="1353" t="e">
        <f t="shared" si="3"/>
        <v>#N/A</v>
      </c>
      <c r="AB34" s="1353" t="e">
        <f t="shared" si="4"/>
        <v>#N/A</v>
      </c>
      <c r="AC34" s="1962"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87"/>
      <c r="Q35" s="1352" t="str">
        <f t="shared" si="11"/>
        <v>建筑结构</v>
      </c>
      <c r="R35" s="705" t="s">
        <v>14</v>
      </c>
      <c r="S35" s="706">
        <f t="shared" si="12"/>
        <v>100</v>
      </c>
      <c r="T35" s="705" t="s">
        <v>14</v>
      </c>
      <c r="U35" s="706">
        <f t="shared" si="13"/>
        <v>100</v>
      </c>
      <c r="V35" s="705" t="s">
        <v>14</v>
      </c>
      <c r="W35" s="706">
        <f t="shared" si="14"/>
        <v>100</v>
      </c>
      <c r="X35" s="1355"/>
      <c r="Y35" s="3689"/>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87"/>
      <c r="Q36" s="1352" t="str">
        <f t="shared" si="11"/>
        <v>公共部分装修</v>
      </c>
      <c r="R36" s="705" t="s">
        <v>14</v>
      </c>
      <c r="S36" s="706">
        <f t="shared" si="12"/>
        <v>100</v>
      </c>
      <c r="T36" s="705" t="s">
        <v>14</v>
      </c>
      <c r="U36" s="706">
        <f t="shared" si="13"/>
        <v>100</v>
      </c>
      <c r="V36" s="705" t="s">
        <v>14</v>
      </c>
      <c r="W36" s="706">
        <f t="shared" si="14"/>
        <v>100</v>
      </c>
      <c r="X36" s="1355"/>
      <c r="Y36" s="3689"/>
      <c r="Z36" s="1356" t="str">
        <f t="shared" si="15"/>
        <v>公共部分装修</v>
      </c>
      <c r="AA36" s="1353">
        <f t="shared" si="3"/>
        <v>1</v>
      </c>
      <c r="AB36" s="1353">
        <f t="shared" si="4"/>
        <v>1</v>
      </c>
      <c r="AC36" s="1962">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87"/>
      <c r="Q37" s="1352" t="str">
        <f t="shared" si="11"/>
        <v>成新度</v>
      </c>
      <c r="R37" s="705" t="s">
        <v>14</v>
      </c>
      <c r="S37" s="706" t="e">
        <f t="shared" si="12"/>
        <v>#N/A</v>
      </c>
      <c r="T37" s="705" t="s">
        <v>14</v>
      </c>
      <c r="U37" s="706" t="e">
        <f t="shared" si="13"/>
        <v>#N/A</v>
      </c>
      <c r="V37" s="705" t="s">
        <v>14</v>
      </c>
      <c r="W37" s="706" t="e">
        <f t="shared" si="14"/>
        <v>#N/A</v>
      </c>
      <c r="X37" s="1355"/>
      <c r="Y37" s="3689"/>
      <c r="Z37" s="1356" t="str">
        <f t="shared" si="15"/>
        <v>成新度</v>
      </c>
      <c r="AA37" s="1353" t="e">
        <f t="shared" si="3"/>
        <v>#N/A</v>
      </c>
      <c r="AB37" s="1353" t="e">
        <f t="shared" si="4"/>
        <v>#N/A</v>
      </c>
      <c r="AC37" s="1962"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87"/>
      <c r="Q38" s="1343" t="str">
        <f t="shared" si="11"/>
        <v>写字楼等级</v>
      </c>
      <c r="R38" s="701" t="s">
        <v>14</v>
      </c>
      <c r="S38" s="702">
        <f t="shared" si="12"/>
        <v>100</v>
      </c>
      <c r="T38" s="701" t="s">
        <v>14</v>
      </c>
      <c r="U38" s="702">
        <f t="shared" si="13"/>
        <v>100</v>
      </c>
      <c r="V38" s="701" t="s">
        <v>14</v>
      </c>
      <c r="W38" s="702">
        <f t="shared" si="14"/>
        <v>100</v>
      </c>
      <c r="X38" s="703"/>
      <c r="Y38" s="3689"/>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87" t="s">
        <v>1694</v>
      </c>
      <c r="Q39" s="1352" t="str">
        <f t="shared" si="11"/>
        <v>物业管理</v>
      </c>
      <c r="R39" s="705" t="s">
        <v>14</v>
      </c>
      <c r="S39" s="706">
        <f t="shared" si="12"/>
        <v>100</v>
      </c>
      <c r="T39" s="705" t="s">
        <v>14</v>
      </c>
      <c r="U39" s="706">
        <f t="shared" si="13"/>
        <v>100</v>
      </c>
      <c r="V39" s="705" t="s">
        <v>14</v>
      </c>
      <c r="W39" s="706">
        <f t="shared" si="14"/>
        <v>100</v>
      </c>
      <c r="X39" s="1355"/>
      <c r="Y39" s="3689"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87"/>
      <c r="Q40" s="1352" t="str">
        <f t="shared" si="11"/>
        <v>市政基础设施</v>
      </c>
      <c r="R40" s="705" t="s">
        <v>14</v>
      </c>
      <c r="S40" s="706">
        <f t="shared" si="12"/>
        <v>100</v>
      </c>
      <c r="T40" s="705" t="s">
        <v>14</v>
      </c>
      <c r="U40" s="706">
        <f t="shared" si="13"/>
        <v>100</v>
      </c>
      <c r="V40" s="705" t="s">
        <v>14</v>
      </c>
      <c r="W40" s="706">
        <f t="shared" si="14"/>
        <v>100</v>
      </c>
      <c r="X40" s="1355"/>
      <c r="Y40" s="3689"/>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87"/>
      <c r="Q41" s="1352" t="str">
        <f t="shared" si="11"/>
        <v>层高</v>
      </c>
      <c r="R41" s="705" t="s">
        <v>14</v>
      </c>
      <c r="S41" s="706">
        <f t="shared" si="12"/>
        <v>100</v>
      </c>
      <c r="T41" s="705" t="s">
        <v>14</v>
      </c>
      <c r="U41" s="706">
        <f t="shared" si="13"/>
        <v>100</v>
      </c>
      <c r="V41" s="705" t="s">
        <v>14</v>
      </c>
      <c r="W41" s="706">
        <f t="shared" si="14"/>
        <v>100</v>
      </c>
      <c r="X41" s="1355"/>
      <c r="Y41" s="3689"/>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87"/>
      <c r="Q42" s="707" t="str">
        <f t="shared" si="11"/>
        <v>单套建筑面积</v>
      </c>
      <c r="R42" s="708" t="s">
        <v>14</v>
      </c>
      <c r="S42" s="709">
        <f t="shared" si="12"/>
        <v>100</v>
      </c>
      <c r="T42" s="708" t="s">
        <v>14</v>
      </c>
      <c r="U42" s="709">
        <f t="shared" si="13"/>
        <v>100</v>
      </c>
      <c r="V42" s="708" t="s">
        <v>14</v>
      </c>
      <c r="W42" s="709">
        <f t="shared" si="14"/>
        <v>100</v>
      </c>
      <c r="X42" s="710"/>
      <c r="Y42" s="3689"/>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87"/>
      <c r="Q43" s="1352" t="str">
        <f t="shared" si="11"/>
        <v>内部装修</v>
      </c>
      <c r="R43" s="705" t="s">
        <v>14</v>
      </c>
      <c r="S43" s="706">
        <f t="shared" si="12"/>
        <v>100</v>
      </c>
      <c r="T43" s="705" t="s">
        <v>14</v>
      </c>
      <c r="U43" s="706">
        <f t="shared" si="13"/>
        <v>100</v>
      </c>
      <c r="V43" s="705" t="s">
        <v>14</v>
      </c>
      <c r="W43" s="706">
        <f t="shared" si="14"/>
        <v>100</v>
      </c>
      <c r="X43" s="1355"/>
      <c r="Y43" s="3689"/>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87"/>
      <c r="Q44" s="1352" t="str">
        <f t="shared" si="11"/>
        <v>内部装修维护情况</v>
      </c>
      <c r="R44" s="705" t="s">
        <v>14</v>
      </c>
      <c r="S44" s="706">
        <f t="shared" si="12"/>
        <v>100</v>
      </c>
      <c r="T44" s="705" t="s">
        <v>14</v>
      </c>
      <c r="U44" s="706">
        <f t="shared" si="13"/>
        <v>100</v>
      </c>
      <c r="V44" s="705" t="s">
        <v>14</v>
      </c>
      <c r="W44" s="706">
        <f t="shared" si="14"/>
        <v>100</v>
      </c>
      <c r="X44" s="1355"/>
      <c r="Y44" s="368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87"/>
      <c r="Q45" s="1343">
        <f t="shared" si="11"/>
        <v>111</v>
      </c>
      <c r="R45" s="701" t="s">
        <v>14</v>
      </c>
      <c r="S45" s="702">
        <f t="shared" si="12"/>
        <v>100</v>
      </c>
      <c r="T45" s="701" t="s">
        <v>14</v>
      </c>
      <c r="U45" s="702">
        <f t="shared" si="13"/>
        <v>100</v>
      </c>
      <c r="V45" s="701" t="s">
        <v>14</v>
      </c>
      <c r="W45" s="702">
        <f t="shared" si="14"/>
        <v>100</v>
      </c>
      <c r="X45" s="703"/>
      <c r="Y45" s="368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87"/>
      <c r="Q46" s="1352">
        <f t="shared" si="11"/>
        <v>111</v>
      </c>
      <c r="R46" s="705" t="s">
        <v>14</v>
      </c>
      <c r="S46" s="706">
        <f t="shared" si="12"/>
        <v>100</v>
      </c>
      <c r="T46" s="705" t="s">
        <v>14</v>
      </c>
      <c r="U46" s="706">
        <f t="shared" si="13"/>
        <v>100</v>
      </c>
      <c r="V46" s="705" t="s">
        <v>14</v>
      </c>
      <c r="W46" s="706">
        <f t="shared" si="14"/>
        <v>100</v>
      </c>
      <c r="X46" s="1355"/>
      <c r="Y46" s="368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88"/>
      <c r="Q47" s="1352">
        <f t="shared" si="11"/>
        <v>111</v>
      </c>
      <c r="R47" s="705" t="s">
        <v>14</v>
      </c>
      <c r="S47" s="706">
        <f t="shared" si="12"/>
        <v>100</v>
      </c>
      <c r="T47" s="705" t="s">
        <v>14</v>
      </c>
      <c r="U47" s="706">
        <f t="shared" si="13"/>
        <v>100</v>
      </c>
      <c r="V47" s="705" t="s">
        <v>14</v>
      </c>
      <c r="W47" s="706">
        <f t="shared" si="14"/>
        <v>100</v>
      </c>
      <c r="X47" s="1355"/>
      <c r="Y47" s="3690"/>
      <c r="Z47" s="1356">
        <f t="shared" si="15"/>
        <v>111</v>
      </c>
      <c r="AA47" s="1353">
        <f t="shared" si="3"/>
        <v>1</v>
      </c>
      <c r="AB47" s="1353">
        <f t="shared" si="4"/>
        <v>1</v>
      </c>
      <c r="AC47" s="1962">
        <f t="shared" si="5"/>
        <v>1</v>
      </c>
    </row>
    <row r="48" spans="1:29" ht="15">
      <c r="A48" s="430" t="s">
        <v>1706</v>
      </c>
      <c r="B48" s="431"/>
      <c r="C48" s="1154" t="s">
        <v>0</v>
      </c>
      <c r="D48" s="1155"/>
      <c r="E48" s="1156"/>
      <c r="F48" s="1157"/>
      <c r="G48" s="1158"/>
      <c r="H48" s="1159"/>
      <c r="I48" s="1156"/>
      <c r="J48" s="436"/>
      <c r="K48" s="714"/>
      <c r="L48" s="2718"/>
      <c r="M48" s="2710"/>
      <c r="N48" s="2710"/>
      <c r="O48" s="2710"/>
      <c r="P48" s="3668"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68"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18"/>
      <c r="M50" s="2710"/>
      <c r="N50" s="2710"/>
      <c r="O50" s="2710"/>
      <c r="P50" s="3758" t="str">
        <f>A50</f>
        <v>估价对象XX用房的比较价值（楼面单价，元/平方米）</v>
      </c>
      <c r="Q50" s="3759"/>
      <c r="R50" s="3760" t="e">
        <f>IF(F1="售价",ROUND(IF(D49="简单平均",AVERAGE(R49:V49),R49*F49+T49*H49+V49*J49),0),ROUND(IF(D49="简单平均",AVERAGE(R49:V49),R49*F49+T49*H49+V49*J49),1))</f>
        <v>#DIV/0!</v>
      </c>
      <c r="S50" s="3760"/>
      <c r="T50" s="3760"/>
      <c r="U50" s="3760"/>
      <c r="V50" s="3760"/>
      <c r="W50" s="3760"/>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1796</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1677</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1714</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1679</v>
      </c>
      <c r="B62" s="459"/>
      <c r="C62" s="471" t="s">
        <v>1774</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1717</v>
      </c>
      <c r="B64" s="477" t="s">
        <v>1683</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1686</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1688</v>
      </c>
      <c r="B77" s="477" t="s">
        <v>1819</v>
      </c>
      <c r="C77" s="522" t="s">
        <v>1719</v>
      </c>
      <c r="D77" s="522" t="s">
        <v>1720</v>
      </c>
      <c r="E77" s="522" t="s">
        <v>1721</v>
      </c>
      <c r="F77" s="522" t="s">
        <v>1722</v>
      </c>
      <c r="G77" s="522" t="s">
        <v>1723</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1724</v>
      </c>
      <c r="C79" s="527" t="s">
        <v>1719</v>
      </c>
      <c r="D79" s="527" t="s">
        <v>1720</v>
      </c>
      <c r="E79" s="527" t="s">
        <v>1721</v>
      </c>
      <c r="F79" s="527" t="s">
        <v>1722</v>
      </c>
      <c r="G79" s="527" t="s">
        <v>1723</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1725</v>
      </c>
      <c r="C81" s="527" t="s">
        <v>1719</v>
      </c>
      <c r="D81" s="527" t="s">
        <v>1720</v>
      </c>
      <c r="E81" s="527" t="s">
        <v>1721</v>
      </c>
      <c r="F81" s="527" t="s">
        <v>1722</v>
      </c>
      <c r="G81" s="527" t="s">
        <v>1723</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1811</v>
      </c>
      <c r="C83" s="608" t="s">
        <v>1797</v>
      </c>
      <c r="D83" s="608" t="s">
        <v>1798</v>
      </c>
      <c r="E83" s="608" t="s">
        <v>1799</v>
      </c>
      <c r="F83" s="608" t="s">
        <v>1800</v>
      </c>
      <c r="G83" s="608" t="s">
        <v>1801</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1820</v>
      </c>
      <c r="C85" s="527" t="s">
        <v>1719</v>
      </c>
      <c r="D85" s="527" t="s">
        <v>1720</v>
      </c>
      <c r="E85" s="527" t="s">
        <v>1721</v>
      </c>
      <c r="F85" s="527" t="s">
        <v>1722</v>
      </c>
      <c r="G85" s="527" t="s">
        <v>1723</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1821</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1692</v>
      </c>
      <c r="B101" s="477" t="s">
        <v>1734</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1736</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1738</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1822</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1739</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1740</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1823</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1806</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1742</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估价对象为北京市陈庄子路3号院4号楼1层101房地产，为北京百肯商贸有限公司所有。根据《国有土地使用证》[]，估价对象（分摊）出让国有建设用地使用权面积为0平方米，建筑面积为898.61平方米。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101房地产,属北京百肯商贸有限公司开发建设的商业项目，该项目尚在开发建设中。根据《国有土地使用证》[]，估价对象（分摊）出让国有建设用地使用权面积为0平方米，规划建筑面积为898.61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898.61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913"/>
      <c r="M4" s="914"/>
      <c r="N4" s="914"/>
      <c r="O4" s="914"/>
      <c r="P4" s="3673" t="s">
        <v>1773</v>
      </c>
      <c r="Q4" s="3674"/>
      <c r="R4" s="3655" t="s">
        <v>1769</v>
      </c>
      <c r="S4" s="3656"/>
      <c r="T4" s="3655" t="s">
        <v>1770</v>
      </c>
      <c r="U4" s="3656"/>
      <c r="V4" s="3652" t="s">
        <v>1771</v>
      </c>
      <c r="W4" s="3652"/>
      <c r="X4" s="1355"/>
      <c r="Y4" s="3655" t="s">
        <v>1773</v>
      </c>
      <c r="Z4" s="3656"/>
      <c r="AA4" s="3649" t="s">
        <v>1769</v>
      </c>
      <c r="AB4" s="3650" t="s">
        <v>1770</v>
      </c>
      <c r="AC4" s="3649" t="s">
        <v>1771</v>
      </c>
    </row>
    <row r="5" spans="1:29" ht="15">
      <c r="A5" s="358"/>
      <c r="B5" s="359"/>
      <c r="C5" s="3665" t="s">
        <v>1671</v>
      </c>
      <c r="D5" s="3662"/>
      <c r="E5" s="3659" t="s">
        <v>1672</v>
      </c>
      <c r="F5" s="3660"/>
      <c r="G5" s="3665" t="s">
        <v>1673</v>
      </c>
      <c r="H5" s="3662"/>
      <c r="I5" s="3665" t="s">
        <v>1674</v>
      </c>
      <c r="J5" s="3662"/>
      <c r="K5" s="559"/>
      <c r="L5" s="913"/>
      <c r="M5" s="914"/>
      <c r="N5" s="914"/>
      <c r="O5" s="914"/>
      <c r="P5" s="3675"/>
      <c r="Q5" s="3676"/>
      <c r="R5" s="3657"/>
      <c r="S5" s="3658"/>
      <c r="T5" s="3657"/>
      <c r="U5" s="3658"/>
      <c r="V5" s="3652"/>
      <c r="W5" s="3652"/>
      <c r="X5" s="1355"/>
      <c r="Y5" s="3657"/>
      <c r="Z5" s="3658"/>
      <c r="AA5" s="3650"/>
      <c r="AB5" s="3650"/>
      <c r="AC5" s="3650"/>
    </row>
    <row r="6" spans="1:29" ht="15.75" thickBot="1">
      <c r="A6" s="360"/>
      <c r="B6" s="361"/>
      <c r="C6" s="3725" t="s">
        <v>1675</v>
      </c>
      <c r="D6" s="3664"/>
      <c r="E6" s="3726" t="s">
        <v>1675</v>
      </c>
      <c r="F6" s="3667"/>
      <c r="G6" s="3725" t="s">
        <v>1675</v>
      </c>
      <c r="H6" s="3664"/>
      <c r="I6" s="3725" t="s">
        <v>1675</v>
      </c>
      <c r="J6" s="3664"/>
      <c r="K6" s="559" t="s">
        <v>1676</v>
      </c>
      <c r="L6" s="913"/>
      <c r="M6" s="914"/>
      <c r="N6" s="914"/>
      <c r="O6" s="914"/>
      <c r="P6" s="3677"/>
      <c r="Q6" s="3678"/>
      <c r="R6" s="3657"/>
      <c r="S6" s="3658"/>
      <c r="T6" s="3679"/>
      <c r="U6" s="3680"/>
      <c r="V6" s="3652"/>
      <c r="W6" s="3652"/>
      <c r="X6" s="1355"/>
      <c r="Y6" s="3679"/>
      <c r="Z6" s="3680"/>
      <c r="AA6" s="3651"/>
      <c r="AB6" s="3651"/>
      <c r="AC6" s="3651"/>
    </row>
    <row r="7" spans="1:29" s="108" customFormat="1" ht="15.75" thickBot="1">
      <c r="A7" s="362" t="s">
        <v>1677</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1678</v>
      </c>
      <c r="Q7" s="3681"/>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1681</v>
      </c>
      <c r="Q8" s="3654"/>
      <c r="R8" s="701" t="s">
        <v>14</v>
      </c>
      <c r="S8" s="702">
        <f t="shared" si="0"/>
        <v>100</v>
      </c>
      <c r="T8" s="701" t="s">
        <v>14</v>
      </c>
      <c r="U8" s="702">
        <f t="shared" si="1"/>
        <v>100</v>
      </c>
      <c r="V8" s="701" t="s">
        <v>14</v>
      </c>
      <c r="W8" s="702">
        <f t="shared" si="2"/>
        <v>100</v>
      </c>
      <c r="X8" s="703"/>
      <c r="Y8" s="3653" t="s">
        <v>1681</v>
      </c>
      <c r="Z8" s="365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1688</v>
      </c>
      <c r="B15" s="61" t="s">
        <v>1825</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4" t="s">
        <v>1689</v>
      </c>
      <c r="Q15" s="1352" t="str">
        <f t="shared" si="6"/>
        <v>产业集聚程度</v>
      </c>
      <c r="R15" s="705" t="s">
        <v>14</v>
      </c>
      <c r="S15" s="706">
        <f t="shared" si="0"/>
        <v>100</v>
      </c>
      <c r="T15" s="705" t="s">
        <v>14</v>
      </c>
      <c r="U15" s="706">
        <f t="shared" si="1"/>
        <v>100</v>
      </c>
      <c r="V15" s="705" t="s">
        <v>14</v>
      </c>
      <c r="W15" s="706">
        <f t="shared" si="2"/>
        <v>100</v>
      </c>
      <c r="X15" s="1355"/>
      <c r="Y15" s="3684"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5"/>
      <c r="Q16" s="1352"/>
      <c r="R16" s="705"/>
      <c r="S16" s="706"/>
      <c r="T16" s="705"/>
      <c r="U16" s="706"/>
      <c r="V16" s="705"/>
      <c r="W16" s="706"/>
      <c r="X16" s="1355"/>
      <c r="Y16" s="368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5"/>
      <c r="Q18" s="1352"/>
      <c r="R18" s="705"/>
      <c r="S18" s="706"/>
      <c r="T18" s="705"/>
      <c r="U18" s="706"/>
      <c r="V18" s="705"/>
      <c r="W18" s="706"/>
      <c r="X18" s="1355"/>
      <c r="Y18" s="3685"/>
      <c r="Z18" s="1356"/>
      <c r="AA18" s="1353">
        <v>1</v>
      </c>
      <c r="AB18" s="1353">
        <v>1</v>
      </c>
      <c r="AC18" s="1353">
        <v>1</v>
      </c>
    </row>
    <row r="19" spans="1:29" ht="42.75">
      <c r="A19" s="379"/>
      <c r="B19" s="402" t="s">
        <v>1810</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5"/>
      <c r="Q19" s="1352" t="str">
        <f>B19</f>
        <v>公共配套设施</v>
      </c>
      <c r="R19" s="705" t="s">
        <v>14</v>
      </c>
      <c r="S19" s="706">
        <f>F19</f>
        <v>100</v>
      </c>
      <c r="T19" s="705" t="s">
        <v>14</v>
      </c>
      <c r="U19" s="706">
        <f>H19</f>
        <v>100</v>
      </c>
      <c r="V19" s="705" t="s">
        <v>14</v>
      </c>
      <c r="W19" s="706">
        <f>J19</f>
        <v>100</v>
      </c>
      <c r="X19" s="1355"/>
      <c r="Y19" s="368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5"/>
      <c r="Q20" s="1352"/>
      <c r="R20" s="705"/>
      <c r="S20" s="706"/>
      <c r="T20" s="705"/>
      <c r="U20" s="706"/>
      <c r="V20" s="705"/>
      <c r="W20" s="706"/>
      <c r="X20" s="1355"/>
      <c r="Y20" s="3685"/>
      <c r="Z20" s="1356"/>
      <c r="AA20" s="1353">
        <v>1</v>
      </c>
      <c r="AB20" s="1353">
        <v>1</v>
      </c>
      <c r="AC20" s="1353">
        <v>1</v>
      </c>
    </row>
    <row r="21" spans="1:29" ht="28.5">
      <c r="A21" s="379"/>
      <c r="B21" s="1131" t="s">
        <v>1811</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5"/>
      <c r="Q21" s="1352" t="str">
        <f>B21</f>
        <v>基础设施水平</v>
      </c>
      <c r="R21" s="705" t="s">
        <v>14</v>
      </c>
      <c r="S21" s="706">
        <f>F21</f>
        <v>100</v>
      </c>
      <c r="T21" s="705" t="s">
        <v>14</v>
      </c>
      <c r="U21" s="706">
        <f>H21</f>
        <v>100</v>
      </c>
      <c r="V21" s="705" t="s">
        <v>14</v>
      </c>
      <c r="W21" s="706">
        <f>J21</f>
        <v>100</v>
      </c>
      <c r="X21" s="1355"/>
      <c r="Y21" s="368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5"/>
      <c r="Q22" s="1352"/>
      <c r="R22" s="705"/>
      <c r="S22" s="706"/>
      <c r="T22" s="705"/>
      <c r="U22" s="706"/>
      <c r="V22" s="705"/>
      <c r="W22" s="706"/>
      <c r="X22" s="1355"/>
      <c r="Y22" s="3685"/>
      <c r="Z22" s="1356"/>
      <c r="AA22" s="1353">
        <v>1</v>
      </c>
      <c r="AB22" s="1353">
        <v>1</v>
      </c>
      <c r="AC22" s="1353">
        <v>1</v>
      </c>
    </row>
    <row r="23" spans="1:29" ht="71.25">
      <c r="A23" s="379"/>
      <c r="B23" s="402" t="s">
        <v>1812</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5"/>
      <c r="Q23" s="1352" t="str">
        <f>B23</f>
        <v>环境质量</v>
      </c>
      <c r="R23" s="705" t="s">
        <v>14</v>
      </c>
      <c r="S23" s="706">
        <f>F23</f>
        <v>100</v>
      </c>
      <c r="T23" s="705" t="s">
        <v>14</v>
      </c>
      <c r="U23" s="706">
        <f>H23</f>
        <v>100</v>
      </c>
      <c r="V23" s="705" t="s">
        <v>14</v>
      </c>
      <c r="W23" s="706">
        <f>J23</f>
        <v>100</v>
      </c>
      <c r="X23" s="1355"/>
      <c r="Y23" s="368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5"/>
      <c r="Q24" s="1352"/>
      <c r="R24" s="705"/>
      <c r="S24" s="706"/>
      <c r="T24" s="705"/>
      <c r="U24" s="706"/>
      <c r="V24" s="705"/>
      <c r="W24" s="706"/>
      <c r="X24" s="1355"/>
      <c r="Y24" s="368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5"/>
      <c r="Q25" s="1352">
        <f>B25</f>
        <v>111</v>
      </c>
      <c r="R25" s="705" t="s">
        <v>14</v>
      </c>
      <c r="S25" s="706">
        <f>F25</f>
        <v>100</v>
      </c>
      <c r="T25" s="705" t="s">
        <v>14</v>
      </c>
      <c r="U25" s="706">
        <f>H25</f>
        <v>100</v>
      </c>
      <c r="V25" s="705" t="s">
        <v>14</v>
      </c>
      <c r="W25" s="706">
        <f>J25</f>
        <v>100</v>
      </c>
      <c r="X25" s="1355"/>
      <c r="Y25" s="368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5"/>
      <c r="Q26" s="1352">
        <f t="shared" ref="Q26:Q40" si="11">B26</f>
        <v>111</v>
      </c>
      <c r="R26" s="705" t="s">
        <v>14</v>
      </c>
      <c r="S26" s="706">
        <f>F26</f>
        <v>100</v>
      </c>
      <c r="T26" s="705" t="s">
        <v>14</v>
      </c>
      <c r="U26" s="706">
        <f>H26</f>
        <v>100</v>
      </c>
      <c r="V26" s="705" t="s">
        <v>14</v>
      </c>
      <c r="W26" s="706">
        <f>J26</f>
        <v>100</v>
      </c>
      <c r="X26" s="1355"/>
      <c r="Y26" s="368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5"/>
      <c r="Q27" s="1343">
        <f t="shared" si="11"/>
        <v>111</v>
      </c>
      <c r="R27" s="701" t="s">
        <v>14</v>
      </c>
      <c r="S27" s="702">
        <f>F27</f>
        <v>100</v>
      </c>
      <c r="T27" s="701" t="s">
        <v>14</v>
      </c>
      <c r="U27" s="702">
        <f>H27</f>
        <v>100</v>
      </c>
      <c r="V27" s="701" t="s">
        <v>14</v>
      </c>
      <c r="W27" s="702">
        <f>J27</f>
        <v>100</v>
      </c>
      <c r="X27" s="703"/>
      <c r="Y27" s="368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5"/>
      <c r="Q28" s="1352">
        <f t="shared" si="11"/>
        <v>111</v>
      </c>
      <c r="R28" s="705" t="s">
        <v>14</v>
      </c>
      <c r="S28" s="706">
        <f t="shared" ref="S28:S40" si="12">F28</f>
        <v>100</v>
      </c>
      <c r="T28" s="705" t="s">
        <v>14</v>
      </c>
      <c r="U28" s="706">
        <f t="shared" ref="U28:U40" si="13">H28</f>
        <v>100</v>
      </c>
      <c r="V28" s="705" t="s">
        <v>14</v>
      </c>
      <c r="W28" s="706">
        <f t="shared" ref="W28:W40" si="14">J28</f>
        <v>100</v>
      </c>
      <c r="X28" s="1355"/>
      <c r="Y28" s="3685"/>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1694</v>
      </c>
      <c r="Q29" s="1352" t="str">
        <f t="shared" si="11"/>
        <v>建筑类型</v>
      </c>
      <c r="R29" s="705" t="s">
        <v>14</v>
      </c>
      <c r="S29" s="706">
        <f t="shared" si="12"/>
        <v>100</v>
      </c>
      <c r="T29" s="705" t="s">
        <v>14</v>
      </c>
      <c r="U29" s="706">
        <f t="shared" si="13"/>
        <v>100</v>
      </c>
      <c r="V29" s="705" t="s">
        <v>14</v>
      </c>
      <c r="W29" s="706">
        <f t="shared" si="14"/>
        <v>100</v>
      </c>
      <c r="X29" s="1355"/>
      <c r="Y29" s="3689"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9"/>
      <c r="Q30" s="707" t="str">
        <f t="shared" si="11"/>
        <v>项目建筑规模</v>
      </c>
      <c r="R30" s="708" t="s">
        <v>14</v>
      </c>
      <c r="S30" s="709" t="e">
        <f t="shared" si="12"/>
        <v>#N/A</v>
      </c>
      <c r="T30" s="708" t="s">
        <v>14</v>
      </c>
      <c r="U30" s="709" t="e">
        <f t="shared" si="13"/>
        <v>#N/A</v>
      </c>
      <c r="V30" s="708" t="s">
        <v>14</v>
      </c>
      <c r="W30" s="709" t="e">
        <f t="shared" si="14"/>
        <v>#N/A</v>
      </c>
      <c r="X30" s="710"/>
      <c r="Y30" s="3689"/>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9"/>
      <c r="Q31" s="1352" t="str">
        <f t="shared" si="11"/>
        <v>建筑结构</v>
      </c>
      <c r="R31" s="705" t="s">
        <v>14</v>
      </c>
      <c r="S31" s="706">
        <f t="shared" si="12"/>
        <v>100</v>
      </c>
      <c r="T31" s="705" t="s">
        <v>14</v>
      </c>
      <c r="U31" s="706">
        <f t="shared" si="13"/>
        <v>100</v>
      </c>
      <c r="V31" s="705" t="s">
        <v>14</v>
      </c>
      <c r="W31" s="706">
        <f t="shared" si="14"/>
        <v>100</v>
      </c>
      <c r="X31" s="1355"/>
      <c r="Y31" s="3689"/>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9"/>
      <c r="Q32" s="1352" t="str">
        <f t="shared" si="11"/>
        <v>公共部分装修</v>
      </c>
      <c r="R32" s="705" t="s">
        <v>14</v>
      </c>
      <c r="S32" s="706">
        <f t="shared" si="12"/>
        <v>100</v>
      </c>
      <c r="T32" s="705" t="s">
        <v>14</v>
      </c>
      <c r="U32" s="706">
        <f t="shared" si="13"/>
        <v>100</v>
      </c>
      <c r="V32" s="705" t="s">
        <v>14</v>
      </c>
      <c r="W32" s="706">
        <f t="shared" si="14"/>
        <v>100</v>
      </c>
      <c r="X32" s="1355"/>
      <c r="Y32" s="3689"/>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9"/>
      <c r="Q33" s="1352" t="str">
        <f t="shared" si="11"/>
        <v>成新度</v>
      </c>
      <c r="R33" s="705" t="s">
        <v>14</v>
      </c>
      <c r="S33" s="706" t="e">
        <f t="shared" si="12"/>
        <v>#N/A</v>
      </c>
      <c r="T33" s="705" t="s">
        <v>14</v>
      </c>
      <c r="U33" s="706" t="e">
        <f t="shared" si="13"/>
        <v>#N/A</v>
      </c>
      <c r="V33" s="705" t="s">
        <v>14</v>
      </c>
      <c r="W33" s="706" t="e">
        <f t="shared" si="14"/>
        <v>#N/A</v>
      </c>
      <c r="X33" s="1355"/>
      <c r="Y33" s="3689"/>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9"/>
      <c r="Q34" s="1343" t="str">
        <f t="shared" si="11"/>
        <v>物业管理</v>
      </c>
      <c r="R34" s="701" t="s">
        <v>14</v>
      </c>
      <c r="S34" s="702">
        <f t="shared" si="12"/>
        <v>100</v>
      </c>
      <c r="T34" s="701" t="s">
        <v>14</v>
      </c>
      <c r="U34" s="702">
        <f t="shared" si="13"/>
        <v>100</v>
      </c>
      <c r="V34" s="701" t="s">
        <v>14</v>
      </c>
      <c r="W34" s="702">
        <f t="shared" si="14"/>
        <v>100</v>
      </c>
      <c r="X34" s="703"/>
      <c r="Y34" s="3689"/>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9" t="s">
        <v>1694</v>
      </c>
      <c r="Q35" s="1352" t="str">
        <f t="shared" si="11"/>
        <v>市政基础设施</v>
      </c>
      <c r="R35" s="705" t="s">
        <v>14</v>
      </c>
      <c r="S35" s="706">
        <f t="shared" si="12"/>
        <v>100</v>
      </c>
      <c r="T35" s="705" t="s">
        <v>14</v>
      </c>
      <c r="U35" s="706">
        <f t="shared" si="13"/>
        <v>100</v>
      </c>
      <c r="V35" s="705" t="s">
        <v>14</v>
      </c>
      <c r="W35" s="706">
        <f t="shared" si="14"/>
        <v>100</v>
      </c>
      <c r="X35" s="1355"/>
      <c r="Y35" s="3689"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9"/>
      <c r="Q36" s="1352" t="str">
        <f t="shared" si="11"/>
        <v>内部装修</v>
      </c>
      <c r="R36" s="705" t="s">
        <v>14</v>
      </c>
      <c r="S36" s="706">
        <f t="shared" si="12"/>
        <v>100</v>
      </c>
      <c r="T36" s="705" t="s">
        <v>14</v>
      </c>
      <c r="U36" s="706">
        <f t="shared" si="13"/>
        <v>100</v>
      </c>
      <c r="V36" s="705" t="s">
        <v>14</v>
      </c>
      <c r="W36" s="706">
        <f t="shared" si="14"/>
        <v>100</v>
      </c>
      <c r="X36" s="1355"/>
      <c r="Y36" s="3689"/>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9"/>
      <c r="Q37" s="1352" t="str">
        <f t="shared" si="11"/>
        <v>内部装修状况</v>
      </c>
      <c r="R37" s="705" t="s">
        <v>14</v>
      </c>
      <c r="S37" s="706">
        <f t="shared" si="12"/>
        <v>100</v>
      </c>
      <c r="T37" s="705" t="s">
        <v>14</v>
      </c>
      <c r="U37" s="706">
        <f t="shared" si="13"/>
        <v>100</v>
      </c>
      <c r="V37" s="705" t="s">
        <v>14</v>
      </c>
      <c r="W37" s="706">
        <f t="shared" si="14"/>
        <v>100</v>
      </c>
      <c r="X37" s="1355"/>
      <c r="Y37" s="368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9"/>
      <c r="Q38" s="707">
        <f t="shared" si="11"/>
        <v>111</v>
      </c>
      <c r="R38" s="708" t="s">
        <v>14</v>
      </c>
      <c r="S38" s="709">
        <f t="shared" si="12"/>
        <v>100</v>
      </c>
      <c r="T38" s="708" t="s">
        <v>14</v>
      </c>
      <c r="U38" s="709">
        <f t="shared" si="13"/>
        <v>100</v>
      </c>
      <c r="V38" s="708" t="s">
        <v>14</v>
      </c>
      <c r="W38" s="709">
        <f t="shared" si="14"/>
        <v>100</v>
      </c>
      <c r="X38" s="710"/>
      <c r="Y38" s="368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9"/>
      <c r="Q39" s="1352">
        <f t="shared" si="11"/>
        <v>111</v>
      </c>
      <c r="R39" s="705" t="s">
        <v>14</v>
      </c>
      <c r="S39" s="706">
        <f t="shared" si="12"/>
        <v>100</v>
      </c>
      <c r="T39" s="705" t="s">
        <v>14</v>
      </c>
      <c r="U39" s="706">
        <f t="shared" si="13"/>
        <v>100</v>
      </c>
      <c r="V39" s="705" t="s">
        <v>14</v>
      </c>
      <c r="W39" s="706">
        <f t="shared" si="14"/>
        <v>100</v>
      </c>
      <c r="X39" s="1355"/>
      <c r="Y39" s="368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0"/>
      <c r="Q40" s="1352">
        <f t="shared" si="11"/>
        <v>111</v>
      </c>
      <c r="R40" s="705" t="s">
        <v>14</v>
      </c>
      <c r="S40" s="706">
        <f t="shared" si="12"/>
        <v>100</v>
      </c>
      <c r="T40" s="705" t="s">
        <v>14</v>
      </c>
      <c r="U40" s="706">
        <f t="shared" si="13"/>
        <v>100</v>
      </c>
      <c r="V40" s="705" t="s">
        <v>14</v>
      </c>
      <c r="W40" s="706">
        <f t="shared" si="14"/>
        <v>100</v>
      </c>
      <c r="X40" s="1355"/>
      <c r="Y40" s="3690"/>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4"/>
      <c r="O54" s="2765"/>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3332</v>
      </c>
      <c r="C1" s="1224" t="s">
        <v>1660</v>
      </c>
      <c r="D1" s="1225"/>
      <c r="E1" s="3428"/>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2709"/>
      <c r="M4" s="2710"/>
      <c r="N4" s="2710"/>
      <c r="O4" s="2710"/>
      <c r="P4" s="3673" t="s">
        <v>1773</v>
      </c>
      <c r="Q4" s="3674"/>
      <c r="R4" s="3655" t="s">
        <v>1769</v>
      </c>
      <c r="S4" s="3656"/>
      <c r="T4" s="3655" t="s">
        <v>1770</v>
      </c>
      <c r="U4" s="3656"/>
      <c r="V4" s="3652" t="s">
        <v>1771</v>
      </c>
      <c r="W4" s="3652"/>
      <c r="X4" s="1355"/>
      <c r="Y4" s="3655" t="s">
        <v>1773</v>
      </c>
      <c r="Z4" s="3656"/>
      <c r="AA4" s="3649" t="s">
        <v>1769</v>
      </c>
      <c r="AB4" s="3650" t="s">
        <v>1770</v>
      </c>
      <c r="AC4" s="3649" t="s">
        <v>1771</v>
      </c>
    </row>
    <row r="5" spans="1:29" ht="15">
      <c r="A5" s="358"/>
      <c r="B5" s="359"/>
      <c r="C5" s="3665" t="s">
        <v>1671</v>
      </c>
      <c r="D5" s="3662"/>
      <c r="E5" s="3659" t="s">
        <v>1672</v>
      </c>
      <c r="F5" s="3660"/>
      <c r="G5" s="3665" t="s">
        <v>1673</v>
      </c>
      <c r="H5" s="3662"/>
      <c r="I5" s="3665" t="s">
        <v>1674</v>
      </c>
      <c r="J5" s="3662"/>
      <c r="K5" s="559"/>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25" t="s">
        <v>1675</v>
      </c>
      <c r="D6" s="3664"/>
      <c r="E6" s="3726" t="s">
        <v>1675</v>
      </c>
      <c r="F6" s="3667"/>
      <c r="G6" s="3725" t="s">
        <v>1675</v>
      </c>
      <c r="H6" s="3664"/>
      <c r="I6" s="3725" t="s">
        <v>1675</v>
      </c>
      <c r="J6" s="3664"/>
      <c r="K6" s="559" t="s">
        <v>1676</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1677</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3" t="s">
        <v>1678</v>
      </c>
      <c r="Q7" s="3681"/>
      <c r="R7" s="701" t="s">
        <v>14</v>
      </c>
      <c r="S7" s="702">
        <f t="shared" ref="S7:S14" si="0">F7</f>
        <v>0</v>
      </c>
      <c r="T7" s="701" t="s">
        <v>14</v>
      </c>
      <c r="U7" s="702">
        <f t="shared" ref="U7:U14" si="1">H7</f>
        <v>0</v>
      </c>
      <c r="V7" s="701" t="s">
        <v>14</v>
      </c>
      <c r="W7" s="702">
        <f t="shared" ref="W7:W14"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3" t="s">
        <v>1681</v>
      </c>
      <c r="Q8" s="3654"/>
      <c r="R8" s="701" t="s">
        <v>14</v>
      </c>
      <c r="S8" s="702">
        <f t="shared" si="0"/>
        <v>100</v>
      </c>
      <c r="T8" s="701" t="s">
        <v>14</v>
      </c>
      <c r="U8" s="702">
        <f t="shared" si="1"/>
        <v>100</v>
      </c>
      <c r="V8" s="701" t="s">
        <v>14</v>
      </c>
      <c r="W8" s="702">
        <f t="shared" si="2"/>
        <v>100</v>
      </c>
      <c r="X8" s="703"/>
      <c r="Y8" s="3653" t="s">
        <v>1681</v>
      </c>
      <c r="Z8" s="365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91" t="s">
        <v>1684</v>
      </c>
      <c r="Q9" s="1343" t="str">
        <f t="shared" ref="Q9:Q14" si="6">B9</f>
        <v>用途</v>
      </c>
      <c r="R9" s="701" t="s">
        <v>14</v>
      </c>
      <c r="S9" s="702">
        <f t="shared" si="0"/>
        <v>100</v>
      </c>
      <c r="T9" s="701" t="s">
        <v>14</v>
      </c>
      <c r="U9" s="702">
        <f t="shared" si="1"/>
        <v>100</v>
      </c>
      <c r="V9" s="701" t="s">
        <v>14</v>
      </c>
      <c r="W9" s="702">
        <f t="shared" si="2"/>
        <v>100</v>
      </c>
      <c r="X9" s="703"/>
      <c r="Y9" s="3625" t="s">
        <v>1685</v>
      </c>
      <c r="Z9" s="52" t="str">
        <f t="shared" ref="Z9:Z14" si="7">Q9</f>
        <v>用途</v>
      </c>
      <c r="AA9" s="704">
        <f t="shared" si="3"/>
        <v>1</v>
      </c>
      <c r="AB9" s="704">
        <f t="shared" si="4"/>
        <v>1</v>
      </c>
      <c r="AC9" s="704">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9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91"/>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55" t="s">
        <v>1688</v>
      </c>
      <c r="B14" s="577" t="s">
        <v>1831</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84" t="s">
        <v>1689</v>
      </c>
      <c r="Q14" s="1352" t="str">
        <f t="shared" si="6"/>
        <v>交通便捷度</v>
      </c>
      <c r="R14" s="705" t="s">
        <v>14</v>
      </c>
      <c r="S14" s="706">
        <f t="shared" si="0"/>
        <v>100</v>
      </c>
      <c r="T14" s="705" t="s">
        <v>14</v>
      </c>
      <c r="U14" s="706">
        <f t="shared" si="1"/>
        <v>100</v>
      </c>
      <c r="V14" s="705" t="s">
        <v>14</v>
      </c>
      <c r="W14" s="706">
        <f t="shared" si="2"/>
        <v>100</v>
      </c>
      <c r="X14" s="1355"/>
      <c r="Y14" s="3684"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85"/>
      <c r="Q15" s="1352"/>
      <c r="R15" s="705"/>
      <c r="S15" s="706"/>
      <c r="T15" s="705"/>
      <c r="U15" s="706"/>
      <c r="V15" s="705"/>
      <c r="W15" s="706"/>
      <c r="X15" s="1355"/>
      <c r="Y15" s="3685"/>
      <c r="Z15" s="1356"/>
      <c r="AA15" s="1353">
        <v>1</v>
      </c>
      <c r="AB15" s="1353">
        <v>1</v>
      </c>
      <c r="AC15" s="1353">
        <v>1</v>
      </c>
    </row>
    <row r="16" spans="1:29" ht="15">
      <c r="A16" s="358"/>
      <c r="B16" s="579" t="s">
        <v>1810</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85"/>
      <c r="Q17" s="1352"/>
      <c r="R17" s="705"/>
      <c r="S17" s="706"/>
      <c r="T17" s="705"/>
      <c r="U17" s="706"/>
      <c r="V17" s="705"/>
      <c r="W17" s="706"/>
      <c r="X17" s="1355"/>
      <c r="Y17" s="3685"/>
      <c r="Z17" s="1356"/>
      <c r="AA17" s="1353">
        <v>1</v>
      </c>
      <c r="AB17" s="1353">
        <v>1</v>
      </c>
      <c r="AC17" s="1353">
        <v>1</v>
      </c>
    </row>
    <row r="18" spans="1:29" ht="15">
      <c r="A18" s="358"/>
      <c r="B18" s="581" t="s">
        <v>1811</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85"/>
      <c r="Q19" s="1352"/>
      <c r="R19" s="705"/>
      <c r="S19" s="706"/>
      <c r="T19" s="705"/>
      <c r="U19" s="706"/>
      <c r="V19" s="705"/>
      <c r="W19" s="706"/>
      <c r="X19" s="1355"/>
      <c r="Y19" s="3685"/>
      <c r="Z19" s="1356"/>
      <c r="AA19" s="1353">
        <v>1</v>
      </c>
      <c r="AB19" s="1353">
        <v>1</v>
      </c>
      <c r="AC19" s="1353">
        <v>1</v>
      </c>
    </row>
    <row r="20" spans="1:29" ht="15">
      <c r="A20" s="358"/>
      <c r="B20" s="579" t="s">
        <v>1832</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85"/>
      <c r="Q21" s="1352"/>
      <c r="R21" s="705"/>
      <c r="S21" s="706"/>
      <c r="T21" s="705"/>
      <c r="U21" s="706"/>
      <c r="V21" s="705"/>
      <c r="W21" s="706"/>
      <c r="X21" s="1355"/>
      <c r="Y21" s="3685"/>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85"/>
      <c r="Q24" s="1352">
        <f t="shared" ref="Q24:Q36"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61"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9"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89"/>
      <c r="Q27" s="707" t="str">
        <f t="shared" si="11"/>
        <v>项目停车位配比</v>
      </c>
      <c r="R27" s="708" t="s">
        <v>14</v>
      </c>
      <c r="S27" s="709">
        <f t="shared" si="12"/>
        <v>100</v>
      </c>
      <c r="T27" s="708" t="s">
        <v>14</v>
      </c>
      <c r="U27" s="709">
        <f t="shared" si="13"/>
        <v>100</v>
      </c>
      <c r="V27" s="708" t="s">
        <v>14</v>
      </c>
      <c r="W27" s="709">
        <f t="shared" si="14"/>
        <v>100</v>
      </c>
      <c r="X27" s="710"/>
      <c r="Y27" s="3689"/>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89"/>
      <c r="Q28" s="1352" t="str">
        <f t="shared" si="11"/>
        <v>公共部分装修</v>
      </c>
      <c r="R28" s="705" t="s">
        <v>14</v>
      </c>
      <c r="S28" s="706">
        <f t="shared" si="12"/>
        <v>100</v>
      </c>
      <c r="T28" s="705" t="s">
        <v>14</v>
      </c>
      <c r="U28" s="706">
        <f t="shared" si="13"/>
        <v>100</v>
      </c>
      <c r="V28" s="705" t="s">
        <v>14</v>
      </c>
      <c r="W28" s="706">
        <f t="shared" si="14"/>
        <v>100</v>
      </c>
      <c r="X28" s="1355"/>
      <c r="Y28" s="3689"/>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89"/>
      <c r="Q29" s="1352" t="str">
        <f t="shared" si="11"/>
        <v>成新率</v>
      </c>
      <c r="R29" s="705" t="s">
        <v>14</v>
      </c>
      <c r="S29" s="706" t="e">
        <f t="shared" si="12"/>
        <v>#N/A</v>
      </c>
      <c r="T29" s="705" t="s">
        <v>14</v>
      </c>
      <c r="U29" s="706" t="e">
        <f t="shared" si="13"/>
        <v>#N/A</v>
      </c>
      <c r="V29" s="705" t="s">
        <v>14</v>
      </c>
      <c r="W29" s="706" t="e">
        <f t="shared" si="14"/>
        <v>#N/A</v>
      </c>
      <c r="X29" s="1355"/>
      <c r="Y29" s="3689"/>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89"/>
      <c r="Q30" s="1352" t="str">
        <f t="shared" si="11"/>
        <v>物业等级</v>
      </c>
      <c r="R30" s="705" t="s">
        <v>14</v>
      </c>
      <c r="S30" s="706">
        <f t="shared" si="12"/>
        <v>100</v>
      </c>
      <c r="T30" s="705" t="s">
        <v>14</v>
      </c>
      <c r="U30" s="706">
        <f t="shared" si="13"/>
        <v>100</v>
      </c>
      <c r="V30" s="705" t="s">
        <v>14</v>
      </c>
      <c r="W30" s="706">
        <f t="shared" si="14"/>
        <v>100</v>
      </c>
      <c r="X30" s="1355"/>
      <c r="Y30" s="3689"/>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89"/>
      <c r="Q31" s="1343" t="str">
        <f t="shared" si="11"/>
        <v>停车位面积</v>
      </c>
      <c r="R31" s="701" t="s">
        <v>14</v>
      </c>
      <c r="S31" s="702" t="e">
        <f t="shared" si="12"/>
        <v>#N/A</v>
      </c>
      <c r="T31" s="701" t="s">
        <v>14</v>
      </c>
      <c r="U31" s="702" t="e">
        <f t="shared" si="13"/>
        <v>#N/A</v>
      </c>
      <c r="V31" s="701" t="s">
        <v>14</v>
      </c>
      <c r="W31" s="702" t="e">
        <f t="shared" si="14"/>
        <v>#N/A</v>
      </c>
      <c r="X31" s="703"/>
      <c r="Y31" s="3689"/>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89" t="s">
        <v>1694</v>
      </c>
      <c r="Q32" s="1352" t="str">
        <f t="shared" si="11"/>
        <v>车位类型</v>
      </c>
      <c r="R32" s="705" t="s">
        <v>14</v>
      </c>
      <c r="S32" s="706">
        <f t="shared" si="12"/>
        <v>100</v>
      </c>
      <c r="T32" s="705" t="s">
        <v>14</v>
      </c>
      <c r="U32" s="706">
        <f t="shared" si="13"/>
        <v>100</v>
      </c>
      <c r="V32" s="705" t="s">
        <v>14</v>
      </c>
      <c r="W32" s="706">
        <f t="shared" si="14"/>
        <v>100</v>
      </c>
      <c r="X32" s="1355"/>
      <c r="Y32" s="3689"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89"/>
      <c r="Q33" s="1352" t="str">
        <f t="shared" si="11"/>
        <v>是否直接入户</v>
      </c>
      <c r="R33" s="705" t="s">
        <v>14</v>
      </c>
      <c r="S33" s="706">
        <f t="shared" si="12"/>
        <v>100</v>
      </c>
      <c r="T33" s="705" t="s">
        <v>14</v>
      </c>
      <c r="U33" s="706">
        <f t="shared" si="13"/>
        <v>100</v>
      </c>
      <c r="V33" s="705" t="s">
        <v>14</v>
      </c>
      <c r="W33" s="706">
        <f t="shared" si="14"/>
        <v>100</v>
      </c>
      <c r="X33" s="1355"/>
      <c r="Y33" s="368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89"/>
      <c r="Q35" s="707">
        <f t="shared" si="11"/>
        <v>111</v>
      </c>
      <c r="R35" s="708" t="s">
        <v>14</v>
      </c>
      <c r="S35" s="709">
        <f t="shared" si="12"/>
        <v>100</v>
      </c>
      <c r="T35" s="708" t="s">
        <v>14</v>
      </c>
      <c r="U35" s="709">
        <f t="shared" si="13"/>
        <v>100</v>
      </c>
      <c r="V35" s="708" t="s">
        <v>14</v>
      </c>
      <c r="W35" s="709">
        <f t="shared" si="14"/>
        <v>100</v>
      </c>
      <c r="X35" s="710"/>
      <c r="Y35" s="368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89"/>
      <c r="Q36" s="1352">
        <f t="shared" si="11"/>
        <v>111</v>
      </c>
      <c r="R36" s="705" t="s">
        <v>14</v>
      </c>
      <c r="S36" s="706">
        <f t="shared" si="12"/>
        <v>100</v>
      </c>
      <c r="T36" s="705" t="s">
        <v>14</v>
      </c>
      <c r="U36" s="706">
        <f t="shared" si="13"/>
        <v>100</v>
      </c>
      <c r="V36" s="705" t="s">
        <v>14</v>
      </c>
      <c r="W36" s="706">
        <f t="shared" si="14"/>
        <v>100</v>
      </c>
      <c r="X36" s="1355"/>
      <c r="Y36" s="3689"/>
      <c r="Z36" s="1356">
        <f t="shared" si="15"/>
        <v>111</v>
      </c>
      <c r="AA36" s="1353">
        <f t="shared" si="3"/>
        <v>1</v>
      </c>
      <c r="AB36" s="1353">
        <f t="shared" si="4"/>
        <v>1</v>
      </c>
      <c r="AC36" s="1353">
        <f t="shared" si="5"/>
        <v>1</v>
      </c>
    </row>
    <row r="37" spans="1:29" ht="15">
      <c r="A37" s="430" t="s">
        <v>1842</v>
      </c>
      <c r="B37" s="1973" t="s">
        <v>3352</v>
      </c>
      <c r="C37" s="1154" t="s">
        <v>0</v>
      </c>
      <c r="D37" s="1155"/>
      <c r="E37" s="1156"/>
      <c r="F37" s="1157"/>
      <c r="G37" s="1158"/>
      <c r="H37" s="1159"/>
      <c r="I37" s="1156"/>
      <c r="J37" s="1159"/>
      <c r="K37" s="568"/>
      <c r="L37" s="2718"/>
      <c r="M37" s="2719"/>
      <c r="N37" s="2710"/>
      <c r="O37" s="2719"/>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18"/>
      <c r="M39" s="2719"/>
      <c r="N39" s="2719"/>
      <c r="O39" s="2719"/>
      <c r="P39" s="3693" t="str">
        <f>A39</f>
        <v>估价对象XX用房的比较价值（楼面单价，元/平方米）</v>
      </c>
      <c r="Q39" s="3694"/>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1848</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1849</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1714</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1679</v>
      </c>
      <c r="B51" s="459"/>
      <c r="C51" s="471" t="s">
        <v>1774</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1717</v>
      </c>
      <c r="B53" s="477" t="s">
        <v>1683</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1686</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1725</v>
      </c>
      <c r="C65" s="527" t="s">
        <v>1719</v>
      </c>
      <c r="D65" s="527" t="s">
        <v>1720</v>
      </c>
      <c r="E65" s="527" t="s">
        <v>1721</v>
      </c>
      <c r="F65" s="527" t="s">
        <v>1722</v>
      </c>
      <c r="G65" s="527" t="s">
        <v>1723</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1811</v>
      </c>
      <c r="C67" s="608" t="s">
        <v>1797</v>
      </c>
      <c r="D67" s="608" t="s">
        <v>1798</v>
      </c>
      <c r="E67" s="608" t="s">
        <v>1799</v>
      </c>
      <c r="F67" s="608" t="s">
        <v>1800</v>
      </c>
      <c r="G67" s="608" t="s">
        <v>1801</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1731</v>
      </c>
      <c r="C69" s="527" t="s">
        <v>1719</v>
      </c>
      <c r="D69" s="527" t="s">
        <v>1720</v>
      </c>
      <c r="E69" s="527" t="s">
        <v>1721</v>
      </c>
      <c r="F69" s="527" t="s">
        <v>1722</v>
      </c>
      <c r="G69" s="527" t="s">
        <v>1723</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1850</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1692</v>
      </c>
      <c r="B79" s="477" t="s">
        <v>1851</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1852</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1738</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1854</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1856</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1857</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3333</v>
      </c>
      <c r="C1" s="1224" t="s">
        <v>1660</v>
      </c>
      <c r="D1" s="1225"/>
      <c r="E1" s="3428"/>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2709"/>
      <c r="M4" s="2710"/>
      <c r="N4" s="2710"/>
      <c r="O4" s="2710"/>
      <c r="P4" s="3673" t="s">
        <v>1773</v>
      </c>
      <c r="Q4" s="3674"/>
      <c r="R4" s="3655" t="s">
        <v>1769</v>
      </c>
      <c r="S4" s="3656"/>
      <c r="T4" s="3655" t="s">
        <v>1770</v>
      </c>
      <c r="U4" s="3656"/>
      <c r="V4" s="3652" t="s">
        <v>1771</v>
      </c>
      <c r="W4" s="3652"/>
      <c r="X4" s="1355"/>
      <c r="Y4" s="3655" t="s">
        <v>1773</v>
      </c>
      <c r="Z4" s="3656"/>
      <c r="AA4" s="3649" t="s">
        <v>1769</v>
      </c>
      <c r="AB4" s="3650" t="s">
        <v>1770</v>
      </c>
      <c r="AC4" s="3649" t="s">
        <v>1771</v>
      </c>
    </row>
    <row r="5" spans="1:29" ht="15">
      <c r="A5" s="358"/>
      <c r="B5" s="359"/>
      <c r="C5" s="3665" t="s">
        <v>1671</v>
      </c>
      <c r="D5" s="3662"/>
      <c r="E5" s="3659" t="s">
        <v>1672</v>
      </c>
      <c r="F5" s="3660"/>
      <c r="G5" s="3665" t="s">
        <v>1673</v>
      </c>
      <c r="H5" s="3662"/>
      <c r="I5" s="3665" t="s">
        <v>1674</v>
      </c>
      <c r="J5" s="3662"/>
      <c r="K5" s="559"/>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25" t="s">
        <v>1675</v>
      </c>
      <c r="D6" s="3664"/>
      <c r="E6" s="3726" t="s">
        <v>1675</v>
      </c>
      <c r="F6" s="3667"/>
      <c r="G6" s="3725" t="s">
        <v>1675</v>
      </c>
      <c r="H6" s="3664"/>
      <c r="I6" s="3725" t="s">
        <v>1675</v>
      </c>
      <c r="J6" s="3664"/>
      <c r="K6" s="559" t="s">
        <v>1676</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1677</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53" t="s">
        <v>1678</v>
      </c>
      <c r="Q7" s="3681"/>
      <c r="R7" s="701" t="s">
        <v>14</v>
      </c>
      <c r="S7" s="702">
        <f t="shared" ref="S7:S14" si="0">F7</f>
        <v>0</v>
      </c>
      <c r="T7" s="701" t="s">
        <v>14</v>
      </c>
      <c r="U7" s="702">
        <f t="shared" ref="U7:U14" si="1">H7</f>
        <v>0</v>
      </c>
      <c r="V7" s="701" t="s">
        <v>14</v>
      </c>
      <c r="W7" s="702">
        <f t="shared" ref="W7:W14" si="2">J7</f>
        <v>0</v>
      </c>
      <c r="X7" s="703"/>
      <c r="Y7" s="3653" t="s">
        <v>1678</v>
      </c>
      <c r="Z7" s="365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3" t="s">
        <v>1681</v>
      </c>
      <c r="Q8" s="3654"/>
      <c r="R8" s="701" t="s">
        <v>14</v>
      </c>
      <c r="S8" s="702">
        <f t="shared" si="0"/>
        <v>100</v>
      </c>
      <c r="T8" s="701" t="s">
        <v>14</v>
      </c>
      <c r="U8" s="702">
        <f t="shared" si="1"/>
        <v>100</v>
      </c>
      <c r="V8" s="701" t="s">
        <v>14</v>
      </c>
      <c r="W8" s="702">
        <f t="shared" si="2"/>
        <v>100</v>
      </c>
      <c r="X8" s="703"/>
      <c r="Y8" s="3653" t="s">
        <v>1681</v>
      </c>
      <c r="Z8" s="365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91" t="s">
        <v>1684</v>
      </c>
      <c r="Q9" s="1343" t="str">
        <f t="shared" ref="Q9:Q14" si="6">B9</f>
        <v>用途</v>
      </c>
      <c r="R9" s="701" t="s">
        <v>14</v>
      </c>
      <c r="S9" s="702">
        <f t="shared" si="0"/>
        <v>100</v>
      </c>
      <c r="T9" s="701" t="s">
        <v>14</v>
      </c>
      <c r="U9" s="702">
        <f t="shared" si="1"/>
        <v>100</v>
      </c>
      <c r="V9" s="701" t="s">
        <v>14</v>
      </c>
      <c r="W9" s="702">
        <f t="shared" si="2"/>
        <v>100</v>
      </c>
      <c r="X9" s="703"/>
      <c r="Y9" s="3625" t="s">
        <v>1685</v>
      </c>
      <c r="Z9" s="52" t="str">
        <f t="shared" ref="Z9:Z14" si="7">Q9</f>
        <v>用途</v>
      </c>
      <c r="AA9" s="704">
        <f t="shared" si="3"/>
        <v>1</v>
      </c>
      <c r="AB9" s="704">
        <f t="shared" si="4"/>
        <v>1</v>
      </c>
      <c r="AC9" s="704">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91"/>
      <c r="Q10" s="1343"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91"/>
      <c r="Q11" s="1343">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
      <c r="A14" s="391" t="s">
        <v>1688</v>
      </c>
      <c r="B14" s="61" t="s">
        <v>1831</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84" t="s">
        <v>1689</v>
      </c>
      <c r="Q14" s="1352" t="str">
        <f t="shared" si="6"/>
        <v>交通便捷度</v>
      </c>
      <c r="R14" s="705" t="s">
        <v>14</v>
      </c>
      <c r="S14" s="706">
        <f t="shared" si="0"/>
        <v>100</v>
      </c>
      <c r="T14" s="705" t="s">
        <v>14</v>
      </c>
      <c r="U14" s="706">
        <f t="shared" si="1"/>
        <v>100</v>
      </c>
      <c r="V14" s="705" t="s">
        <v>14</v>
      </c>
      <c r="W14" s="706">
        <f t="shared" si="2"/>
        <v>100</v>
      </c>
      <c r="X14" s="1355"/>
      <c r="Y14" s="3684"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85"/>
      <c r="Q15" s="1352"/>
      <c r="R15" s="705"/>
      <c r="S15" s="706"/>
      <c r="T15" s="705"/>
      <c r="U15" s="706"/>
      <c r="V15" s="705"/>
      <c r="W15" s="706"/>
      <c r="X15" s="1355"/>
      <c r="Y15" s="3685"/>
      <c r="Z15" s="1356"/>
      <c r="AA15" s="1353">
        <v>1</v>
      </c>
      <c r="AB15" s="1353">
        <v>1</v>
      </c>
      <c r="AC15" s="1353">
        <v>1</v>
      </c>
    </row>
    <row r="16" spans="1:29" ht="15">
      <c r="A16" s="379"/>
      <c r="B16" s="402" t="s">
        <v>1810</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85"/>
      <c r="Q16" s="1352" t="str">
        <f>B16</f>
        <v>公共配套设施</v>
      </c>
      <c r="R16" s="705" t="s">
        <v>14</v>
      </c>
      <c r="S16" s="706">
        <f>F16</f>
        <v>100</v>
      </c>
      <c r="T16" s="705" t="s">
        <v>14</v>
      </c>
      <c r="U16" s="706">
        <f>H16</f>
        <v>100</v>
      </c>
      <c r="V16" s="705" t="s">
        <v>14</v>
      </c>
      <c r="W16" s="706">
        <f>J16</f>
        <v>100</v>
      </c>
      <c r="X16" s="1355"/>
      <c r="Y16" s="368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85"/>
      <c r="Q17" s="1352"/>
      <c r="R17" s="705"/>
      <c r="S17" s="706"/>
      <c r="T17" s="705"/>
      <c r="U17" s="706"/>
      <c r="V17" s="705"/>
      <c r="W17" s="706"/>
      <c r="X17" s="1355"/>
      <c r="Y17" s="3685"/>
      <c r="Z17" s="1356"/>
      <c r="AA17" s="1353">
        <v>1</v>
      </c>
      <c r="AB17" s="1353">
        <v>1</v>
      </c>
      <c r="AC17" s="1353">
        <v>1</v>
      </c>
    </row>
    <row r="18" spans="1:29" ht="15">
      <c r="A18" s="379"/>
      <c r="B18" s="1131" t="s">
        <v>1811</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85"/>
      <c r="Q18" s="1352" t="str">
        <f>B18</f>
        <v>基础设施水平</v>
      </c>
      <c r="R18" s="705" t="s">
        <v>14</v>
      </c>
      <c r="S18" s="706">
        <f>F18</f>
        <v>100</v>
      </c>
      <c r="T18" s="705" t="s">
        <v>14</v>
      </c>
      <c r="U18" s="706">
        <f>H18</f>
        <v>100</v>
      </c>
      <c r="V18" s="705" t="s">
        <v>14</v>
      </c>
      <c r="W18" s="706">
        <f>J18</f>
        <v>100</v>
      </c>
      <c r="X18" s="1355"/>
      <c r="Y18" s="368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85"/>
      <c r="Q19" s="1352"/>
      <c r="R19" s="705"/>
      <c r="S19" s="706"/>
      <c r="T19" s="705"/>
      <c r="U19" s="706"/>
      <c r="V19" s="705"/>
      <c r="W19" s="706"/>
      <c r="X19" s="1355"/>
      <c r="Y19" s="3685"/>
      <c r="Z19" s="1356"/>
      <c r="AA19" s="1353">
        <v>1</v>
      </c>
      <c r="AB19" s="1353">
        <v>1</v>
      </c>
      <c r="AC19" s="1353">
        <v>1</v>
      </c>
    </row>
    <row r="20" spans="1:29" ht="15">
      <c r="A20" s="379"/>
      <c r="B20" s="402" t="s">
        <v>1832</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85"/>
      <c r="Q20" s="1352" t="str">
        <f>B20</f>
        <v>自然及人文环境</v>
      </c>
      <c r="R20" s="705" t="s">
        <v>14</v>
      </c>
      <c r="S20" s="706">
        <f>F20</f>
        <v>100</v>
      </c>
      <c r="T20" s="705" t="s">
        <v>14</v>
      </c>
      <c r="U20" s="706">
        <f>H20</f>
        <v>100</v>
      </c>
      <c r="V20" s="705" t="s">
        <v>14</v>
      </c>
      <c r="W20" s="706">
        <f>J20</f>
        <v>100</v>
      </c>
      <c r="X20" s="1355"/>
      <c r="Y20" s="368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85"/>
      <c r="Q21" s="1352"/>
      <c r="R21" s="705"/>
      <c r="S21" s="706"/>
      <c r="T21" s="705"/>
      <c r="U21" s="706"/>
      <c r="V21" s="705"/>
      <c r="W21" s="706"/>
      <c r="X21" s="1355"/>
      <c r="Y21" s="3685"/>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85"/>
      <c r="Q22" s="1352" t="str">
        <f>B22</f>
        <v>楼层</v>
      </c>
      <c r="R22" s="705" t="s">
        <v>14</v>
      </c>
      <c r="S22" s="706">
        <f>F22</f>
        <v>100</v>
      </c>
      <c r="T22" s="705" t="s">
        <v>14</v>
      </c>
      <c r="U22" s="706">
        <f>H22</f>
        <v>100</v>
      </c>
      <c r="V22" s="705" t="s">
        <v>14</v>
      </c>
      <c r="W22" s="706">
        <f>J22</f>
        <v>100</v>
      </c>
      <c r="X22" s="1355"/>
      <c r="Y22" s="368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85"/>
      <c r="Q23" s="1352">
        <f>B23</f>
        <v>111</v>
      </c>
      <c r="R23" s="705" t="s">
        <v>14</v>
      </c>
      <c r="S23" s="706">
        <f>F23</f>
        <v>100</v>
      </c>
      <c r="T23" s="705" t="s">
        <v>14</v>
      </c>
      <c r="U23" s="706">
        <f>H23</f>
        <v>100</v>
      </c>
      <c r="V23" s="705" t="s">
        <v>14</v>
      </c>
      <c r="W23" s="706">
        <f>J23</f>
        <v>100</v>
      </c>
      <c r="X23" s="1355"/>
      <c r="Y23" s="368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85"/>
      <c r="Q24" s="1352">
        <f t="shared" ref="Q24:Q34" si="11">B24</f>
        <v>111</v>
      </c>
      <c r="R24" s="705" t="s">
        <v>14</v>
      </c>
      <c r="S24" s="706">
        <f>F24</f>
        <v>100</v>
      </c>
      <c r="T24" s="705" t="s">
        <v>14</v>
      </c>
      <c r="U24" s="706">
        <f>H24</f>
        <v>100</v>
      </c>
      <c r="V24" s="705" t="s">
        <v>14</v>
      </c>
      <c r="W24" s="706">
        <f>J24</f>
        <v>100</v>
      </c>
      <c r="X24" s="1355"/>
      <c r="Y24" s="368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85"/>
      <c r="Q25" s="1343">
        <f t="shared" si="11"/>
        <v>111</v>
      </c>
      <c r="R25" s="701" t="s">
        <v>14</v>
      </c>
      <c r="S25" s="702">
        <f>F25</f>
        <v>100</v>
      </c>
      <c r="T25" s="701" t="s">
        <v>14</v>
      </c>
      <c r="U25" s="702">
        <f>H25</f>
        <v>100</v>
      </c>
      <c r="V25" s="701" t="s">
        <v>14</v>
      </c>
      <c r="W25" s="702">
        <f>J25</f>
        <v>100</v>
      </c>
      <c r="X25" s="703"/>
      <c r="Y25" s="3685"/>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61"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9"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89"/>
      <c r="Q27" s="707" t="str">
        <f t="shared" si="11"/>
        <v>成新率</v>
      </c>
      <c r="R27" s="708" t="s">
        <v>14</v>
      </c>
      <c r="S27" s="709" t="e">
        <f t="shared" si="12"/>
        <v>#N/A</v>
      </c>
      <c r="T27" s="708" t="s">
        <v>14</v>
      </c>
      <c r="U27" s="709" t="e">
        <f t="shared" si="13"/>
        <v>#N/A</v>
      </c>
      <c r="V27" s="708" t="s">
        <v>14</v>
      </c>
      <c r="W27" s="709" t="e">
        <f t="shared" si="14"/>
        <v>#N/A</v>
      </c>
      <c r="X27" s="710"/>
      <c r="Y27" s="3689"/>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89"/>
      <c r="Q28" s="1352" t="str">
        <f t="shared" si="11"/>
        <v>物业等级</v>
      </c>
      <c r="R28" s="705" t="s">
        <v>14</v>
      </c>
      <c r="S28" s="706">
        <f t="shared" si="12"/>
        <v>100</v>
      </c>
      <c r="T28" s="705" t="s">
        <v>14</v>
      </c>
      <c r="U28" s="706">
        <f t="shared" si="13"/>
        <v>100</v>
      </c>
      <c r="V28" s="705" t="s">
        <v>14</v>
      </c>
      <c r="W28" s="706">
        <f t="shared" si="14"/>
        <v>100</v>
      </c>
      <c r="X28" s="1355"/>
      <c r="Y28" s="3689"/>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89"/>
      <c r="Q29" s="1352" t="str">
        <f t="shared" si="11"/>
        <v>有无电梯</v>
      </c>
      <c r="R29" s="705" t="s">
        <v>14</v>
      </c>
      <c r="S29" s="706">
        <f t="shared" si="12"/>
        <v>100</v>
      </c>
      <c r="T29" s="705" t="s">
        <v>14</v>
      </c>
      <c r="U29" s="706">
        <f t="shared" si="13"/>
        <v>100</v>
      </c>
      <c r="V29" s="705" t="s">
        <v>14</v>
      </c>
      <c r="W29" s="706">
        <f t="shared" si="14"/>
        <v>100</v>
      </c>
      <c r="X29" s="1355"/>
      <c r="Y29" s="3689"/>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89"/>
      <c r="Q30" s="1352" t="str">
        <f t="shared" si="11"/>
        <v>建筑面积</v>
      </c>
      <c r="R30" s="705" t="s">
        <v>14</v>
      </c>
      <c r="S30" s="706" t="e">
        <f t="shared" si="12"/>
        <v>#N/A</v>
      </c>
      <c r="T30" s="705" t="s">
        <v>14</v>
      </c>
      <c r="U30" s="706" t="e">
        <f t="shared" si="13"/>
        <v>#N/A</v>
      </c>
      <c r="V30" s="705" t="s">
        <v>14</v>
      </c>
      <c r="W30" s="706" t="e">
        <f t="shared" si="14"/>
        <v>#N/A</v>
      </c>
      <c r="X30" s="1355"/>
      <c r="Y30" s="3689"/>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89"/>
      <c r="Q31" s="1343" t="str">
        <f t="shared" si="11"/>
        <v>是否封闭</v>
      </c>
      <c r="R31" s="701" t="s">
        <v>14</v>
      </c>
      <c r="S31" s="702">
        <f t="shared" si="12"/>
        <v>100</v>
      </c>
      <c r="T31" s="701" t="s">
        <v>14</v>
      </c>
      <c r="U31" s="702">
        <f t="shared" si="13"/>
        <v>100</v>
      </c>
      <c r="V31" s="701" t="s">
        <v>14</v>
      </c>
      <c r="W31" s="702">
        <f t="shared" si="14"/>
        <v>100</v>
      </c>
      <c r="X31" s="703"/>
      <c r="Y31" s="368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89" t="s">
        <v>1694</v>
      </c>
      <c r="Q32" s="1352">
        <f t="shared" si="11"/>
        <v>111</v>
      </c>
      <c r="R32" s="705" t="s">
        <v>14</v>
      </c>
      <c r="S32" s="706">
        <f t="shared" si="12"/>
        <v>100</v>
      </c>
      <c r="T32" s="705" t="s">
        <v>14</v>
      </c>
      <c r="U32" s="706">
        <f t="shared" si="13"/>
        <v>100</v>
      </c>
      <c r="V32" s="705" t="s">
        <v>14</v>
      </c>
      <c r="W32" s="706">
        <f t="shared" si="14"/>
        <v>100</v>
      </c>
      <c r="X32" s="1355"/>
      <c r="Y32" s="3689"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89"/>
      <c r="Q33" s="1352">
        <f t="shared" si="11"/>
        <v>111</v>
      </c>
      <c r="R33" s="705" t="s">
        <v>14</v>
      </c>
      <c r="S33" s="706">
        <f t="shared" si="12"/>
        <v>100</v>
      </c>
      <c r="T33" s="705" t="s">
        <v>14</v>
      </c>
      <c r="U33" s="706">
        <f t="shared" si="13"/>
        <v>100</v>
      </c>
      <c r="V33" s="705" t="s">
        <v>14</v>
      </c>
      <c r="W33" s="706">
        <f t="shared" si="14"/>
        <v>100</v>
      </c>
      <c r="X33" s="1355"/>
      <c r="Y33" s="368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89"/>
      <c r="Q34" s="1352">
        <f t="shared" si="11"/>
        <v>111</v>
      </c>
      <c r="R34" s="705" t="s">
        <v>14</v>
      </c>
      <c r="S34" s="706">
        <f t="shared" si="12"/>
        <v>100</v>
      </c>
      <c r="T34" s="705" t="s">
        <v>14</v>
      </c>
      <c r="U34" s="706">
        <f t="shared" si="13"/>
        <v>100</v>
      </c>
      <c r="V34" s="705" t="s">
        <v>14</v>
      </c>
      <c r="W34" s="706">
        <f t="shared" si="14"/>
        <v>100</v>
      </c>
      <c r="X34" s="1355"/>
      <c r="Y34" s="3689"/>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18"/>
      <c r="M35" s="2719"/>
      <c r="N35" s="2710"/>
      <c r="O35" s="2719"/>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18"/>
      <c r="M37" s="2719"/>
      <c r="N37" s="2719"/>
      <c r="O37" s="2719"/>
      <c r="P37" s="3693" t="str">
        <f>A37</f>
        <v>估价对象XX用房的比较价值（楼面单价，元/平方米）</v>
      </c>
      <c r="Q37" s="3694"/>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1796</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1677</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1714</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1679</v>
      </c>
      <c r="B49" s="459"/>
      <c r="C49" s="471" t="s">
        <v>1774</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1717</v>
      </c>
      <c r="B51" s="477" t="s">
        <v>1683</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1686</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1861</v>
      </c>
      <c r="C63" s="527" t="s">
        <v>1719</v>
      </c>
      <c r="D63" s="527" t="s">
        <v>1720</v>
      </c>
      <c r="E63" s="527" t="s">
        <v>1721</v>
      </c>
      <c r="F63" s="527" t="s">
        <v>1722</v>
      </c>
      <c r="G63" s="527" t="s">
        <v>1723</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1811</v>
      </c>
      <c r="C65" s="608" t="s">
        <v>1797</v>
      </c>
      <c r="D65" s="608" t="s">
        <v>1798</v>
      </c>
      <c r="E65" s="608" t="s">
        <v>1799</v>
      </c>
      <c r="F65" s="608" t="s">
        <v>1800</v>
      </c>
      <c r="G65" s="608" t="s">
        <v>1801</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1731</v>
      </c>
      <c r="C67" s="527" t="s">
        <v>1719</v>
      </c>
      <c r="D67" s="527" t="s">
        <v>1720</v>
      </c>
      <c r="E67" s="527" t="s">
        <v>1721</v>
      </c>
      <c r="F67" s="527" t="s">
        <v>1722</v>
      </c>
      <c r="G67" s="527" t="s">
        <v>1723</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1850</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1692</v>
      </c>
      <c r="B77" s="477" t="s">
        <v>1738</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1854</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1862</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1864</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1767</v>
      </c>
      <c r="B4" s="356"/>
      <c r="C4" s="3669" t="s">
        <v>1768</v>
      </c>
      <c r="D4" s="3670"/>
      <c r="E4" s="3671" t="s">
        <v>1769</v>
      </c>
      <c r="F4" s="3672"/>
      <c r="G4" s="3669" t="s">
        <v>1770</v>
      </c>
      <c r="H4" s="3670"/>
      <c r="I4" s="3669" t="s">
        <v>1771</v>
      </c>
      <c r="J4" s="3670"/>
      <c r="K4" s="559" t="s">
        <v>1772</v>
      </c>
      <c r="L4" s="2709"/>
      <c r="M4" s="2710"/>
      <c r="N4" s="2710"/>
      <c r="O4" s="2710"/>
      <c r="P4" s="3673" t="s">
        <v>1773</v>
      </c>
      <c r="Q4" s="3674"/>
      <c r="R4" s="3655" t="s">
        <v>1769</v>
      </c>
      <c r="S4" s="3656"/>
      <c r="T4" s="3655" t="s">
        <v>1770</v>
      </c>
      <c r="U4" s="3656"/>
      <c r="V4" s="3652" t="s">
        <v>1771</v>
      </c>
      <c r="W4" s="3652"/>
      <c r="X4" s="1355"/>
      <c r="Y4" s="3655" t="s">
        <v>1773</v>
      </c>
      <c r="Z4" s="3656"/>
      <c r="AA4" s="3649" t="s">
        <v>1769</v>
      </c>
      <c r="AB4" s="3650" t="s">
        <v>1770</v>
      </c>
      <c r="AC4" s="3649" t="s">
        <v>1771</v>
      </c>
    </row>
    <row r="5" spans="1:30" ht="15">
      <c r="A5" s="358"/>
      <c r="B5" s="359"/>
      <c r="C5" s="3665" t="s">
        <v>1671</v>
      </c>
      <c r="D5" s="3662"/>
      <c r="E5" s="3659" t="s">
        <v>1672</v>
      </c>
      <c r="F5" s="3660"/>
      <c r="G5" s="3665" t="s">
        <v>1673</v>
      </c>
      <c r="H5" s="3662"/>
      <c r="I5" s="3665" t="s">
        <v>1674</v>
      </c>
      <c r="J5" s="3662"/>
      <c r="K5" s="559"/>
      <c r="L5" s="2709"/>
      <c r="M5" s="2710"/>
      <c r="N5" s="2710"/>
      <c r="O5" s="2710"/>
      <c r="P5" s="3675"/>
      <c r="Q5" s="3676"/>
      <c r="R5" s="3657"/>
      <c r="S5" s="3658"/>
      <c r="T5" s="3657"/>
      <c r="U5" s="3658"/>
      <c r="V5" s="3652"/>
      <c r="W5" s="3652"/>
      <c r="X5" s="1355"/>
      <c r="Y5" s="3657"/>
      <c r="Z5" s="3658"/>
      <c r="AA5" s="3650"/>
      <c r="AB5" s="3650"/>
      <c r="AC5" s="3650"/>
    </row>
    <row r="6" spans="1:30" ht="15.75" thickBot="1">
      <c r="A6" s="360"/>
      <c r="B6" s="361"/>
      <c r="C6" s="3725" t="s">
        <v>1675</v>
      </c>
      <c r="D6" s="3664"/>
      <c r="E6" s="3726" t="s">
        <v>1675</v>
      </c>
      <c r="F6" s="3667"/>
      <c r="G6" s="3725" t="s">
        <v>1675</v>
      </c>
      <c r="H6" s="3664"/>
      <c r="I6" s="3725" t="s">
        <v>1675</v>
      </c>
      <c r="J6" s="3664"/>
      <c r="K6" s="559" t="s">
        <v>1676</v>
      </c>
      <c r="L6" s="2709"/>
      <c r="M6" s="2710"/>
      <c r="N6" s="2710"/>
      <c r="O6" s="2710"/>
      <c r="P6" s="3677"/>
      <c r="Q6" s="3678"/>
      <c r="R6" s="3657"/>
      <c r="S6" s="3658"/>
      <c r="T6" s="3679"/>
      <c r="U6" s="3680"/>
      <c r="V6" s="3652"/>
      <c r="W6" s="3652"/>
      <c r="X6" s="1355"/>
      <c r="Y6" s="3679"/>
      <c r="Z6" s="3680"/>
      <c r="AA6" s="3651"/>
      <c r="AB6" s="3651"/>
      <c r="AC6" s="3651"/>
    </row>
    <row r="7" spans="1:30" s="108" customFormat="1" ht="15.75" thickBot="1">
      <c r="A7" s="362" t="s">
        <v>1677</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53" t="s">
        <v>1678</v>
      </c>
      <c r="Q7" s="3681"/>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3" t="s">
        <v>1681</v>
      </c>
      <c r="Q8" s="3654"/>
      <c r="R8" s="701" t="s">
        <v>14</v>
      </c>
      <c r="S8" s="702">
        <f t="shared" si="0"/>
        <v>0</v>
      </c>
      <c r="T8" s="701" t="s">
        <v>14</v>
      </c>
      <c r="U8" s="702">
        <f t="shared" si="1"/>
        <v>0</v>
      </c>
      <c r="V8" s="701" t="s">
        <v>14</v>
      </c>
      <c r="W8" s="702">
        <f t="shared" si="2"/>
        <v>0</v>
      </c>
      <c r="X8" s="703"/>
      <c r="Y8" s="3653" t="s">
        <v>1681</v>
      </c>
      <c r="Z8" s="3654"/>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91"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691"/>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91"/>
      <c r="Q12" s="1343"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15">
      <c r="A15" s="391" t="s">
        <v>1688</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84" t="s">
        <v>1689</v>
      </c>
      <c r="Q15" s="1352" t="str">
        <f t="shared" si="6"/>
        <v>居住社区成熟度</v>
      </c>
      <c r="R15" s="705" t="s">
        <v>14</v>
      </c>
      <c r="S15" s="706">
        <f t="shared" si="0"/>
        <v>100</v>
      </c>
      <c r="T15" s="705" t="s">
        <v>14</v>
      </c>
      <c r="U15" s="706">
        <f t="shared" si="1"/>
        <v>100</v>
      </c>
      <c r="V15" s="705" t="s">
        <v>14</v>
      </c>
      <c r="W15" s="706">
        <f t="shared" si="2"/>
        <v>100</v>
      </c>
      <c r="X15" s="1355"/>
      <c r="Y15" s="3684"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85"/>
      <c r="Q16" s="1352"/>
      <c r="R16" s="705"/>
      <c r="S16" s="706"/>
      <c r="T16" s="705"/>
      <c r="U16" s="706"/>
      <c r="V16" s="705"/>
      <c r="W16" s="706"/>
      <c r="X16" s="1355"/>
      <c r="Y16" s="3685"/>
      <c r="Z16" s="1356"/>
      <c r="AA16" s="1353">
        <v>1</v>
      </c>
      <c r="AB16" s="1353">
        <v>1</v>
      </c>
      <c r="AC16" s="1353">
        <v>1</v>
      </c>
    </row>
    <row r="17" spans="1:29" ht="15">
      <c r="A17" s="379"/>
      <c r="B17" s="402" t="s">
        <v>1775</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85"/>
      <c r="Q17" s="1352" t="str">
        <f>B17</f>
        <v>商业繁华度</v>
      </c>
      <c r="R17" s="705" t="s">
        <v>14</v>
      </c>
      <c r="S17" s="706">
        <f>F17</f>
        <v>100</v>
      </c>
      <c r="T17" s="705" t="s">
        <v>14</v>
      </c>
      <c r="U17" s="706">
        <f>H17</f>
        <v>100</v>
      </c>
      <c r="V17" s="705" t="s">
        <v>14</v>
      </c>
      <c r="W17" s="706">
        <f>J17</f>
        <v>100</v>
      </c>
      <c r="X17" s="1355"/>
      <c r="Y17" s="368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85"/>
      <c r="Q18" s="1352"/>
      <c r="R18" s="705"/>
      <c r="S18" s="706"/>
      <c r="T18" s="705"/>
      <c r="U18" s="706"/>
      <c r="V18" s="705"/>
      <c r="W18" s="706"/>
      <c r="X18" s="1355"/>
      <c r="Y18" s="3685"/>
      <c r="Z18" s="1356"/>
      <c r="AA18" s="1353">
        <v>1</v>
      </c>
      <c r="AB18" s="1353">
        <v>1</v>
      </c>
      <c r="AC18" s="1353">
        <v>1</v>
      </c>
    </row>
    <row r="19" spans="1:29" ht="15">
      <c r="A19" s="379"/>
      <c r="B19" s="402" t="s">
        <v>1809</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85"/>
      <c r="Q19" s="1352" t="str">
        <f>B19</f>
        <v>办公集聚程度</v>
      </c>
      <c r="R19" s="705" t="s">
        <v>14</v>
      </c>
      <c r="S19" s="706">
        <f>F19</f>
        <v>100</v>
      </c>
      <c r="T19" s="705" t="s">
        <v>14</v>
      </c>
      <c r="U19" s="706">
        <f>H19</f>
        <v>100</v>
      </c>
      <c r="V19" s="705" t="s">
        <v>14</v>
      </c>
      <c r="W19" s="706">
        <f>J19</f>
        <v>100</v>
      </c>
      <c r="X19" s="1355"/>
      <c r="Y19" s="368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85"/>
      <c r="Q20" s="1352"/>
      <c r="R20" s="705"/>
      <c r="S20" s="706"/>
      <c r="T20" s="705"/>
      <c r="U20" s="706"/>
      <c r="V20" s="705"/>
      <c r="W20" s="706"/>
      <c r="X20" s="1355"/>
      <c r="Y20" s="3685"/>
      <c r="Z20" s="1356"/>
      <c r="AA20" s="1353">
        <v>1</v>
      </c>
      <c r="AB20" s="1353">
        <v>1</v>
      </c>
      <c r="AC20" s="1353">
        <v>1</v>
      </c>
    </row>
    <row r="21" spans="1:29" ht="15">
      <c r="A21" s="379"/>
      <c r="B21" s="402" t="s">
        <v>1831</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85"/>
      <c r="Q21" s="1352" t="str">
        <f>B21</f>
        <v>交通便捷度</v>
      </c>
      <c r="R21" s="705" t="s">
        <v>14</v>
      </c>
      <c r="S21" s="706">
        <f>F21</f>
        <v>100</v>
      </c>
      <c r="T21" s="705" t="s">
        <v>14</v>
      </c>
      <c r="U21" s="706">
        <f>H21</f>
        <v>100</v>
      </c>
      <c r="V21" s="705" t="s">
        <v>14</v>
      </c>
      <c r="W21" s="706">
        <f>J21</f>
        <v>100</v>
      </c>
      <c r="X21" s="1355"/>
      <c r="Y21" s="368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85"/>
      <c r="Q22" s="1352"/>
      <c r="R22" s="705"/>
      <c r="S22" s="706"/>
      <c r="T22" s="705"/>
      <c r="U22" s="706"/>
      <c r="V22" s="705"/>
      <c r="W22" s="706"/>
      <c r="X22" s="1355"/>
      <c r="Y22" s="3685"/>
      <c r="Z22" s="1356"/>
      <c r="AA22" s="1353">
        <v>1</v>
      </c>
      <c r="AB22" s="1353">
        <v>1</v>
      </c>
      <c r="AC22" s="1353">
        <v>1</v>
      </c>
    </row>
    <row r="23" spans="1:29" ht="15">
      <c r="A23" s="358"/>
      <c r="B23" s="402" t="s">
        <v>1869</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85"/>
      <c r="Q23" s="1352" t="str">
        <f t="shared" ref="Q23:Q37" si="8">B23</f>
        <v>区域土地利用方向</v>
      </c>
      <c r="R23" s="705" t="s">
        <v>14</v>
      </c>
      <c r="S23" s="706">
        <f>F23</f>
        <v>100</v>
      </c>
      <c r="T23" s="705" t="s">
        <v>14</v>
      </c>
      <c r="U23" s="706">
        <f>H23</f>
        <v>100</v>
      </c>
      <c r="V23" s="705" t="s">
        <v>14</v>
      </c>
      <c r="W23" s="706">
        <f>J23</f>
        <v>100</v>
      </c>
      <c r="X23" s="1355"/>
      <c r="Y23" s="368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85"/>
      <c r="Q24" s="1352"/>
      <c r="R24" s="705"/>
      <c r="S24" s="706"/>
      <c r="T24" s="705"/>
      <c r="U24" s="706"/>
      <c r="V24" s="705"/>
      <c r="W24" s="706"/>
      <c r="X24" s="1355"/>
      <c r="Y24" s="3685"/>
      <c r="Z24" s="1356"/>
      <c r="AA24" s="1353"/>
      <c r="AB24" s="1353"/>
      <c r="AC24" s="1353"/>
    </row>
    <row r="25" spans="1:29" ht="27">
      <c r="A25" s="358"/>
      <c r="B25" s="1131" t="s">
        <v>1870</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85"/>
      <c r="Q25" s="1352" t="str">
        <f t="shared" si="8"/>
        <v>自然及人文环境状况</v>
      </c>
      <c r="R25" s="705" t="s">
        <v>14</v>
      </c>
      <c r="S25" s="706">
        <f>F25</f>
        <v>100</v>
      </c>
      <c r="T25" s="705" t="s">
        <v>14</v>
      </c>
      <c r="U25" s="706">
        <f>H25</f>
        <v>100</v>
      </c>
      <c r="V25" s="705" t="s">
        <v>14</v>
      </c>
      <c r="W25" s="706">
        <f>J25</f>
        <v>100</v>
      </c>
      <c r="X25" s="1355"/>
      <c r="Y25" s="368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85"/>
      <c r="Q26" s="1352"/>
      <c r="R26" s="705"/>
      <c r="S26" s="706"/>
      <c r="T26" s="705"/>
      <c r="U26" s="706"/>
      <c r="V26" s="705"/>
      <c r="W26" s="706"/>
      <c r="X26" s="1355"/>
      <c r="Y26" s="3685"/>
      <c r="Z26" s="1356"/>
      <c r="AA26" s="1353">
        <v>1</v>
      </c>
      <c r="AB26" s="1353">
        <v>1</v>
      </c>
      <c r="AC26" s="1353">
        <v>1</v>
      </c>
    </row>
    <row r="27" spans="1:29" s="108" customFormat="1" ht="15">
      <c r="A27" s="597"/>
      <c r="B27" s="1131" t="s">
        <v>1776</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85"/>
      <c r="Q27" s="1343" t="str">
        <f t="shared" si="8"/>
        <v>公共配套设施</v>
      </c>
      <c r="R27" s="701" t="s">
        <v>14</v>
      </c>
      <c r="S27" s="702">
        <f>F27</f>
        <v>100</v>
      </c>
      <c r="T27" s="701" t="s">
        <v>14</v>
      </c>
      <c r="U27" s="702">
        <f>H27</f>
        <v>100</v>
      </c>
      <c r="V27" s="701" t="s">
        <v>14</v>
      </c>
      <c r="W27" s="702">
        <f>J27</f>
        <v>100</v>
      </c>
      <c r="X27" s="703"/>
      <c r="Y27" s="368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85"/>
      <c r="Q28" s="1343"/>
      <c r="R28" s="701"/>
      <c r="S28" s="702"/>
      <c r="T28" s="701"/>
      <c r="U28" s="702"/>
      <c r="V28" s="701"/>
      <c r="W28" s="702"/>
      <c r="X28" s="703"/>
      <c r="Y28" s="3685"/>
      <c r="Z28" s="52"/>
      <c r="AA28" s="1353">
        <v>1</v>
      </c>
      <c r="AB28" s="1353">
        <v>1</v>
      </c>
      <c r="AC28" s="1353">
        <v>1</v>
      </c>
    </row>
    <row r="29" spans="1:29" s="108" customFormat="1" ht="15">
      <c r="A29" s="597"/>
      <c r="B29" s="1131" t="s">
        <v>1777</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85"/>
      <c r="Q29" s="1343" t="str">
        <f t="shared" ref="Q29" si="9">B29</f>
        <v>基础设施水平</v>
      </c>
      <c r="R29" s="701" t="s">
        <v>14</v>
      </c>
      <c r="S29" s="702">
        <f>F29</f>
        <v>100</v>
      </c>
      <c r="T29" s="701" t="s">
        <v>14</v>
      </c>
      <c r="U29" s="702">
        <f>H29</f>
        <v>100</v>
      </c>
      <c r="V29" s="701" t="s">
        <v>14</v>
      </c>
      <c r="W29" s="702">
        <f>J29</f>
        <v>100</v>
      </c>
      <c r="X29" s="703"/>
      <c r="Y29" s="368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85"/>
      <c r="Q30" s="1343"/>
      <c r="R30" s="701"/>
      <c r="S30" s="702"/>
      <c r="T30" s="701"/>
      <c r="U30" s="702"/>
      <c r="V30" s="701"/>
      <c r="W30" s="702"/>
      <c r="X30" s="703"/>
      <c r="Y30" s="3685"/>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8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5"/>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85"/>
      <c r="Q32" s="1352" t="str">
        <f t="shared" si="8"/>
        <v>毗邻道路的类型与等级</v>
      </c>
      <c r="R32" s="705" t="s">
        <v>14</v>
      </c>
      <c r="S32" s="706">
        <f t="shared" si="10"/>
        <v>100</v>
      </c>
      <c r="T32" s="705" t="s">
        <v>14</v>
      </c>
      <c r="U32" s="706">
        <f t="shared" si="11"/>
        <v>100</v>
      </c>
      <c r="V32" s="705" t="s">
        <v>14</v>
      </c>
      <c r="W32" s="706">
        <f t="shared" si="12"/>
        <v>100</v>
      </c>
      <c r="X32" s="1355"/>
      <c r="Y32" s="368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85"/>
      <c r="Q33" s="1352"/>
      <c r="R33" s="705"/>
      <c r="S33" s="706"/>
      <c r="T33" s="705"/>
      <c r="U33" s="706"/>
      <c r="V33" s="705"/>
      <c r="W33" s="706"/>
      <c r="X33" s="1355"/>
      <c r="Y33" s="3685"/>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85"/>
      <c r="Q34" s="1352" t="str">
        <f t="shared" si="8"/>
        <v>土地级别</v>
      </c>
      <c r="R34" s="705" t="s">
        <v>14</v>
      </c>
      <c r="S34" s="706">
        <f t="shared" si="10"/>
        <v>100</v>
      </c>
      <c r="T34" s="705" t="s">
        <v>14</v>
      </c>
      <c r="U34" s="706">
        <f t="shared" si="11"/>
        <v>100</v>
      </c>
      <c r="V34" s="705" t="s">
        <v>14</v>
      </c>
      <c r="W34" s="706">
        <f t="shared" si="12"/>
        <v>100</v>
      </c>
      <c r="X34" s="1355"/>
      <c r="Y34" s="368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85"/>
      <c r="Q35" s="1352">
        <f t="shared" si="8"/>
        <v>111</v>
      </c>
      <c r="R35" s="705" t="s">
        <v>14</v>
      </c>
      <c r="S35" s="706">
        <f t="shared" si="10"/>
        <v>100</v>
      </c>
      <c r="T35" s="705" t="s">
        <v>14</v>
      </c>
      <c r="U35" s="706">
        <f t="shared" si="11"/>
        <v>100</v>
      </c>
      <c r="V35" s="705" t="s">
        <v>14</v>
      </c>
      <c r="W35" s="706">
        <f t="shared" si="12"/>
        <v>100</v>
      </c>
      <c r="X35" s="1355"/>
      <c r="Y35" s="368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61" t="s">
        <v>1694</v>
      </c>
      <c r="Q36" s="1352">
        <f t="shared" si="8"/>
        <v>111</v>
      </c>
      <c r="R36" s="705" t="s">
        <v>14</v>
      </c>
      <c r="S36" s="706">
        <f t="shared" si="10"/>
        <v>100</v>
      </c>
      <c r="T36" s="705" t="s">
        <v>14</v>
      </c>
      <c r="U36" s="706">
        <f t="shared" si="11"/>
        <v>100</v>
      </c>
      <c r="V36" s="705" t="s">
        <v>14</v>
      </c>
      <c r="W36" s="706">
        <f t="shared" si="12"/>
        <v>100</v>
      </c>
      <c r="X36" s="1355"/>
      <c r="Y36" s="3689"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89"/>
      <c r="Q37" s="1352">
        <f t="shared" si="8"/>
        <v>111</v>
      </c>
      <c r="R37" s="708" t="s">
        <v>14</v>
      </c>
      <c r="S37" s="709">
        <f t="shared" si="10"/>
        <v>100</v>
      </c>
      <c r="T37" s="708" t="s">
        <v>14</v>
      </c>
      <c r="U37" s="709">
        <f t="shared" si="11"/>
        <v>100</v>
      </c>
      <c r="V37" s="708" t="s">
        <v>14</v>
      </c>
      <c r="W37" s="709">
        <f t="shared" si="12"/>
        <v>100</v>
      </c>
      <c r="X37" s="710"/>
      <c r="Y37" s="3689"/>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89"/>
      <c r="Q38" s="1352" t="str">
        <f>B38</f>
        <v>宗地面积</v>
      </c>
      <c r="R38" s="705" t="s">
        <v>14</v>
      </c>
      <c r="S38" s="706" t="e">
        <f t="shared" si="10"/>
        <v>#N/A</v>
      </c>
      <c r="T38" s="705" t="s">
        <v>14</v>
      </c>
      <c r="U38" s="706" t="e">
        <f t="shared" si="11"/>
        <v>#N/A</v>
      </c>
      <c r="V38" s="705" t="s">
        <v>14</v>
      </c>
      <c r="W38" s="706" t="e">
        <f t="shared" si="12"/>
        <v>#N/A</v>
      </c>
      <c r="X38" s="1355"/>
      <c r="Y38" s="3689"/>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89"/>
      <c r="Q39" s="1352" t="str">
        <f t="shared" ref="Q39:Q45" si="14">B39</f>
        <v>宗地形状</v>
      </c>
      <c r="R39" s="705" t="s">
        <v>14</v>
      </c>
      <c r="S39" s="706">
        <f t="shared" si="10"/>
        <v>100</v>
      </c>
      <c r="T39" s="705" t="s">
        <v>14</v>
      </c>
      <c r="U39" s="706">
        <f t="shared" si="11"/>
        <v>100</v>
      </c>
      <c r="V39" s="705" t="s">
        <v>14</v>
      </c>
      <c r="W39" s="706">
        <f t="shared" si="12"/>
        <v>100</v>
      </c>
      <c r="X39" s="1355"/>
      <c r="Y39" s="3689"/>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89"/>
      <c r="Q40" s="1352" t="str">
        <f t="shared" si="14"/>
        <v>临街宽度及深度</v>
      </c>
      <c r="R40" s="705" t="s">
        <v>14</v>
      </c>
      <c r="S40" s="706">
        <f t="shared" si="10"/>
        <v>100</v>
      </c>
      <c r="T40" s="705" t="s">
        <v>14</v>
      </c>
      <c r="U40" s="706">
        <f t="shared" si="11"/>
        <v>100</v>
      </c>
      <c r="V40" s="705" t="s">
        <v>14</v>
      </c>
      <c r="W40" s="706">
        <f t="shared" si="12"/>
        <v>100</v>
      </c>
      <c r="X40" s="1355"/>
      <c r="Y40" s="3689"/>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89"/>
      <c r="Q41" s="1352" t="str">
        <f t="shared" si="14"/>
        <v>宗地开发程度</v>
      </c>
      <c r="R41" s="701" t="s">
        <v>14</v>
      </c>
      <c r="S41" s="702">
        <f t="shared" si="10"/>
        <v>100</v>
      </c>
      <c r="T41" s="701" t="s">
        <v>14</v>
      </c>
      <c r="U41" s="702">
        <f t="shared" si="11"/>
        <v>100</v>
      </c>
      <c r="V41" s="701" t="s">
        <v>14</v>
      </c>
      <c r="W41" s="702">
        <f t="shared" si="12"/>
        <v>100</v>
      </c>
      <c r="X41" s="703"/>
      <c r="Y41" s="3689"/>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89" t="s">
        <v>1694</v>
      </c>
      <c r="Q42" s="1352" t="str">
        <f t="shared" si="14"/>
        <v>工程地质条件</v>
      </c>
      <c r="R42" s="705" t="s">
        <v>14</v>
      </c>
      <c r="S42" s="706">
        <f t="shared" si="10"/>
        <v>100</v>
      </c>
      <c r="T42" s="705" t="s">
        <v>14</v>
      </c>
      <c r="U42" s="706">
        <f t="shared" si="11"/>
        <v>100</v>
      </c>
      <c r="V42" s="705" t="s">
        <v>14</v>
      </c>
      <c r="W42" s="706">
        <f t="shared" si="12"/>
        <v>100</v>
      </c>
      <c r="X42" s="1355"/>
      <c r="Y42" s="3689"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89"/>
      <c r="Q43" s="1352">
        <f t="shared" si="14"/>
        <v>111</v>
      </c>
      <c r="R43" s="705" t="s">
        <v>14</v>
      </c>
      <c r="S43" s="706">
        <f t="shared" si="10"/>
        <v>100</v>
      </c>
      <c r="T43" s="705" t="s">
        <v>14</v>
      </c>
      <c r="U43" s="706">
        <f t="shared" si="11"/>
        <v>100</v>
      </c>
      <c r="V43" s="705" t="s">
        <v>14</v>
      </c>
      <c r="W43" s="706">
        <f t="shared" si="12"/>
        <v>100</v>
      </c>
      <c r="X43" s="1355"/>
      <c r="Y43" s="368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89"/>
      <c r="Q44" s="1352">
        <f t="shared" si="14"/>
        <v>111</v>
      </c>
      <c r="R44" s="705" t="s">
        <v>14</v>
      </c>
      <c r="S44" s="706">
        <f t="shared" si="10"/>
        <v>100</v>
      </c>
      <c r="T44" s="705" t="s">
        <v>14</v>
      </c>
      <c r="U44" s="706">
        <f t="shared" si="11"/>
        <v>100</v>
      </c>
      <c r="V44" s="705" t="s">
        <v>14</v>
      </c>
      <c r="W44" s="706">
        <f t="shared" si="12"/>
        <v>100</v>
      </c>
      <c r="X44" s="1355"/>
      <c r="Y44" s="368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89"/>
      <c r="Q45" s="1352">
        <f t="shared" si="14"/>
        <v>111</v>
      </c>
      <c r="R45" s="708" t="s">
        <v>14</v>
      </c>
      <c r="S45" s="709">
        <f t="shared" si="10"/>
        <v>100</v>
      </c>
      <c r="T45" s="708" t="s">
        <v>14</v>
      </c>
      <c r="U45" s="709">
        <f t="shared" si="11"/>
        <v>100</v>
      </c>
      <c r="V45" s="708" t="s">
        <v>14</v>
      </c>
      <c r="W45" s="709">
        <f t="shared" si="12"/>
        <v>100</v>
      </c>
      <c r="X45" s="710"/>
      <c r="Y45" s="3689"/>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18"/>
      <c r="M46" s="2719"/>
      <c r="N46" s="2710"/>
      <c r="O46" s="2719"/>
      <c r="P46" s="3691" t="str">
        <f>A46</f>
        <v>成交单价</v>
      </c>
      <c r="Q46" s="3691"/>
      <c r="R46" s="3652">
        <f>E46</f>
        <v>0</v>
      </c>
      <c r="S46" s="3652"/>
      <c r="T46" s="3652">
        <f>G46</f>
        <v>0</v>
      </c>
      <c r="U46" s="3652"/>
      <c r="V46" s="3652">
        <f>I46</f>
        <v>0</v>
      </c>
      <c r="W46" s="3652"/>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691" t="str">
        <f>A47</f>
        <v>比较价值（元/平方米）</v>
      </c>
      <c r="Q47" s="3691"/>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8"/>
      <c r="M48" s="2719"/>
      <c r="N48" s="2719"/>
      <c r="O48" s="2719"/>
      <c r="P48" s="3693" t="str">
        <f>A48</f>
        <v>估价对象XX用房的比较价值（楼面单价，元/平方米）</v>
      </c>
      <c r="Q48" s="3694"/>
      <c r="R48" s="3764" t="e">
        <f>ROUND(IF(D47="简单平均",AVERAGE(R47:W47),R47*F47+T47*H47+V47*J47),0)</f>
        <v>#DIV/0!</v>
      </c>
      <c r="S48" s="3764"/>
      <c r="T48" s="3764"/>
      <c r="U48" s="3764"/>
      <c r="V48" s="3764"/>
      <c r="W48" s="3764"/>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1879</v>
      </c>
      <c r="B55" s="633" t="s">
        <v>1880</v>
      </c>
      <c r="C55" s="1983" t="s">
        <v>1881</v>
      </c>
      <c r="D55" s="1984" t="s">
        <v>1882</v>
      </c>
      <c r="E55" s="634" t="s">
        <v>1883</v>
      </c>
      <c r="F55" s="890" t="s">
        <v>1884</v>
      </c>
      <c r="G55" s="3669" t="s">
        <v>1885</v>
      </c>
      <c r="H55" s="3765"/>
      <c r="I55" s="135" t="s">
        <v>1886</v>
      </c>
      <c r="J55" s="1985" t="str">
        <f>项目基本情况!F35</f>
        <v>大兴区</v>
      </c>
      <c r="K55" s="1986" t="s">
        <v>1887</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1888</v>
      </c>
      <c r="B56" s="637" t="e">
        <f>C48</f>
        <v>#DIV/0!</v>
      </c>
      <c r="C56" s="638">
        <v>1</v>
      </c>
      <c r="D56" s="944">
        <v>1</v>
      </c>
      <c r="E56" s="638">
        <f>'数据-汇总表'!E8+'数据-汇总表'!E9</f>
        <v>898.61</v>
      </c>
      <c r="F56" s="886" t="e">
        <f t="shared" ref="F56:F64" si="15">ROUND(B56*E56/10000,0)</f>
        <v>#DIV/0!</v>
      </c>
      <c r="G56" s="3668"/>
      <c r="H56" s="3691"/>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1889</v>
      </c>
      <c r="B57" s="218" t="e">
        <f>ROUND($C$48*C57*D57,0)</f>
        <v>#DIV/0!</v>
      </c>
      <c r="C57" s="171">
        <f t="shared" ref="C57:C64" si="16">IF($C$55="北京市系数",I57,J57)</f>
        <v>0.6</v>
      </c>
      <c r="D57" s="945">
        <v>0.25</v>
      </c>
      <c r="E57" s="642"/>
      <c r="F57" s="886" t="e">
        <f t="shared" si="15"/>
        <v>#DIV/0!</v>
      </c>
      <c r="G57" s="3000" t="s">
        <v>1890</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1891</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1892</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1893</v>
      </c>
      <c r="B60" s="218" t="e">
        <f t="shared" si="17"/>
        <v>#DIV/0!</v>
      </c>
      <c r="C60" s="171">
        <f t="shared" si="16"/>
        <v>0</v>
      </c>
      <c r="D60" s="945">
        <v>0.25</v>
      </c>
      <c r="E60" s="217">
        <f>'数据-汇总表'!E11</f>
        <v>0</v>
      </c>
      <c r="F60" s="886" t="e">
        <f t="shared" si="15"/>
        <v>#DIV/0!</v>
      </c>
      <c r="G60" s="1987" t="s">
        <v>1894</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1895</v>
      </c>
      <c r="B61" s="218" t="e">
        <f t="shared" si="17"/>
        <v>#DIV/0!</v>
      </c>
      <c r="C61" s="171">
        <f t="shared" si="16"/>
        <v>0</v>
      </c>
      <c r="D61" s="945">
        <v>0.25</v>
      </c>
      <c r="E61" s="217">
        <f>'数据-汇总表'!E12</f>
        <v>0</v>
      </c>
      <c r="F61" s="886" t="e">
        <f t="shared" si="15"/>
        <v>#DIV/0!</v>
      </c>
      <c r="G61" s="892" t="s">
        <v>1896</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1899</v>
      </c>
      <c r="B63" s="218" t="e">
        <f t="shared" si="17"/>
        <v>#DIV/0!</v>
      </c>
      <c r="C63" s="171">
        <f t="shared" si="16"/>
        <v>0.15</v>
      </c>
      <c r="D63" s="945">
        <v>0.25</v>
      </c>
      <c r="E63" s="217">
        <f>'数据-汇总表'!E14</f>
        <v>0</v>
      </c>
      <c r="F63" s="886" t="e">
        <f t="shared" si="15"/>
        <v>#DIV/0!</v>
      </c>
      <c r="G63" s="1987" t="s">
        <v>1890</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1900</v>
      </c>
      <c r="B64" s="218" t="e">
        <f t="shared" si="17"/>
        <v>#DIV/0!</v>
      </c>
      <c r="C64" s="171">
        <f t="shared" si="16"/>
        <v>0</v>
      </c>
      <c r="D64" s="945">
        <v>0.25</v>
      </c>
      <c r="E64" s="217">
        <f>'数据-汇总表'!E15</f>
        <v>0</v>
      </c>
      <c r="F64" s="886" t="e">
        <f t="shared" si="15"/>
        <v>#DIV/0!</v>
      </c>
      <c r="G64" s="1988" t="s">
        <v>1894</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1901</v>
      </c>
      <c r="B65" s="644" t="s">
        <v>22</v>
      </c>
      <c r="C65" s="644" t="s">
        <v>23</v>
      </c>
      <c r="D65" s="644" t="s">
        <v>392</v>
      </c>
      <c r="E65" s="644">
        <f>IF(B46="楼面地价",SUM(E56:E64),'数据-汇总表'!D3)</f>
        <v>898.61</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1796</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1902</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1714</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1679</v>
      </c>
      <c r="B72" s="459"/>
      <c r="C72" s="471" t="s">
        <v>1774</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1717</v>
      </c>
      <c r="B74" s="477" t="s">
        <v>1683</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1686</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1688</v>
      </c>
      <c r="B87" s="477" t="s">
        <v>1718</v>
      </c>
      <c r="C87" s="522" t="s">
        <v>1719</v>
      </c>
      <c r="D87" s="522" t="s">
        <v>1720</v>
      </c>
      <c r="E87" s="522" t="s">
        <v>1721</v>
      </c>
      <c r="F87" s="522" t="s">
        <v>1722</v>
      </c>
      <c r="G87" s="522" t="s">
        <v>1723</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1904</v>
      </c>
      <c r="C89" s="527" t="s">
        <v>1719</v>
      </c>
      <c r="D89" s="527" t="s">
        <v>1720</v>
      </c>
      <c r="E89" s="527" t="s">
        <v>1721</v>
      </c>
      <c r="F89" s="527" t="s">
        <v>1722</v>
      </c>
      <c r="G89" s="527" t="s">
        <v>1723</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1819</v>
      </c>
      <c r="C91" s="527" t="s">
        <v>1719</v>
      </c>
      <c r="D91" s="527" t="s">
        <v>1720</v>
      </c>
      <c r="E91" s="527" t="s">
        <v>1721</v>
      </c>
      <c r="F91" s="527" t="s">
        <v>1722</v>
      </c>
      <c r="G91" s="527" t="s">
        <v>1723</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1724</v>
      </c>
      <c r="C93" s="527" t="s">
        <v>1719</v>
      </c>
      <c r="D93" s="527" t="s">
        <v>1720</v>
      </c>
      <c r="E93" s="527" t="s">
        <v>1721</v>
      </c>
      <c r="F93" s="527" t="s">
        <v>1722</v>
      </c>
      <c r="G93" s="527" t="s">
        <v>1723</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1813</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1871</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1912</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1913</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1914</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1915</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1767</v>
      </c>
      <c r="B4" s="356"/>
      <c r="C4" s="3669" t="s">
        <v>1768</v>
      </c>
      <c r="D4" s="3670"/>
      <c r="E4" s="3671" t="s">
        <v>1769</v>
      </c>
      <c r="F4" s="3672"/>
      <c r="G4" s="3669" t="s">
        <v>1770</v>
      </c>
      <c r="H4" s="3670"/>
      <c r="I4" s="3669" t="s">
        <v>1771</v>
      </c>
      <c r="J4" s="3670"/>
      <c r="K4" s="559" t="s">
        <v>1772</v>
      </c>
      <c r="L4" s="2709"/>
      <c r="M4" s="2710"/>
      <c r="N4" s="2710"/>
      <c r="O4" s="2710"/>
      <c r="P4" s="3673" t="s">
        <v>1773</v>
      </c>
      <c r="Q4" s="3674"/>
      <c r="R4" s="3655" t="s">
        <v>1769</v>
      </c>
      <c r="S4" s="3656"/>
      <c r="T4" s="3655" t="s">
        <v>1770</v>
      </c>
      <c r="U4" s="3656"/>
      <c r="V4" s="3652" t="s">
        <v>1771</v>
      </c>
      <c r="W4" s="3652"/>
      <c r="X4" s="1355"/>
      <c r="Y4" s="3655" t="s">
        <v>1773</v>
      </c>
      <c r="Z4" s="3656"/>
      <c r="AA4" s="3649" t="s">
        <v>1769</v>
      </c>
      <c r="AB4" s="3650" t="s">
        <v>1770</v>
      </c>
      <c r="AC4" s="3649" t="s">
        <v>1771</v>
      </c>
    </row>
    <row r="5" spans="1:29" ht="15">
      <c r="A5" s="358"/>
      <c r="B5" s="359"/>
      <c r="C5" s="3665" t="s">
        <v>1671</v>
      </c>
      <c r="D5" s="3662"/>
      <c r="E5" s="3659" t="s">
        <v>1672</v>
      </c>
      <c r="F5" s="3660"/>
      <c r="G5" s="3665" t="s">
        <v>1673</v>
      </c>
      <c r="H5" s="3662"/>
      <c r="I5" s="3665" t="s">
        <v>1674</v>
      </c>
      <c r="J5" s="3662"/>
      <c r="K5" s="559"/>
      <c r="L5" s="2709"/>
      <c r="M5" s="2710"/>
      <c r="N5" s="2710"/>
      <c r="O5" s="2710"/>
      <c r="P5" s="3675"/>
      <c r="Q5" s="3676"/>
      <c r="R5" s="3657"/>
      <c r="S5" s="3658"/>
      <c r="T5" s="3657"/>
      <c r="U5" s="3658"/>
      <c r="V5" s="3652"/>
      <c r="W5" s="3652"/>
      <c r="X5" s="1355"/>
      <c r="Y5" s="3657"/>
      <c r="Z5" s="3658"/>
      <c r="AA5" s="3650"/>
      <c r="AB5" s="3650"/>
      <c r="AC5" s="3650"/>
    </row>
    <row r="6" spans="1:29" ht="15.75" thickBot="1">
      <c r="A6" s="360"/>
      <c r="B6" s="361"/>
      <c r="C6" s="3766" t="s">
        <v>1917</v>
      </c>
      <c r="D6" s="3767"/>
      <c r="E6" s="3768" t="s">
        <v>1917</v>
      </c>
      <c r="F6" s="3769"/>
      <c r="G6" s="3766" t="s">
        <v>1917</v>
      </c>
      <c r="H6" s="3767"/>
      <c r="I6" s="3766" t="s">
        <v>1917</v>
      </c>
      <c r="J6" s="3767"/>
      <c r="K6" s="559" t="s">
        <v>1676</v>
      </c>
      <c r="L6" s="2709"/>
      <c r="M6" s="2710"/>
      <c r="N6" s="2710"/>
      <c r="O6" s="2710"/>
      <c r="P6" s="3677"/>
      <c r="Q6" s="3678"/>
      <c r="R6" s="3657"/>
      <c r="S6" s="3658"/>
      <c r="T6" s="3679"/>
      <c r="U6" s="3680"/>
      <c r="V6" s="3652"/>
      <c r="W6" s="3652"/>
      <c r="X6" s="1355"/>
      <c r="Y6" s="3679"/>
      <c r="Z6" s="3680"/>
      <c r="AA6" s="3651"/>
      <c r="AB6" s="3651"/>
      <c r="AC6" s="3651"/>
    </row>
    <row r="7" spans="1:29" s="108" customFormat="1" ht="15.75" thickBot="1">
      <c r="A7" s="362" t="s">
        <v>1677</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53" t="s">
        <v>1678</v>
      </c>
      <c r="Q7" s="3681"/>
      <c r="R7" s="701" t="s">
        <v>14</v>
      </c>
      <c r="S7" s="702">
        <f t="shared" ref="S7:S15" si="0">F7</f>
        <v>0</v>
      </c>
      <c r="T7" s="701" t="s">
        <v>14</v>
      </c>
      <c r="U7" s="702">
        <f t="shared" ref="U7:U15" si="1">H7</f>
        <v>0</v>
      </c>
      <c r="V7" s="701" t="s">
        <v>14</v>
      </c>
      <c r="W7" s="702">
        <f t="shared" ref="W7:W15" si="2">J7</f>
        <v>0</v>
      </c>
      <c r="X7" s="703"/>
      <c r="Y7" s="3653" t="s">
        <v>1678</v>
      </c>
      <c r="Z7" s="365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3" t="s">
        <v>1681</v>
      </c>
      <c r="Q8" s="3654"/>
      <c r="R8" s="701" t="s">
        <v>14</v>
      </c>
      <c r="S8" s="702">
        <f t="shared" si="0"/>
        <v>0</v>
      </c>
      <c r="T8" s="701" t="s">
        <v>14</v>
      </c>
      <c r="U8" s="702">
        <f t="shared" si="1"/>
        <v>0</v>
      </c>
      <c r="V8" s="701" t="s">
        <v>14</v>
      </c>
      <c r="W8" s="702">
        <f t="shared" si="2"/>
        <v>0</v>
      </c>
      <c r="X8" s="703"/>
      <c r="Y8" s="3653" t="s">
        <v>1681</v>
      </c>
      <c r="Z8" s="3654"/>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91" t="s">
        <v>1684</v>
      </c>
      <c r="Q9" s="1343" t="str">
        <f t="shared" ref="Q9:Q15" si="6">B9</f>
        <v>用途</v>
      </c>
      <c r="R9" s="701" t="s">
        <v>14</v>
      </c>
      <c r="S9" s="702">
        <f t="shared" si="0"/>
        <v>100</v>
      </c>
      <c r="T9" s="701" t="s">
        <v>14</v>
      </c>
      <c r="U9" s="702">
        <f t="shared" si="1"/>
        <v>100</v>
      </c>
      <c r="V9" s="701" t="s">
        <v>14</v>
      </c>
      <c r="W9" s="702">
        <f t="shared" si="2"/>
        <v>100</v>
      </c>
      <c r="X9" s="703"/>
      <c r="Y9" s="3625"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691"/>
      <c r="Q10" s="1343" t="str">
        <f t="shared" si="6"/>
        <v>土地使用年限（年）</v>
      </c>
      <c r="R10" s="701" t="s">
        <v>14</v>
      </c>
      <c r="S10" s="702">
        <f t="shared" si="0"/>
        <v>104</v>
      </c>
      <c r="T10" s="701" t="s">
        <v>14</v>
      </c>
      <c r="U10" s="702">
        <f t="shared" si="1"/>
        <v>104</v>
      </c>
      <c r="V10" s="701" t="s">
        <v>14</v>
      </c>
      <c r="W10" s="702">
        <f t="shared" si="2"/>
        <v>104</v>
      </c>
      <c r="X10" s="703"/>
      <c r="Y10" s="3625"/>
      <c r="Z10" s="52" t="str">
        <f t="shared" si="7"/>
        <v>土地使用年限（年）</v>
      </c>
      <c r="AA10" s="704">
        <f t="shared" si="3"/>
        <v>0.96153846153846156</v>
      </c>
      <c r="AB10" s="704">
        <f t="shared" si="4"/>
        <v>0.96153846153846156</v>
      </c>
      <c r="AC10" s="704">
        <f t="shared" si="5"/>
        <v>0.96153846153846156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91"/>
      <c r="Q11" s="1343"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91"/>
      <c r="Q12" s="1343">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91"/>
      <c r="Q13" s="1343">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91"/>
      <c r="Q14" s="1343">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1688</v>
      </c>
      <c r="B15" s="577" t="s">
        <v>1918</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84" t="s">
        <v>1689</v>
      </c>
      <c r="Q15" s="1352" t="str">
        <f t="shared" si="6"/>
        <v>产业集聚程度</v>
      </c>
      <c r="R15" s="705" t="s">
        <v>14</v>
      </c>
      <c r="S15" s="706">
        <f t="shared" si="0"/>
        <v>100</v>
      </c>
      <c r="T15" s="705" t="s">
        <v>14</v>
      </c>
      <c r="U15" s="706">
        <f t="shared" si="1"/>
        <v>100</v>
      </c>
      <c r="V15" s="705" t="s">
        <v>14</v>
      </c>
      <c r="W15" s="706">
        <f t="shared" si="2"/>
        <v>100</v>
      </c>
      <c r="X15" s="1355"/>
      <c r="Y15" s="3684"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85"/>
      <c r="Q16" s="1352"/>
      <c r="R16" s="705"/>
      <c r="S16" s="706"/>
      <c r="T16" s="705"/>
      <c r="U16" s="706"/>
      <c r="V16" s="705"/>
      <c r="W16" s="706"/>
      <c r="X16" s="1355"/>
      <c r="Y16" s="3685"/>
      <c r="Z16" s="1356"/>
      <c r="AA16" s="1353">
        <v>1</v>
      </c>
      <c r="AB16" s="1353">
        <v>1</v>
      </c>
      <c r="AC16" s="1353">
        <v>1</v>
      </c>
    </row>
    <row r="17" spans="1:29" ht="85.5">
      <c r="A17" s="379"/>
      <c r="B17" s="579" t="s">
        <v>1831</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85"/>
      <c r="Q17" s="1352" t="str">
        <f>B17</f>
        <v>交通便捷度</v>
      </c>
      <c r="R17" s="705" t="s">
        <v>14</v>
      </c>
      <c r="S17" s="706">
        <f>F17</f>
        <v>100</v>
      </c>
      <c r="T17" s="705" t="s">
        <v>14</v>
      </c>
      <c r="U17" s="706">
        <f>H17</f>
        <v>100</v>
      </c>
      <c r="V17" s="705" t="s">
        <v>14</v>
      </c>
      <c r="W17" s="706">
        <f>J17</f>
        <v>100</v>
      </c>
      <c r="X17" s="1355"/>
      <c r="Y17" s="368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85"/>
      <c r="Q18" s="1352"/>
      <c r="R18" s="705"/>
      <c r="S18" s="706"/>
      <c r="T18" s="705"/>
      <c r="U18" s="706"/>
      <c r="V18" s="705"/>
      <c r="W18" s="706"/>
      <c r="X18" s="1355"/>
      <c r="Y18" s="3685"/>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85"/>
      <c r="Q19" s="1352" t="str">
        <f t="shared" ref="Q19:Q33" si="8">B19</f>
        <v>区域土地利用方向</v>
      </c>
      <c r="R19" s="705" t="s">
        <v>14</v>
      </c>
      <c r="S19" s="706">
        <f>F19</f>
        <v>100</v>
      </c>
      <c r="T19" s="705" t="s">
        <v>14</v>
      </c>
      <c r="U19" s="706">
        <f>H19</f>
        <v>100</v>
      </c>
      <c r="V19" s="705" t="s">
        <v>14</v>
      </c>
      <c r="W19" s="706">
        <f>J19</f>
        <v>100</v>
      </c>
      <c r="X19" s="1355"/>
      <c r="Y19" s="368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85"/>
      <c r="Q20" s="1352"/>
      <c r="R20" s="705"/>
      <c r="S20" s="706"/>
      <c r="T20" s="705"/>
      <c r="U20" s="706"/>
      <c r="V20" s="705"/>
      <c r="W20" s="706"/>
      <c r="X20" s="1355"/>
      <c r="Y20" s="3685"/>
      <c r="Z20" s="1356"/>
      <c r="AA20" s="1353"/>
      <c r="AB20" s="1353"/>
      <c r="AC20" s="1353"/>
    </row>
    <row r="21" spans="1:29" ht="71.25">
      <c r="A21" s="358"/>
      <c r="B21" s="579" t="s">
        <v>1919</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85"/>
      <c r="Q21" s="1352" t="str">
        <f t="shared" si="8"/>
        <v>环境状况</v>
      </c>
      <c r="R21" s="705" t="s">
        <v>14</v>
      </c>
      <c r="S21" s="706">
        <f>F21</f>
        <v>100</v>
      </c>
      <c r="T21" s="705" t="s">
        <v>14</v>
      </c>
      <c r="U21" s="706">
        <f>H21</f>
        <v>100</v>
      </c>
      <c r="V21" s="705" t="s">
        <v>14</v>
      </c>
      <c r="W21" s="706">
        <f>J21</f>
        <v>100</v>
      </c>
      <c r="X21" s="1355"/>
      <c r="Y21" s="368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85"/>
      <c r="Q22" s="1352"/>
      <c r="R22" s="705"/>
      <c r="S22" s="706"/>
      <c r="T22" s="705"/>
      <c r="U22" s="706"/>
      <c r="V22" s="705"/>
      <c r="W22" s="706"/>
      <c r="X22" s="1355"/>
      <c r="Y22" s="3685"/>
      <c r="Z22" s="1356"/>
      <c r="AA22" s="1353">
        <v>1</v>
      </c>
      <c r="AB22" s="1353">
        <v>1</v>
      </c>
      <c r="AC22" s="1353">
        <v>1</v>
      </c>
    </row>
    <row r="23" spans="1:29" s="108" customFormat="1" ht="42.75">
      <c r="A23" s="597"/>
      <c r="B23" s="581" t="s">
        <v>1776</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85"/>
      <c r="Q23" s="1343" t="str">
        <f t="shared" si="8"/>
        <v>公共配套设施</v>
      </c>
      <c r="R23" s="701" t="s">
        <v>14</v>
      </c>
      <c r="S23" s="702">
        <f>F23</f>
        <v>100</v>
      </c>
      <c r="T23" s="701" t="s">
        <v>14</v>
      </c>
      <c r="U23" s="702">
        <f>H23</f>
        <v>100</v>
      </c>
      <c r="V23" s="701" t="s">
        <v>14</v>
      </c>
      <c r="W23" s="702">
        <f>J23</f>
        <v>100</v>
      </c>
      <c r="X23" s="703"/>
      <c r="Y23" s="368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85"/>
      <c r="Q24" s="1343"/>
      <c r="R24" s="701"/>
      <c r="S24" s="702"/>
      <c r="T24" s="701"/>
      <c r="U24" s="702"/>
      <c r="V24" s="701"/>
      <c r="W24" s="702"/>
      <c r="X24" s="703"/>
      <c r="Y24" s="3685"/>
      <c r="Z24" s="52"/>
      <c r="AA24" s="704">
        <v>1</v>
      </c>
      <c r="AB24" s="704">
        <v>1</v>
      </c>
      <c r="AC24" s="704">
        <v>1</v>
      </c>
    </row>
    <row r="25" spans="1:29" s="108" customFormat="1" ht="28.5">
      <c r="A25" s="597"/>
      <c r="B25" s="581" t="s">
        <v>1777</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85"/>
      <c r="Q25" s="1343" t="str">
        <f t="shared" ref="Q25" si="9">B25</f>
        <v>基础设施水平</v>
      </c>
      <c r="R25" s="701" t="s">
        <v>14</v>
      </c>
      <c r="S25" s="702">
        <f>F25</f>
        <v>100</v>
      </c>
      <c r="T25" s="701" t="s">
        <v>14</v>
      </c>
      <c r="U25" s="702">
        <f>H25</f>
        <v>100</v>
      </c>
      <c r="V25" s="701" t="s">
        <v>14</v>
      </c>
      <c r="W25" s="702">
        <f>J25</f>
        <v>100</v>
      </c>
      <c r="X25" s="703"/>
      <c r="Y25" s="368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85"/>
      <c r="Q26" s="1343"/>
      <c r="R26" s="701"/>
      <c r="S26" s="702"/>
      <c r="T26" s="701"/>
      <c r="U26" s="702"/>
      <c r="V26" s="701"/>
      <c r="W26" s="702"/>
      <c r="X26" s="703"/>
      <c r="Y26" s="3685"/>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8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5"/>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85"/>
      <c r="Q28" s="1352" t="str">
        <f t="shared" si="8"/>
        <v>毗邻道路的类型与等级</v>
      </c>
      <c r="R28" s="705" t="s">
        <v>14</v>
      </c>
      <c r="S28" s="706">
        <f t="shared" si="10"/>
        <v>100</v>
      </c>
      <c r="T28" s="705" t="s">
        <v>14</v>
      </c>
      <c r="U28" s="706">
        <f t="shared" si="11"/>
        <v>100</v>
      </c>
      <c r="V28" s="705" t="s">
        <v>14</v>
      </c>
      <c r="W28" s="706">
        <f t="shared" si="12"/>
        <v>100</v>
      </c>
      <c r="X28" s="1355"/>
      <c r="Y28" s="368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85"/>
      <c r="Q29" s="1352"/>
      <c r="R29" s="705"/>
      <c r="S29" s="706"/>
      <c r="T29" s="705"/>
      <c r="U29" s="706"/>
      <c r="V29" s="705"/>
      <c r="W29" s="706"/>
      <c r="X29" s="1355"/>
      <c r="Y29" s="3685"/>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85"/>
      <c r="Q30" s="1352" t="str">
        <f t="shared" si="8"/>
        <v>土地级别</v>
      </c>
      <c r="R30" s="705" t="s">
        <v>14</v>
      </c>
      <c r="S30" s="706">
        <f t="shared" si="10"/>
        <v>100</v>
      </c>
      <c r="T30" s="705" t="s">
        <v>14</v>
      </c>
      <c r="U30" s="706">
        <f t="shared" si="11"/>
        <v>100</v>
      </c>
      <c r="V30" s="705" t="s">
        <v>14</v>
      </c>
      <c r="W30" s="706">
        <f t="shared" si="12"/>
        <v>100</v>
      </c>
      <c r="X30" s="1355"/>
      <c r="Y30" s="368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85"/>
      <c r="Q31" s="1352">
        <f t="shared" si="8"/>
        <v>111</v>
      </c>
      <c r="R31" s="705" t="s">
        <v>14</v>
      </c>
      <c r="S31" s="706">
        <f t="shared" si="10"/>
        <v>100</v>
      </c>
      <c r="T31" s="705" t="s">
        <v>14</v>
      </c>
      <c r="U31" s="706">
        <f t="shared" si="11"/>
        <v>100</v>
      </c>
      <c r="V31" s="705" t="s">
        <v>14</v>
      </c>
      <c r="W31" s="706">
        <f t="shared" si="12"/>
        <v>100</v>
      </c>
      <c r="X31" s="1355"/>
      <c r="Y31" s="368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61" t="s">
        <v>1694</v>
      </c>
      <c r="Q32" s="1352">
        <f t="shared" si="8"/>
        <v>111</v>
      </c>
      <c r="R32" s="705" t="s">
        <v>14</v>
      </c>
      <c r="S32" s="706">
        <f t="shared" si="10"/>
        <v>100</v>
      </c>
      <c r="T32" s="705" t="s">
        <v>14</v>
      </c>
      <c r="U32" s="706">
        <f t="shared" si="11"/>
        <v>100</v>
      </c>
      <c r="V32" s="705" t="s">
        <v>14</v>
      </c>
      <c r="W32" s="706">
        <f t="shared" si="12"/>
        <v>100</v>
      </c>
      <c r="X32" s="1355"/>
      <c r="Y32" s="3689"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89"/>
      <c r="Q33" s="1352">
        <f t="shared" si="8"/>
        <v>111</v>
      </c>
      <c r="R33" s="708" t="s">
        <v>14</v>
      </c>
      <c r="S33" s="709">
        <f t="shared" si="10"/>
        <v>100</v>
      </c>
      <c r="T33" s="708" t="s">
        <v>14</v>
      </c>
      <c r="U33" s="709">
        <f t="shared" si="11"/>
        <v>100</v>
      </c>
      <c r="V33" s="708" t="s">
        <v>14</v>
      </c>
      <c r="W33" s="709">
        <f t="shared" si="12"/>
        <v>100</v>
      </c>
      <c r="X33" s="710"/>
      <c r="Y33" s="3689"/>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89"/>
      <c r="Q34" s="1352" t="str">
        <f>B34</f>
        <v>宗地面积</v>
      </c>
      <c r="R34" s="705" t="s">
        <v>14</v>
      </c>
      <c r="S34" s="706" t="e">
        <f t="shared" si="10"/>
        <v>#N/A</v>
      </c>
      <c r="T34" s="705" t="s">
        <v>14</v>
      </c>
      <c r="U34" s="706" t="e">
        <f t="shared" si="11"/>
        <v>#N/A</v>
      </c>
      <c r="V34" s="705" t="s">
        <v>14</v>
      </c>
      <c r="W34" s="706" t="e">
        <f t="shared" si="12"/>
        <v>#N/A</v>
      </c>
      <c r="X34" s="1355"/>
      <c r="Y34" s="3689"/>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89"/>
      <c r="Q35" s="1352" t="str">
        <f t="shared" ref="Q35:Q40" si="14">B35</f>
        <v>宗地形状</v>
      </c>
      <c r="R35" s="705" t="s">
        <v>14</v>
      </c>
      <c r="S35" s="706">
        <f t="shared" si="10"/>
        <v>100</v>
      </c>
      <c r="T35" s="705" t="s">
        <v>14</v>
      </c>
      <c r="U35" s="706">
        <f t="shared" si="11"/>
        <v>100</v>
      </c>
      <c r="V35" s="705" t="s">
        <v>14</v>
      </c>
      <c r="W35" s="706">
        <f t="shared" si="12"/>
        <v>100</v>
      </c>
      <c r="X35" s="1355"/>
      <c r="Y35" s="3689"/>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89"/>
      <c r="Q36" s="1352" t="str">
        <f t="shared" si="14"/>
        <v>宗地开发程度</v>
      </c>
      <c r="R36" s="701" t="s">
        <v>14</v>
      </c>
      <c r="S36" s="702">
        <f t="shared" si="10"/>
        <v>100</v>
      </c>
      <c r="T36" s="701" t="s">
        <v>14</v>
      </c>
      <c r="U36" s="702">
        <f t="shared" si="11"/>
        <v>100</v>
      </c>
      <c r="V36" s="701" t="s">
        <v>14</v>
      </c>
      <c r="W36" s="702">
        <f t="shared" si="12"/>
        <v>100</v>
      </c>
      <c r="X36" s="703"/>
      <c r="Y36" s="3689"/>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89" t="s">
        <v>1694</v>
      </c>
      <c r="Q37" s="1352" t="str">
        <f t="shared" si="14"/>
        <v>工程地质条件</v>
      </c>
      <c r="R37" s="705" t="s">
        <v>14</v>
      </c>
      <c r="S37" s="706">
        <f t="shared" si="10"/>
        <v>100</v>
      </c>
      <c r="T37" s="705" t="s">
        <v>14</v>
      </c>
      <c r="U37" s="706">
        <f t="shared" si="11"/>
        <v>100</v>
      </c>
      <c r="V37" s="705" t="s">
        <v>14</v>
      </c>
      <c r="W37" s="706">
        <f t="shared" si="12"/>
        <v>100</v>
      </c>
      <c r="X37" s="1355"/>
      <c r="Y37" s="3689"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89"/>
      <c r="Q38" s="1352">
        <f t="shared" si="14"/>
        <v>111</v>
      </c>
      <c r="R38" s="705" t="s">
        <v>14</v>
      </c>
      <c r="S38" s="706">
        <f t="shared" si="10"/>
        <v>100</v>
      </c>
      <c r="T38" s="705" t="s">
        <v>14</v>
      </c>
      <c r="U38" s="706">
        <f t="shared" si="11"/>
        <v>100</v>
      </c>
      <c r="V38" s="705" t="s">
        <v>14</v>
      </c>
      <c r="W38" s="706">
        <f t="shared" si="12"/>
        <v>100</v>
      </c>
      <c r="X38" s="1355"/>
      <c r="Y38" s="368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89"/>
      <c r="Q39" s="1352">
        <f t="shared" si="14"/>
        <v>111</v>
      </c>
      <c r="R39" s="705" t="s">
        <v>14</v>
      </c>
      <c r="S39" s="706">
        <f t="shared" si="10"/>
        <v>100</v>
      </c>
      <c r="T39" s="705" t="s">
        <v>14</v>
      </c>
      <c r="U39" s="706">
        <f t="shared" si="11"/>
        <v>100</v>
      </c>
      <c r="V39" s="705" t="s">
        <v>14</v>
      </c>
      <c r="W39" s="706">
        <f t="shared" si="12"/>
        <v>100</v>
      </c>
      <c r="X39" s="1355"/>
      <c r="Y39" s="368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89"/>
      <c r="Q40" s="1352">
        <f t="shared" si="14"/>
        <v>111</v>
      </c>
      <c r="R40" s="708" t="s">
        <v>14</v>
      </c>
      <c r="S40" s="709">
        <f t="shared" si="10"/>
        <v>100</v>
      </c>
      <c r="T40" s="708" t="s">
        <v>14</v>
      </c>
      <c r="U40" s="709">
        <f t="shared" si="11"/>
        <v>100</v>
      </c>
      <c r="V40" s="708" t="s">
        <v>14</v>
      </c>
      <c r="W40" s="709">
        <f t="shared" si="12"/>
        <v>100</v>
      </c>
      <c r="X40" s="710"/>
      <c r="Y40" s="3689"/>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18"/>
      <c r="M41" s="2710"/>
      <c r="N41" s="2710"/>
      <c r="O41" s="2719"/>
      <c r="P41" s="3691" t="str">
        <f>A41</f>
        <v>成交单价</v>
      </c>
      <c r="Q41" s="3691"/>
      <c r="R41" s="3652">
        <f>E41</f>
        <v>0</v>
      </c>
      <c r="S41" s="3652"/>
      <c r="T41" s="3652">
        <f>G41</f>
        <v>0</v>
      </c>
      <c r="U41" s="3652"/>
      <c r="V41" s="3652">
        <f>I41</f>
        <v>0</v>
      </c>
      <c r="W41" s="3652"/>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691" t="str">
        <f>A42</f>
        <v>比较价值（元/平方米）</v>
      </c>
      <c r="Q42" s="3691"/>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8"/>
      <c r="M43" s="2710"/>
      <c r="N43" s="2710"/>
      <c r="O43" s="2719"/>
      <c r="P43" s="3693" t="str">
        <f>A43</f>
        <v>估价对象XX用房的比较价值（楼面单价，元/平方米）</v>
      </c>
      <c r="Q43" s="3694"/>
      <c r="R43" s="3764" t="e">
        <f>ROUND(IF(D42="简单平均",AVERAGE(R42:W42),R42*F42+T42*H42+V42*J42),0)</f>
        <v>#DIV/0!</v>
      </c>
      <c r="S43" s="3764"/>
      <c r="T43" s="3764"/>
      <c r="U43" s="3764"/>
      <c r="V43" s="3764"/>
      <c r="W43" s="3764"/>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1879</v>
      </c>
      <c r="B50" s="633" t="s">
        <v>1880</v>
      </c>
      <c r="C50" s="1983" t="s">
        <v>1881</v>
      </c>
      <c r="D50" s="1984" t="s">
        <v>1882</v>
      </c>
      <c r="E50" s="634" t="s">
        <v>1883</v>
      </c>
      <c r="F50" s="635" t="s">
        <v>1884</v>
      </c>
      <c r="G50" s="3669" t="s">
        <v>1885</v>
      </c>
      <c r="H50" s="3765"/>
      <c r="I50" s="1356" t="s">
        <v>1921</v>
      </c>
      <c r="J50" s="1356" t="str">
        <f>项目基本情况!F35</f>
        <v>大兴区</v>
      </c>
      <c r="K50" s="1986" t="s">
        <v>1887</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1888</v>
      </c>
      <c r="B51" s="637" t="e">
        <f>C43</f>
        <v>#DIV/0!</v>
      </c>
      <c r="C51" s="638">
        <v>1</v>
      </c>
      <c r="D51" s="944">
        <v>1</v>
      </c>
      <c r="E51" s="638">
        <f>'数据-汇总表'!E8+'数据-汇总表'!E9</f>
        <v>898.61</v>
      </c>
      <c r="F51" s="639" t="e">
        <f t="shared" ref="F51:F60" si="15">ROUND(B51*E51/10000,0)</f>
        <v>#DIV/0!</v>
      </c>
      <c r="G51" s="3668"/>
      <c r="H51" s="3691"/>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1889</v>
      </c>
      <c r="B52" s="218" t="e">
        <f>ROUND($C$43*C52*D52,0)</f>
        <v>#DIV/0!</v>
      </c>
      <c r="C52" s="171">
        <f t="shared" ref="C52:C60" si="16">IF($C$50="北京市系数",I52,J52)</f>
        <v>0.6</v>
      </c>
      <c r="D52" s="945">
        <v>0.25</v>
      </c>
      <c r="E52" s="642"/>
      <c r="F52" s="639" t="e">
        <f t="shared" si="15"/>
        <v>#DIV/0!</v>
      </c>
      <c r="G52" s="3000" t="s">
        <v>1890</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1891</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1892</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1893</v>
      </c>
      <c r="B56" s="218" t="e">
        <f t="shared" si="17"/>
        <v>#DIV/0!</v>
      </c>
      <c r="C56" s="171">
        <f t="shared" si="16"/>
        <v>0</v>
      </c>
      <c r="D56" s="945">
        <v>0.25</v>
      </c>
      <c r="E56" s="217">
        <f>'数据-汇总表'!E11</f>
        <v>0</v>
      </c>
      <c r="F56" s="639" t="e">
        <f t="shared" si="15"/>
        <v>#DIV/0!</v>
      </c>
      <c r="G56" s="1987" t="s">
        <v>1894</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1895</v>
      </c>
      <c r="B57" s="218" t="e">
        <f t="shared" si="17"/>
        <v>#DIV/0!</v>
      </c>
      <c r="C57" s="171">
        <f t="shared" si="16"/>
        <v>0</v>
      </c>
      <c r="D57" s="945">
        <v>0.25</v>
      </c>
      <c r="E57" s="217">
        <f>'数据-汇总表'!E12</f>
        <v>0</v>
      </c>
      <c r="F57" s="639" t="e">
        <f t="shared" si="15"/>
        <v>#DIV/0!</v>
      </c>
      <c r="G57" s="892" t="s">
        <v>1896</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1899</v>
      </c>
      <c r="B59" s="218" t="e">
        <f t="shared" si="17"/>
        <v>#DIV/0!</v>
      </c>
      <c r="C59" s="171">
        <f t="shared" si="16"/>
        <v>0.15</v>
      </c>
      <c r="D59" s="945">
        <v>0.25</v>
      </c>
      <c r="E59" s="217">
        <f>'数据-汇总表'!E14</f>
        <v>0</v>
      </c>
      <c r="F59" s="639" t="e">
        <f t="shared" si="15"/>
        <v>#DIV/0!</v>
      </c>
      <c r="G59" s="1987" t="s">
        <v>1890</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1900</v>
      </c>
      <c r="B60" s="218" t="e">
        <f t="shared" si="17"/>
        <v>#DIV/0!</v>
      </c>
      <c r="C60" s="171">
        <f t="shared" si="16"/>
        <v>0</v>
      </c>
      <c r="D60" s="945">
        <v>0.25</v>
      </c>
      <c r="E60" s="217">
        <f>'数据-汇总表'!E15</f>
        <v>0</v>
      </c>
      <c r="F60" s="639" t="e">
        <f t="shared" si="15"/>
        <v>#DIV/0!</v>
      </c>
      <c r="G60" s="1988" t="s">
        <v>1894</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1796</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1902</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1714</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1679</v>
      </c>
      <c r="B68" s="459"/>
      <c r="C68" s="471" t="s">
        <v>1774</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1717</v>
      </c>
      <c r="B70" s="477" t="s">
        <v>1683</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1686</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1688</v>
      </c>
      <c r="B83" s="477" t="s">
        <v>1827</v>
      </c>
      <c r="C83" s="522" t="s">
        <v>1719</v>
      </c>
      <c r="D83" s="522" t="s">
        <v>1720</v>
      </c>
      <c r="E83" s="522" t="s">
        <v>1721</v>
      </c>
      <c r="F83" s="522" t="s">
        <v>1722</v>
      </c>
      <c r="G83" s="522" t="s">
        <v>1723</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1724</v>
      </c>
      <c r="C85" s="527" t="s">
        <v>1719</v>
      </c>
      <c r="D85" s="527" t="s">
        <v>1720</v>
      </c>
      <c r="E85" s="527" t="s">
        <v>1721</v>
      </c>
      <c r="F85" s="527" t="s">
        <v>1722</v>
      </c>
      <c r="G85" s="527" t="s">
        <v>1723</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1813</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1871</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1912</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1914</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1915</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6"/>
      <c r="C1" s="2146"/>
      <c r="D1" s="2146"/>
      <c r="E1" s="2146"/>
      <c r="F1" s="2787"/>
      <c r="G1" s="2787"/>
      <c r="H1" s="2787"/>
      <c r="I1" s="2787"/>
      <c r="J1" s="2787"/>
      <c r="K1" s="2787"/>
      <c r="L1" s="2787"/>
      <c r="M1" s="2787"/>
      <c r="N1" s="2787"/>
      <c r="O1" s="2787"/>
      <c r="P1" s="2787"/>
    </row>
    <row r="2" spans="1:16" ht="15.75">
      <c r="A2" s="2144" t="s">
        <v>2071</v>
      </c>
      <c r="B2" s="2596">
        <f ca="1">SUMIF(B6:B13,"&lt;&gt;#ref!",B6:B13)</f>
        <v>1503</v>
      </c>
      <c r="C2" s="2144" t="s">
        <v>2072</v>
      </c>
      <c r="D2" s="2144" t="s">
        <v>2073</v>
      </c>
      <c r="E2" s="2606">
        <f ca="1">SUMIF(E6:E13,"&lt;&gt;#ref!",E6:E13)</f>
        <v>898.61</v>
      </c>
      <c r="F2" s="2787"/>
      <c r="G2" s="2787"/>
      <c r="H2" s="2787"/>
      <c r="I2" s="2787"/>
      <c r="J2" s="2787"/>
      <c r="K2" s="2787"/>
      <c r="L2" s="2787"/>
      <c r="M2" s="2787"/>
      <c r="N2" s="2787"/>
      <c r="O2" s="2787"/>
      <c r="P2" s="2787"/>
    </row>
    <row r="3" spans="1:16" ht="15.75">
      <c r="A3" s="2144" t="s">
        <v>2074</v>
      </c>
      <c r="B3" s="2596">
        <f ca="1">ROUND(B2*10000/E2,0)</f>
        <v>16726</v>
      </c>
      <c r="C3" s="2144" t="s">
        <v>2080</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2075</v>
      </c>
      <c r="B5" s="2604" t="s">
        <v>2076</v>
      </c>
      <c r="C5" s="2145"/>
      <c r="D5" s="2787"/>
      <c r="E5" s="2605" t="s">
        <v>2077</v>
      </c>
      <c r="F5" s="2787"/>
      <c r="G5" s="2787"/>
      <c r="H5" s="2787"/>
      <c r="I5" s="2787"/>
      <c r="J5" s="2787"/>
      <c r="K5" s="2787"/>
      <c r="L5" s="2787"/>
      <c r="M5" s="2787"/>
      <c r="N5" s="2787"/>
      <c r="O5" s="2787"/>
      <c r="P5" s="2787"/>
    </row>
    <row r="6" spans="1:16" ht="15.75">
      <c r="A6" s="2603" t="s">
        <v>2078</v>
      </c>
      <c r="B6" s="2596">
        <f ca="1">SUMIF(INDIRECT("'"&amp;A6&amp;"'"&amp;"!A:A"),"总价",INDIRECT("'"&amp;A6&amp;"'"&amp;"!B:B"))</f>
        <v>1503</v>
      </c>
      <c r="C6" s="2144" t="s">
        <v>2072</v>
      </c>
      <c r="D6" s="2787"/>
      <c r="E6" s="2606">
        <f ca="1">SUMIF(INDIRECT("'"&amp;A6&amp;"'"&amp;"!C:C"),"建筑面积",INDIRECT("'"&amp;A6&amp;"'"&amp;"!D:D"))</f>
        <v>898.61</v>
      </c>
      <c r="F6" s="2787"/>
      <c r="G6" s="2787"/>
      <c r="H6" s="2787"/>
      <c r="I6" s="2787"/>
      <c r="J6" s="2787"/>
      <c r="K6" s="2787"/>
      <c r="L6" s="2787"/>
      <c r="M6" s="2787"/>
      <c r="N6" s="2787"/>
      <c r="O6" s="2787"/>
      <c r="P6" s="2787"/>
    </row>
    <row r="7" spans="1:16" ht="15.75">
      <c r="A7" s="2603"/>
      <c r="B7" s="2596" t="e">
        <f ca="1">SUMIF(INDIRECT("'"&amp;A7&amp;"'"&amp;"!A:A"),"总价",INDIRECT("'"&amp;A7&amp;"'"&amp;"!B:B"))</f>
        <v>#REF!</v>
      </c>
      <c r="C7" s="2144" t="s">
        <v>2072</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2072</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2072</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2072</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2072</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2072</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2072</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W459" sqref="W45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73" t="s">
        <v>2082</v>
      </c>
      <c r="D1" s="3774"/>
      <c r="E1" s="3774"/>
      <c r="F1" s="3774"/>
      <c r="G1" s="3774"/>
      <c r="H1" s="3774"/>
      <c r="I1" s="3774"/>
      <c r="J1" s="3774"/>
      <c r="K1" s="3774"/>
      <c r="L1" s="3774"/>
      <c r="M1" s="3774"/>
      <c r="N1" s="3774"/>
      <c r="O1" s="3774"/>
      <c r="P1" s="3774"/>
      <c r="Q1" s="3774"/>
      <c r="R1" s="3774"/>
      <c r="S1" s="3775"/>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1"/>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83" t="s">
        <v>2601</v>
      </c>
      <c r="B20" s="3776" t="s">
        <v>2622</v>
      </c>
      <c r="C20" s="3097" t="s">
        <v>2433</v>
      </c>
      <c r="D20" s="3098"/>
      <c r="E20" s="3099">
        <v>1</v>
      </c>
      <c r="F20" s="3100" t="s">
        <v>2434</v>
      </c>
      <c r="G20" s="3100"/>
    </row>
    <row r="21" spans="1:13" ht="19.5" customHeight="1">
      <c r="A21" s="3784"/>
      <c r="B21" s="3777"/>
      <c r="C21" s="3101" t="s">
        <v>2435</v>
      </c>
      <c r="D21" s="3102"/>
      <c r="E21" s="3103">
        <v>1</v>
      </c>
      <c r="F21" s="3100" t="s">
        <v>2436</v>
      </c>
      <c r="G21" s="3100"/>
    </row>
    <row r="22" spans="1:13" ht="19.5" customHeight="1">
      <c r="A22" s="3784"/>
      <c r="B22" s="3777"/>
      <c r="C22" s="3101" t="s">
        <v>2437</v>
      </c>
      <c r="D22" s="3102"/>
      <c r="E22" s="3103">
        <v>0.9</v>
      </c>
      <c r="F22" s="3100" t="s">
        <v>2438</v>
      </c>
      <c r="G22" s="3100"/>
    </row>
    <row r="23" spans="1:13" ht="19.5" customHeight="1">
      <c r="A23" s="3784"/>
      <c r="B23" s="3777"/>
      <c r="C23" s="3101" t="s">
        <v>2439</v>
      </c>
      <c r="D23" s="3102"/>
      <c r="E23" s="3103">
        <v>0.9</v>
      </c>
      <c r="F23" s="3100" t="s">
        <v>2440</v>
      </c>
      <c r="G23" s="3100"/>
    </row>
    <row r="24" spans="1:13" ht="19.5" customHeight="1">
      <c r="A24" s="3784"/>
      <c r="B24" s="3777"/>
      <c r="C24" s="3101" t="s">
        <v>2441</v>
      </c>
      <c r="D24" s="3102"/>
      <c r="E24" s="3103">
        <v>0.8</v>
      </c>
      <c r="F24" s="3100" t="s">
        <v>2442</v>
      </c>
      <c r="G24" s="3100"/>
    </row>
    <row r="25" spans="1:13" ht="19.5" customHeight="1" thickBot="1">
      <c r="A25" s="3785"/>
      <c r="B25" s="3778"/>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79" t="s">
        <v>2625</v>
      </c>
      <c r="B27" s="3776" t="s">
        <v>2606</v>
      </c>
      <c r="C27" s="3097" t="s">
        <v>2446</v>
      </c>
      <c r="D27" s="3098"/>
      <c r="E27" s="3099">
        <v>1</v>
      </c>
      <c r="F27" s="3100" t="s">
        <v>2447</v>
      </c>
      <c r="G27" s="3100"/>
    </row>
    <row r="28" spans="1:13" ht="19.5" customHeight="1">
      <c r="A28" s="3780"/>
      <c r="B28" s="3777"/>
      <c r="C28" s="3101" t="s">
        <v>2448</v>
      </c>
      <c r="D28" s="3102"/>
      <c r="E28" s="3103">
        <v>1</v>
      </c>
      <c r="F28" s="3100" t="s">
        <v>2449</v>
      </c>
      <c r="G28" s="3100"/>
    </row>
    <row r="29" spans="1:13" ht="19.5" customHeight="1">
      <c r="A29" s="3780"/>
      <c r="B29" s="3777"/>
      <c r="C29" s="3101" t="s">
        <v>2450</v>
      </c>
      <c r="D29" s="3102"/>
      <c r="E29" s="3103">
        <v>0.8</v>
      </c>
      <c r="F29" s="3100" t="s">
        <v>2451</v>
      </c>
      <c r="G29" s="3100"/>
    </row>
    <row r="30" spans="1:13" ht="19.5" customHeight="1">
      <c r="A30" s="3780"/>
      <c r="B30" s="3777"/>
      <c r="C30" s="3101" t="s">
        <v>2452</v>
      </c>
      <c r="D30" s="3102"/>
      <c r="E30" s="3103">
        <v>0.8</v>
      </c>
      <c r="F30" s="3100" t="s">
        <v>2453</v>
      </c>
      <c r="G30" s="3100"/>
    </row>
    <row r="31" spans="1:13" ht="19.5" customHeight="1">
      <c r="A31" s="3780"/>
      <c r="B31" s="3777"/>
      <c r="C31" s="3101" t="s">
        <v>2454</v>
      </c>
      <c r="D31" s="3102"/>
      <c r="E31" s="3103">
        <v>0.8</v>
      </c>
      <c r="F31" s="3100" t="s">
        <v>2455</v>
      </c>
      <c r="G31" s="3100"/>
    </row>
    <row r="32" spans="1:13" ht="19.5" customHeight="1">
      <c r="A32" s="3780"/>
      <c r="B32" s="3777"/>
      <c r="C32" s="3101" t="s">
        <v>2456</v>
      </c>
      <c r="D32" s="3102"/>
      <c r="E32" s="3103">
        <v>0.7</v>
      </c>
      <c r="F32" s="3100" t="s">
        <v>2457</v>
      </c>
      <c r="G32" s="3100"/>
    </row>
    <row r="33" spans="1:7" ht="19.5" customHeight="1">
      <c r="A33" s="3780"/>
      <c r="B33" s="3777"/>
      <c r="C33" s="3101" t="s">
        <v>2458</v>
      </c>
      <c r="D33" s="3102"/>
      <c r="E33" s="3103">
        <v>0.8</v>
      </c>
      <c r="F33" s="3100" t="s">
        <v>2459</v>
      </c>
      <c r="G33" s="3100"/>
    </row>
    <row r="34" spans="1:7" ht="19.5" customHeight="1">
      <c r="A34" s="3780"/>
      <c r="B34" s="3777"/>
      <c r="C34" s="3101" t="s">
        <v>2460</v>
      </c>
      <c r="D34" s="3102"/>
      <c r="E34" s="3103">
        <v>0.6</v>
      </c>
      <c r="F34" s="3100" t="s">
        <v>2461</v>
      </c>
      <c r="G34" s="3100"/>
    </row>
    <row r="35" spans="1:7" ht="19.5" customHeight="1">
      <c r="A35" s="3780"/>
      <c r="B35" s="3777"/>
      <c r="C35" s="3101" t="s">
        <v>2462</v>
      </c>
      <c r="D35" s="3102"/>
      <c r="E35" s="3103">
        <v>0.2</v>
      </c>
      <c r="F35" s="3100" t="s">
        <v>2463</v>
      </c>
      <c r="G35" s="3100"/>
    </row>
    <row r="36" spans="1:7" ht="19.5" customHeight="1">
      <c r="A36" s="3780"/>
      <c r="B36" s="3777"/>
      <c r="C36" s="3101" t="s">
        <v>2464</v>
      </c>
      <c r="D36" s="3102"/>
      <c r="E36" s="3103">
        <v>0.2</v>
      </c>
      <c r="F36" s="3100" t="s">
        <v>2465</v>
      </c>
      <c r="G36" s="3100"/>
    </row>
    <row r="37" spans="1:7" ht="19.5" customHeight="1">
      <c r="A37" s="3780"/>
      <c r="B37" s="3782" t="s">
        <v>2626</v>
      </c>
      <c r="C37" s="3101" t="s">
        <v>2466</v>
      </c>
      <c r="D37" s="3102"/>
      <c r="E37" s="3103">
        <v>0.6</v>
      </c>
      <c r="F37" s="3100" t="s">
        <v>2467</v>
      </c>
      <c r="G37" s="3100"/>
    </row>
    <row r="38" spans="1:7" ht="19.5" customHeight="1">
      <c r="A38" s="3780"/>
      <c r="B38" s="3777"/>
      <c r="C38" s="3101" t="s">
        <v>2468</v>
      </c>
      <c r="D38" s="3102"/>
      <c r="E38" s="3103">
        <v>0.6</v>
      </c>
      <c r="F38" s="3100" t="s">
        <v>2469</v>
      </c>
      <c r="G38" s="3100"/>
    </row>
    <row r="39" spans="1:7" ht="19.5" customHeight="1" thickBot="1">
      <c r="A39" s="3781"/>
      <c r="B39" s="3778"/>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83" t="s">
        <v>2604</v>
      </c>
      <c r="B41" s="3776" t="s">
        <v>2628</v>
      </c>
      <c r="C41" s="3097" t="s">
        <v>2473</v>
      </c>
      <c r="D41" s="3098"/>
      <c r="E41" s="3099">
        <v>1</v>
      </c>
      <c r="F41" s="3100" t="s">
        <v>2474</v>
      </c>
      <c r="G41" s="3100"/>
    </row>
    <row r="42" spans="1:7" ht="19.5" customHeight="1">
      <c r="A42" s="3784"/>
      <c r="B42" s="3777"/>
      <c r="C42" s="3101" t="s">
        <v>2475</v>
      </c>
      <c r="D42" s="3102"/>
      <c r="E42" s="3103">
        <v>1</v>
      </c>
      <c r="F42" s="3100" t="s">
        <v>2476</v>
      </c>
      <c r="G42" s="3100"/>
    </row>
    <row r="43" spans="1:7" ht="19.5" customHeight="1">
      <c r="A43" s="3784"/>
      <c r="B43" s="3786"/>
      <c r="C43" s="3101" t="s">
        <v>2477</v>
      </c>
      <c r="D43" s="3102"/>
      <c r="E43" s="3103">
        <v>1.5</v>
      </c>
      <c r="F43" s="3100" t="s">
        <v>2478</v>
      </c>
      <c r="G43" s="3100"/>
    </row>
    <row r="44" spans="1:7" ht="19.5" customHeight="1">
      <c r="A44" s="3784"/>
      <c r="B44" s="3112" t="s">
        <v>2629</v>
      </c>
      <c r="C44" s="3101" t="s">
        <v>2630</v>
      </c>
      <c r="D44" s="3102"/>
      <c r="E44" s="3103">
        <v>2</v>
      </c>
      <c r="F44" s="3100" t="s">
        <v>2479</v>
      </c>
      <c r="G44" s="3100"/>
    </row>
    <row r="45" spans="1:7" ht="19.5" customHeight="1">
      <c r="A45" s="3784"/>
      <c r="B45" s="3782" t="s">
        <v>2631</v>
      </c>
      <c r="C45" s="3101" t="s">
        <v>2480</v>
      </c>
      <c r="D45" s="3102"/>
      <c r="E45" s="3103">
        <v>1</v>
      </c>
      <c r="F45" s="3100" t="s">
        <v>2481</v>
      </c>
      <c r="G45" s="3100"/>
    </row>
    <row r="46" spans="1:7" ht="19.5" customHeight="1">
      <c r="A46" s="3784"/>
      <c r="B46" s="3777"/>
      <c r="C46" s="3101" t="s">
        <v>2482</v>
      </c>
      <c r="D46" s="3102"/>
      <c r="E46" s="3103">
        <v>1</v>
      </c>
      <c r="F46" s="3100" t="s">
        <v>2483</v>
      </c>
      <c r="G46" s="3100"/>
    </row>
    <row r="47" spans="1:7" ht="19.5" customHeight="1">
      <c r="A47" s="3784"/>
      <c r="B47" s="3777"/>
      <c r="C47" s="3101" t="s">
        <v>2484</v>
      </c>
      <c r="D47" s="3102"/>
      <c r="E47" s="3103">
        <v>1</v>
      </c>
      <c r="F47" s="3100" t="s">
        <v>2485</v>
      </c>
      <c r="G47" s="3100"/>
    </row>
    <row r="48" spans="1:7" ht="19.5" customHeight="1">
      <c r="A48" s="3784"/>
      <c r="B48" s="3777"/>
      <c r="C48" s="3101" t="s">
        <v>2486</v>
      </c>
      <c r="D48" s="3102"/>
      <c r="E48" s="3103">
        <v>1</v>
      </c>
      <c r="F48" s="3100" t="s">
        <v>2487</v>
      </c>
      <c r="G48" s="3100"/>
    </row>
    <row r="49" spans="1:7" ht="19.5" customHeight="1">
      <c r="A49" s="3784"/>
      <c r="B49" s="3777"/>
      <c r="C49" s="3101" t="s">
        <v>2488</v>
      </c>
      <c r="D49" s="3102"/>
      <c r="E49" s="3103">
        <v>1</v>
      </c>
      <c r="F49" s="3100" t="s">
        <v>2489</v>
      </c>
      <c r="G49" s="3100"/>
    </row>
    <row r="50" spans="1:7" ht="19.5" customHeight="1">
      <c r="A50" s="3784"/>
      <c r="B50" s="3777"/>
      <c r="C50" s="3101" t="s">
        <v>2490</v>
      </c>
      <c r="D50" s="3102"/>
      <c r="E50" s="3103">
        <v>1</v>
      </c>
      <c r="F50" s="3100" t="s">
        <v>2491</v>
      </c>
      <c r="G50" s="3100"/>
    </row>
    <row r="51" spans="1:7" ht="19.5" customHeight="1" thickBot="1">
      <c r="A51" s="3785"/>
      <c r="B51" s="3778"/>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82" t="s">
        <v>2645</v>
      </c>
      <c r="C73" s="3086" t="s">
        <v>2646</v>
      </c>
      <c r="D73" s="3086" t="s">
        <v>2647</v>
      </c>
      <c r="E73" s="3112">
        <v>0.2</v>
      </c>
      <c r="F73" s="3112">
        <v>25</v>
      </c>
    </row>
    <row r="74" spans="1:7" ht="24">
      <c r="A74" s="3112">
        <v>2</v>
      </c>
      <c r="B74" s="3777"/>
      <c r="C74" s="3086" t="s">
        <v>2648</v>
      </c>
      <c r="D74" s="3086" t="s">
        <v>2649</v>
      </c>
      <c r="E74" s="3112">
        <v>0.2</v>
      </c>
      <c r="F74" s="3112">
        <v>25</v>
      </c>
    </row>
    <row r="75" spans="1:7" ht="24">
      <c r="A75" s="3112">
        <v>3</v>
      </c>
      <c r="B75" s="3777"/>
      <c r="C75" s="3086" t="s">
        <v>2650</v>
      </c>
      <c r="D75" s="3086" t="s">
        <v>2651</v>
      </c>
      <c r="E75" s="3112">
        <v>0.2</v>
      </c>
      <c r="F75" s="3112">
        <v>25</v>
      </c>
    </row>
    <row r="76" spans="1:7" ht="13.5">
      <c r="A76" s="3112">
        <v>4</v>
      </c>
      <c r="B76" s="3777"/>
      <c r="C76" s="3086" t="s">
        <v>2652</v>
      </c>
      <c r="D76" s="3086" t="s">
        <v>2653</v>
      </c>
      <c r="E76" s="3112">
        <v>0.15</v>
      </c>
      <c r="F76" s="3112">
        <v>20</v>
      </c>
    </row>
    <row r="77" spans="1:7" ht="24">
      <c r="A77" s="3112">
        <v>5</v>
      </c>
      <c r="B77" s="3777"/>
      <c r="C77" s="3086" t="s">
        <v>2654</v>
      </c>
      <c r="D77" s="3086" t="s">
        <v>2655</v>
      </c>
      <c r="E77" s="3112">
        <v>0.15</v>
      </c>
      <c r="F77" s="3112">
        <v>20</v>
      </c>
    </row>
    <row r="78" spans="1:7" ht="24">
      <c r="A78" s="3112">
        <v>6</v>
      </c>
      <c r="B78" s="3777"/>
      <c r="C78" s="3086" t="s">
        <v>2656</v>
      </c>
      <c r="D78" s="3086" t="s">
        <v>2657</v>
      </c>
      <c r="E78" s="3112">
        <v>0.15</v>
      </c>
      <c r="F78" s="3112">
        <v>20</v>
      </c>
    </row>
    <row r="79" spans="1:7" ht="24">
      <c r="A79" s="3112">
        <v>7</v>
      </c>
      <c r="B79" s="3777"/>
      <c r="C79" s="3086" t="s">
        <v>2658</v>
      </c>
      <c r="D79" s="3086" t="s">
        <v>2659</v>
      </c>
      <c r="E79" s="3112">
        <v>0.15</v>
      </c>
      <c r="F79" s="3112">
        <v>20</v>
      </c>
    </row>
    <row r="80" spans="1:7" ht="24">
      <c r="A80" s="3112">
        <v>8</v>
      </c>
      <c r="B80" s="3777"/>
      <c r="C80" s="3086" t="s">
        <v>2660</v>
      </c>
      <c r="D80" s="3086" t="s">
        <v>2661</v>
      </c>
      <c r="E80" s="3112">
        <v>0.1</v>
      </c>
      <c r="F80" s="3112">
        <v>15</v>
      </c>
    </row>
    <row r="81" spans="1:6" ht="24">
      <c r="A81" s="3112">
        <v>9</v>
      </c>
      <c r="B81" s="3777"/>
      <c r="C81" s="3086" t="s">
        <v>2662</v>
      </c>
      <c r="D81" s="3086" t="s">
        <v>2663</v>
      </c>
      <c r="E81" s="3112">
        <v>0.1</v>
      </c>
      <c r="F81" s="3112">
        <v>15</v>
      </c>
    </row>
    <row r="82" spans="1:6" ht="24">
      <c r="A82" s="3112">
        <v>10</v>
      </c>
      <c r="B82" s="3777"/>
      <c r="C82" s="3086" t="s">
        <v>2664</v>
      </c>
      <c r="D82" s="3086" t="s">
        <v>2665</v>
      </c>
      <c r="E82" s="3112">
        <v>0.1</v>
      </c>
      <c r="F82" s="3112">
        <v>15</v>
      </c>
    </row>
    <row r="83" spans="1:6" ht="24">
      <c r="A83" s="3112">
        <v>11</v>
      </c>
      <c r="B83" s="3777"/>
      <c r="C83" s="3086" t="s">
        <v>2666</v>
      </c>
      <c r="D83" s="3086" t="s">
        <v>2667</v>
      </c>
      <c r="E83" s="3112">
        <v>0.1</v>
      </c>
      <c r="F83" s="3112">
        <v>15</v>
      </c>
    </row>
    <row r="84" spans="1:6" ht="24">
      <c r="A84" s="3112">
        <v>12</v>
      </c>
      <c r="B84" s="3777"/>
      <c r="C84" s="3086" t="s">
        <v>2668</v>
      </c>
      <c r="D84" s="3086" t="s">
        <v>2669</v>
      </c>
      <c r="E84" s="3112">
        <v>0.1</v>
      </c>
      <c r="F84" s="3112">
        <v>15</v>
      </c>
    </row>
    <row r="85" spans="1:6" ht="13.5">
      <c r="A85" s="3112">
        <v>13</v>
      </c>
      <c r="B85" s="3777"/>
      <c r="C85" s="3086" t="s">
        <v>2670</v>
      </c>
      <c r="D85" s="3086" t="s">
        <v>2671</v>
      </c>
      <c r="E85" s="3112">
        <v>0.1</v>
      </c>
      <c r="F85" s="3112">
        <v>15</v>
      </c>
    </row>
    <row r="86" spans="1:6" ht="13.5">
      <c r="A86" s="3112">
        <v>14</v>
      </c>
      <c r="B86" s="3777"/>
      <c r="C86" s="3086" t="s">
        <v>2672</v>
      </c>
      <c r="D86" s="3086" t="s">
        <v>2673</v>
      </c>
      <c r="E86" s="3112">
        <v>0.1</v>
      </c>
      <c r="F86" s="3112">
        <v>15</v>
      </c>
    </row>
    <row r="87" spans="1:6" ht="13.5">
      <c r="A87" s="3112">
        <v>15</v>
      </c>
      <c r="B87" s="3777"/>
      <c r="C87" s="3086" t="s">
        <v>2674</v>
      </c>
      <c r="D87" s="3086" t="s">
        <v>2675</v>
      </c>
      <c r="E87" s="3112">
        <v>0.1</v>
      </c>
      <c r="F87" s="3112">
        <v>15</v>
      </c>
    </row>
    <row r="88" spans="1:6" ht="24">
      <c r="A88" s="3112">
        <v>16</v>
      </c>
      <c r="B88" s="3777"/>
      <c r="C88" s="3086" t="s">
        <v>2676</v>
      </c>
      <c r="D88" s="3086" t="s">
        <v>2677</v>
      </c>
      <c r="E88" s="3112">
        <v>0.1</v>
      </c>
      <c r="F88" s="3112">
        <v>15</v>
      </c>
    </row>
    <row r="89" spans="1:6" ht="24">
      <c r="A89" s="3112">
        <v>17</v>
      </c>
      <c r="B89" s="3786"/>
      <c r="C89" s="3086" t="s">
        <v>2678</v>
      </c>
      <c r="D89" s="3086" t="s">
        <v>2679</v>
      </c>
      <c r="E89" s="3112">
        <v>0.1</v>
      </c>
      <c r="F89" s="3112">
        <v>15</v>
      </c>
    </row>
    <row r="90" spans="1:6" ht="13.5">
      <c r="A90" s="3112">
        <v>18</v>
      </c>
      <c r="B90" s="3782" t="s">
        <v>2680</v>
      </c>
      <c r="C90" s="3086" t="s">
        <v>2681</v>
      </c>
      <c r="D90" s="3086" t="s">
        <v>2682</v>
      </c>
      <c r="E90" s="3112">
        <v>0.2</v>
      </c>
      <c r="F90" s="3112">
        <v>25</v>
      </c>
    </row>
    <row r="91" spans="1:6" ht="24">
      <c r="A91" s="3112">
        <v>19</v>
      </c>
      <c r="B91" s="3777"/>
      <c r="C91" s="3086" t="s">
        <v>2683</v>
      </c>
      <c r="D91" s="3086" t="s">
        <v>2684</v>
      </c>
      <c r="E91" s="3112">
        <v>0.2</v>
      </c>
      <c r="F91" s="3112">
        <v>25</v>
      </c>
    </row>
    <row r="92" spans="1:6" ht="13.5">
      <c r="A92" s="3112">
        <v>20</v>
      </c>
      <c r="B92" s="3777"/>
      <c r="C92" s="3086" t="s">
        <v>2685</v>
      </c>
      <c r="D92" s="3086" t="s">
        <v>2686</v>
      </c>
      <c r="E92" s="3112">
        <v>0.15</v>
      </c>
      <c r="F92" s="3112">
        <v>20</v>
      </c>
    </row>
    <row r="93" spans="1:6" ht="13.5">
      <c r="A93" s="3112">
        <v>21</v>
      </c>
      <c r="B93" s="3777"/>
      <c r="C93" s="3086" t="s">
        <v>2687</v>
      </c>
      <c r="D93" s="3086" t="s">
        <v>2688</v>
      </c>
      <c r="E93" s="3112">
        <v>0.15</v>
      </c>
      <c r="F93" s="3112">
        <v>20</v>
      </c>
    </row>
    <row r="94" spans="1:6" ht="13.5">
      <c r="A94" s="3112">
        <v>22</v>
      </c>
      <c r="B94" s="3777"/>
      <c r="C94" s="3086" t="s">
        <v>2689</v>
      </c>
      <c r="D94" s="3086" t="s">
        <v>2690</v>
      </c>
      <c r="E94" s="3112">
        <v>0.15</v>
      </c>
      <c r="F94" s="3112">
        <v>20</v>
      </c>
    </row>
    <row r="95" spans="1:6" ht="36">
      <c r="A95" s="3112">
        <v>23</v>
      </c>
      <c r="B95" s="3777"/>
      <c r="C95" s="3086" t="s">
        <v>2691</v>
      </c>
      <c r="D95" s="3086" t="s">
        <v>2692</v>
      </c>
      <c r="E95" s="3112">
        <v>0.15</v>
      </c>
      <c r="F95" s="3112">
        <v>20</v>
      </c>
    </row>
    <row r="96" spans="1:6" ht="13.5">
      <c r="A96" s="3112">
        <v>24</v>
      </c>
      <c r="B96" s="3777"/>
      <c r="C96" s="3086" t="s">
        <v>2693</v>
      </c>
      <c r="D96" s="3086" t="s">
        <v>2694</v>
      </c>
      <c r="E96" s="3112">
        <v>0.1</v>
      </c>
      <c r="F96" s="3112">
        <v>15</v>
      </c>
    </row>
    <row r="97" spans="1:6" ht="13.5">
      <c r="A97" s="3112">
        <v>25</v>
      </c>
      <c r="B97" s="3777"/>
      <c r="C97" s="3086" t="s">
        <v>2695</v>
      </c>
      <c r="D97" s="3086" t="s">
        <v>2696</v>
      </c>
      <c r="E97" s="3112">
        <v>0.1</v>
      </c>
      <c r="F97" s="3112">
        <v>15</v>
      </c>
    </row>
    <row r="98" spans="1:6" ht="24">
      <c r="A98" s="3112">
        <v>26</v>
      </c>
      <c r="B98" s="3777"/>
      <c r="C98" s="3086" t="s">
        <v>2697</v>
      </c>
      <c r="D98" s="3086" t="s">
        <v>2698</v>
      </c>
      <c r="E98" s="3112">
        <v>0.1</v>
      </c>
      <c r="F98" s="3112">
        <v>15</v>
      </c>
    </row>
    <row r="99" spans="1:6" ht="24">
      <c r="A99" s="3112">
        <v>27</v>
      </c>
      <c r="B99" s="3777"/>
      <c r="C99" s="3086" t="s">
        <v>2699</v>
      </c>
      <c r="D99" s="3086" t="s">
        <v>2700</v>
      </c>
      <c r="E99" s="3112">
        <v>0.1</v>
      </c>
      <c r="F99" s="3112">
        <v>15</v>
      </c>
    </row>
    <row r="100" spans="1:6" ht="13.5">
      <c r="A100" s="3112">
        <v>28</v>
      </c>
      <c r="B100" s="3777"/>
      <c r="C100" s="3086" t="s">
        <v>2701</v>
      </c>
      <c r="D100" s="3086" t="s">
        <v>2702</v>
      </c>
      <c r="E100" s="3112">
        <v>0.1</v>
      </c>
      <c r="F100" s="3112">
        <v>15</v>
      </c>
    </row>
    <row r="101" spans="1:6" ht="13.5">
      <c r="A101" s="3112">
        <v>29</v>
      </c>
      <c r="B101" s="3777"/>
      <c r="C101" s="3086" t="s">
        <v>2703</v>
      </c>
      <c r="D101" s="3086" t="s">
        <v>2704</v>
      </c>
      <c r="E101" s="3112">
        <v>0.1</v>
      </c>
      <c r="F101" s="3112">
        <v>15</v>
      </c>
    </row>
    <row r="102" spans="1:6" ht="13.5">
      <c r="A102" s="3112">
        <v>30</v>
      </c>
      <c r="B102" s="3777"/>
      <c r="C102" s="3086" t="s">
        <v>2705</v>
      </c>
      <c r="D102" s="3086" t="s">
        <v>2706</v>
      </c>
      <c r="E102" s="3112">
        <v>0.1</v>
      </c>
      <c r="F102" s="3112">
        <v>15</v>
      </c>
    </row>
    <row r="103" spans="1:6" ht="24">
      <c r="A103" s="3112">
        <v>31</v>
      </c>
      <c r="B103" s="3777"/>
      <c r="C103" s="3086" t="s">
        <v>2707</v>
      </c>
      <c r="D103" s="3086" t="s">
        <v>2708</v>
      </c>
      <c r="E103" s="3112">
        <v>0.1</v>
      </c>
      <c r="F103" s="3112">
        <v>15</v>
      </c>
    </row>
    <row r="104" spans="1:6" ht="24">
      <c r="A104" s="3112">
        <v>32</v>
      </c>
      <c r="B104" s="3777"/>
      <c r="C104" s="3086" t="s">
        <v>2709</v>
      </c>
      <c r="D104" s="3086" t="s">
        <v>2710</v>
      </c>
      <c r="E104" s="3112">
        <v>0.1</v>
      </c>
      <c r="F104" s="3112">
        <v>15</v>
      </c>
    </row>
    <row r="105" spans="1:6" ht="24">
      <c r="A105" s="3112">
        <v>33</v>
      </c>
      <c r="B105" s="3777"/>
      <c r="C105" s="3086" t="s">
        <v>2711</v>
      </c>
      <c r="D105" s="3086" t="s">
        <v>2712</v>
      </c>
      <c r="E105" s="3112">
        <v>0.1</v>
      </c>
      <c r="F105" s="3112">
        <v>15</v>
      </c>
    </row>
    <row r="106" spans="1:6" ht="24">
      <c r="A106" s="3112">
        <v>34</v>
      </c>
      <c r="B106" s="3786"/>
      <c r="C106" s="3086" t="s">
        <v>2713</v>
      </c>
      <c r="D106" s="3086" t="s">
        <v>2714</v>
      </c>
      <c r="E106" s="3112">
        <v>0.1</v>
      </c>
      <c r="F106" s="3112">
        <v>15</v>
      </c>
    </row>
    <row r="107" spans="1:6" ht="24">
      <c r="A107" s="3112">
        <v>35</v>
      </c>
      <c r="B107" s="3782" t="s">
        <v>2715</v>
      </c>
      <c r="C107" s="3112" t="s">
        <v>2716</v>
      </c>
      <c r="D107" s="3086" t="s">
        <v>2717</v>
      </c>
      <c r="E107" s="3112">
        <v>0.15</v>
      </c>
      <c r="F107" s="3112">
        <v>20</v>
      </c>
    </row>
    <row r="108" spans="1:6" ht="13.5">
      <c r="A108" s="3112">
        <v>36</v>
      </c>
      <c r="B108" s="3777"/>
      <c r="C108" s="3112" t="s">
        <v>2718</v>
      </c>
      <c r="D108" s="3086" t="s">
        <v>2719</v>
      </c>
      <c r="E108" s="3112">
        <v>0.15</v>
      </c>
      <c r="F108" s="3112">
        <v>20</v>
      </c>
    </row>
    <row r="109" spans="1:6" ht="13.5">
      <c r="A109" s="3112">
        <v>37</v>
      </c>
      <c r="B109" s="3777"/>
      <c r="C109" s="3112" t="s">
        <v>2720</v>
      </c>
      <c r="D109" s="3086" t="s">
        <v>2721</v>
      </c>
      <c r="E109" s="3112">
        <v>0.15</v>
      </c>
      <c r="F109" s="3112">
        <v>20</v>
      </c>
    </row>
    <row r="110" spans="1:6" ht="13.5">
      <c r="A110" s="3112">
        <v>38</v>
      </c>
      <c r="B110" s="3777"/>
      <c r="C110" s="3112" t="s">
        <v>2722</v>
      </c>
      <c r="D110" s="3086" t="s">
        <v>2723</v>
      </c>
      <c r="E110" s="3112">
        <v>0.1</v>
      </c>
      <c r="F110" s="3112">
        <v>15</v>
      </c>
    </row>
    <row r="111" spans="1:6" ht="24">
      <c r="A111" s="3112">
        <v>39</v>
      </c>
      <c r="B111" s="3777"/>
      <c r="C111" s="3112" t="s">
        <v>2724</v>
      </c>
      <c r="D111" s="3086" t="s">
        <v>2725</v>
      </c>
      <c r="E111" s="3112">
        <v>0.1</v>
      </c>
      <c r="F111" s="3112">
        <v>15</v>
      </c>
    </row>
    <row r="112" spans="1:6" ht="24">
      <c r="A112" s="3112">
        <v>40</v>
      </c>
      <c r="B112" s="3786"/>
      <c r="C112" s="3112" t="s">
        <v>2726</v>
      </c>
      <c r="D112" s="3086" t="s">
        <v>2727</v>
      </c>
      <c r="E112" s="3112">
        <v>0.1</v>
      </c>
      <c r="F112" s="3112">
        <v>15</v>
      </c>
    </row>
    <row r="113" spans="1:6" ht="13.5">
      <c r="A113" s="3112">
        <v>41</v>
      </c>
      <c r="B113" s="3787" t="s">
        <v>2728</v>
      </c>
      <c r="C113" s="3112" t="s">
        <v>2729</v>
      </c>
      <c r="D113" s="3086" t="s">
        <v>2730</v>
      </c>
      <c r="E113" s="3112">
        <v>0.1</v>
      </c>
      <c r="F113" s="3112">
        <v>15</v>
      </c>
    </row>
    <row r="114" spans="1:6" ht="13.5">
      <c r="A114" s="3112">
        <v>42</v>
      </c>
      <c r="B114" s="3787"/>
      <c r="C114" s="3112" t="s">
        <v>2731</v>
      </c>
      <c r="D114" s="3086" t="s">
        <v>2732</v>
      </c>
      <c r="E114" s="3112">
        <v>0.1</v>
      </c>
      <c r="F114" s="3112">
        <v>15</v>
      </c>
    </row>
    <row r="115" spans="1:6" ht="24">
      <c r="A115" s="3112">
        <v>43</v>
      </c>
      <c r="B115" s="3787"/>
      <c r="C115" s="3112" t="s">
        <v>2733</v>
      </c>
      <c r="D115" s="3086" t="s">
        <v>2734</v>
      </c>
      <c r="E115" s="3112">
        <v>0.1</v>
      </c>
      <c r="F115" s="3112">
        <v>15</v>
      </c>
    </row>
    <row r="116" spans="1:6" ht="13.5">
      <c r="A116" s="3112">
        <v>44</v>
      </c>
      <c r="B116" s="3782" t="s">
        <v>2735</v>
      </c>
      <c r="C116" s="3112" t="s">
        <v>2736</v>
      </c>
      <c r="D116" s="3086" t="s">
        <v>2737</v>
      </c>
      <c r="E116" s="3112">
        <v>0.1</v>
      </c>
      <c r="F116" s="3112">
        <v>15</v>
      </c>
    </row>
    <row r="117" spans="1:6" ht="24">
      <c r="A117" s="3112">
        <v>45</v>
      </c>
      <c r="B117" s="3786"/>
      <c r="C117" s="3086" t="s">
        <v>2738</v>
      </c>
      <c r="D117" s="3086" t="s">
        <v>2739</v>
      </c>
      <c r="E117" s="3112">
        <v>0.1</v>
      </c>
      <c r="F117" s="3112">
        <v>15</v>
      </c>
    </row>
    <row r="118" spans="1:6" ht="24">
      <c r="A118" s="3112">
        <v>46</v>
      </c>
      <c r="B118" s="3782" t="s">
        <v>2740</v>
      </c>
      <c r="C118" s="3112" t="s">
        <v>2741</v>
      </c>
      <c r="D118" s="3086" t="s">
        <v>2742</v>
      </c>
      <c r="E118" s="3112">
        <v>0.1</v>
      </c>
      <c r="F118" s="3112">
        <v>15</v>
      </c>
    </row>
    <row r="119" spans="1:6" ht="24">
      <c r="A119" s="3112">
        <v>47</v>
      </c>
      <c r="B119" s="3786"/>
      <c r="C119" s="3112" t="s">
        <v>2743</v>
      </c>
      <c r="D119" s="3086" t="s">
        <v>2744</v>
      </c>
      <c r="E119" s="3112">
        <v>0.1</v>
      </c>
      <c r="F119" s="3112">
        <v>15</v>
      </c>
    </row>
    <row r="120" spans="1:6" ht="13.5">
      <c r="A120" s="3112">
        <v>48</v>
      </c>
      <c r="B120" s="3782" t="s">
        <v>2745</v>
      </c>
      <c r="C120" s="3112" t="s">
        <v>2746</v>
      </c>
      <c r="D120" s="3086" t="s">
        <v>2747</v>
      </c>
      <c r="E120" s="3112">
        <v>0.1</v>
      </c>
      <c r="F120" s="3112">
        <v>15</v>
      </c>
    </row>
    <row r="121" spans="1:6" ht="13.5">
      <c r="A121" s="3112">
        <v>49</v>
      </c>
      <c r="B121" s="3786"/>
      <c r="C121" s="3112" t="s">
        <v>2748</v>
      </c>
      <c r="D121" s="3086" t="s">
        <v>2749</v>
      </c>
      <c r="E121" s="3112">
        <v>0.1</v>
      </c>
      <c r="F121" s="3112">
        <v>15</v>
      </c>
    </row>
    <row r="122" spans="1:6" ht="24">
      <c r="A122" s="3112">
        <v>50</v>
      </c>
      <c r="B122" s="3787" t="s">
        <v>2750</v>
      </c>
      <c r="C122" s="3112" t="s">
        <v>2751</v>
      </c>
      <c r="D122" s="3086" t="s">
        <v>2752</v>
      </c>
      <c r="E122" s="3112">
        <v>0.1</v>
      </c>
      <c r="F122" s="3112">
        <v>15</v>
      </c>
    </row>
    <row r="123" spans="1:6" ht="24">
      <c r="A123" s="3112">
        <v>51</v>
      </c>
      <c r="B123" s="3787"/>
      <c r="C123" s="3112" t="s">
        <v>2753</v>
      </c>
      <c r="D123" s="3086" t="s">
        <v>2754</v>
      </c>
      <c r="E123" s="3112">
        <v>0.1</v>
      </c>
      <c r="F123" s="3112">
        <v>15</v>
      </c>
    </row>
    <row r="124" spans="1:6" ht="24">
      <c r="A124" s="3112">
        <v>52</v>
      </c>
      <c r="B124" s="3787" t="s">
        <v>2755</v>
      </c>
      <c r="C124" s="3112" t="s">
        <v>2756</v>
      </c>
      <c r="D124" s="3086" t="s">
        <v>2757</v>
      </c>
      <c r="E124" s="3112">
        <v>0.1</v>
      </c>
      <c r="F124" s="3112">
        <v>15</v>
      </c>
    </row>
    <row r="125" spans="1:6" ht="24">
      <c r="A125" s="3112">
        <v>53</v>
      </c>
      <c r="B125" s="3787"/>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87" t="s">
        <v>2763</v>
      </c>
      <c r="C127" s="3112" t="s">
        <v>2764</v>
      </c>
      <c r="D127" s="3086" t="s">
        <v>2765</v>
      </c>
      <c r="E127" s="3112">
        <v>0.1</v>
      </c>
      <c r="F127" s="3112">
        <v>15</v>
      </c>
    </row>
    <row r="128" spans="1:6" ht="13.5">
      <c r="A128" s="3112">
        <v>56</v>
      </c>
      <c r="B128" s="3787"/>
      <c r="C128" s="3112" t="s">
        <v>2766</v>
      </c>
      <c r="D128" s="3086" t="s">
        <v>2767</v>
      </c>
      <c r="E128" s="3112">
        <v>0.1</v>
      </c>
      <c r="F128" s="3112">
        <v>15</v>
      </c>
    </row>
    <row r="129" spans="1:6" ht="24">
      <c r="A129" s="3112">
        <v>57</v>
      </c>
      <c r="B129" s="3787"/>
      <c r="C129" s="3112" t="s">
        <v>2768</v>
      </c>
      <c r="D129" s="3086" t="s">
        <v>2769</v>
      </c>
      <c r="E129" s="3112">
        <v>0.1</v>
      </c>
      <c r="F129" s="3112">
        <v>15</v>
      </c>
    </row>
    <row r="130" spans="1:6" ht="24">
      <c r="A130" s="3112">
        <v>58</v>
      </c>
      <c r="B130" s="3787" t="s">
        <v>2770</v>
      </c>
      <c r="C130" s="3112" t="s">
        <v>2771</v>
      </c>
      <c r="D130" s="3086" t="s">
        <v>2772</v>
      </c>
      <c r="E130" s="3112">
        <v>0.1</v>
      </c>
      <c r="F130" s="3112">
        <v>15</v>
      </c>
    </row>
    <row r="131" spans="1:6" ht="13.5">
      <c r="A131" s="3112">
        <v>59</v>
      </c>
      <c r="B131" s="3787"/>
      <c r="C131" s="3112" t="s">
        <v>2773</v>
      </c>
      <c r="D131" s="3086" t="s">
        <v>2774</v>
      </c>
      <c r="E131" s="3112">
        <v>0.1</v>
      </c>
      <c r="F131" s="3112">
        <v>15</v>
      </c>
    </row>
    <row r="132" spans="1:6" ht="13.5">
      <c r="A132" s="3112">
        <v>60</v>
      </c>
      <c r="B132" s="3782" t="s">
        <v>2775</v>
      </c>
      <c r="C132" s="3112" t="s">
        <v>2776</v>
      </c>
      <c r="D132" s="3086" t="s">
        <v>2777</v>
      </c>
      <c r="E132" s="3112">
        <v>0.1</v>
      </c>
      <c r="F132" s="3112">
        <v>15</v>
      </c>
    </row>
    <row r="133" spans="1:6" ht="13.5">
      <c r="A133" s="3112">
        <v>61</v>
      </c>
      <c r="B133" s="3786"/>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87" t="s">
        <v>2783</v>
      </c>
      <c r="C135" s="3112" t="s">
        <v>2784</v>
      </c>
      <c r="D135" s="3086" t="s">
        <v>2785</v>
      </c>
      <c r="E135" s="3112">
        <v>0.1</v>
      </c>
      <c r="F135" s="3112">
        <v>15</v>
      </c>
    </row>
    <row r="136" spans="1:6" ht="13.5">
      <c r="A136" s="3112">
        <v>64</v>
      </c>
      <c r="B136" s="3787"/>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27576</v>
      </c>
      <c r="C2" s="2" t="s">
        <v>106</v>
      </c>
      <c r="D2" s="199"/>
      <c r="E2" s="199"/>
      <c r="F2" s="199"/>
      <c r="G2" s="199"/>
    </row>
    <row r="3" spans="1:7" s="200" customFormat="1" ht="18" customHeight="1" thickBot="1">
      <c r="A3" s="203" t="s">
        <v>58</v>
      </c>
      <c r="B3" s="204">
        <f ca="1">ROUND(B2*10000/'数据-汇总表'!E3,0)</f>
        <v>306874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18</v>
      </c>
      <c r="D10" s="845">
        <f>'数据-汇总表'!E6</f>
        <v>898.61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v>
      </c>
      <c r="D19" s="849">
        <f>'数据-汇总表'!E3</f>
        <v>898.61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341</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v>
      </c>
      <c r="D37" s="217">
        <f>'数据-汇总表'!E3</f>
        <v>898.61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96" t="s">
        <v>94</v>
      </c>
    </row>
    <row r="43" spans="1:7" ht="13.5" customHeight="1">
      <c r="A43" s="780" t="s">
        <v>347</v>
      </c>
      <c r="B43" s="215" t="s">
        <v>426</v>
      </c>
      <c r="C43" s="238">
        <f ca="1">ROUND(IF('数据-取费表'!B22&lt;=1,C39*F22*'数据-取费表'!B21/2,C39*(POWER((1+F22),'数据-取费表'!B21/2)-1)),0)</f>
        <v>0</v>
      </c>
      <c r="D43" s="238"/>
      <c r="E43" s="238"/>
      <c r="F43" s="239"/>
      <c r="G43" s="3697"/>
    </row>
    <row r="44" spans="1:7" ht="13.5" customHeight="1">
      <c r="A44" s="780" t="s">
        <v>348</v>
      </c>
      <c r="B44" s="215" t="s">
        <v>428</v>
      </c>
      <c r="C44" s="238">
        <f ca="1">ROUND(IF('数据-取费表'!B22&lt;=1,C40*F22*'数据-取费表'!B21/2,C40*(POWER((1+F22),'数据-取费表'!B21/2)-1)),4)</f>
        <v>4.0000000000000002E-4</v>
      </c>
      <c r="D44" s="238"/>
      <c r="E44" s="238"/>
      <c r="F44" s="239"/>
      <c r="G44" s="3698"/>
    </row>
    <row r="45" spans="1:7" s="214" customFormat="1" ht="13.5" customHeight="1">
      <c r="A45" s="777" t="s">
        <v>341</v>
      </c>
      <c r="B45" s="244" t="s">
        <v>85</v>
      </c>
      <c r="C45" s="245">
        <f>C46</f>
        <v>57</v>
      </c>
      <c r="D45" s="235">
        <f>C47</f>
        <v>3.0000000000000001E-3</v>
      </c>
      <c r="E45" s="236" t="s">
        <v>102</v>
      </c>
      <c r="F45" s="246"/>
      <c r="G45" s="247" t="s">
        <v>434</v>
      </c>
    </row>
    <row r="46" spans="1:7" s="214" customFormat="1" ht="13.5" customHeight="1">
      <c r="A46" s="780" t="s">
        <v>349</v>
      </c>
      <c r="B46" s="248" t="s">
        <v>427</v>
      </c>
      <c r="C46" s="249">
        <f>ROUND((C33+C39)*F27,0)</f>
        <v>57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483</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459</v>
      </c>
      <c r="D51" s="232"/>
      <c r="E51" s="232"/>
      <c r="F51" s="264"/>
      <c r="G51" s="234" t="s">
        <v>37</v>
      </c>
    </row>
    <row r="52" spans="1:7" s="208" customFormat="1" ht="16.5" thickBot="1">
      <c r="A52" s="265" t="s">
        <v>38</v>
      </c>
      <c r="B52" s="266"/>
      <c r="C52" s="267">
        <f ca="1">C31+C51</f>
        <v>27576</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3"/>
      <c r="B4" s="3470" t="s">
        <v>917</v>
      </c>
      <c r="C4" s="3470"/>
      <c r="D4" s="3470"/>
      <c r="E4" s="1493"/>
    </row>
    <row r="5" spans="1:5" ht="16.5" thickTop="1">
      <c r="A5" s="1491"/>
      <c r="B5" s="3468" t="s">
        <v>909</v>
      </c>
      <c r="C5" s="1494" t="s">
        <v>910</v>
      </c>
      <c r="D5" s="850">
        <f ca="1">结果表!H101</f>
        <v>3763</v>
      </c>
      <c r="E5" s="1491"/>
    </row>
    <row r="6" spans="1:5" ht="15.75">
      <c r="A6" s="1491"/>
      <c r="B6" s="3468"/>
      <c r="C6" s="1494" t="s">
        <v>911</v>
      </c>
      <c r="D6" s="850" t="str">
        <f ca="1">NUMBERSTRING(INT(D5*10000),2)&amp;"元整"</f>
        <v>叁仟柒佰陆拾叁万元整</v>
      </c>
      <c r="E6" s="1491"/>
    </row>
    <row r="7" spans="1:5" ht="15.75">
      <c r="A7" s="1491"/>
      <c r="B7" s="3473"/>
      <c r="C7" s="1495" t="s">
        <v>912</v>
      </c>
      <c r="D7" s="851">
        <f ca="1">结果表!H102</f>
        <v>41871</v>
      </c>
      <c r="E7" s="1491"/>
    </row>
    <row r="8" spans="1:5" ht="15.75">
      <c r="A8" s="1491"/>
      <c r="B8" s="3474" t="str">
        <f>结果表!E103</f>
        <v>2.估价师知悉的除抵押担保权以外的法定优先受偿款</v>
      </c>
      <c r="C8" s="1496" t="s">
        <v>913</v>
      </c>
      <c r="D8" s="851">
        <f>结果表!H103</f>
        <v>0</v>
      </c>
      <c r="E8" s="1491"/>
    </row>
    <row r="9" spans="1:5" ht="15.75">
      <c r="A9" s="1491"/>
      <c r="B9" s="347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7" t="str">
        <f>结果表!E107</f>
        <v>——</v>
      </c>
      <c r="C13" s="1499" t="s">
        <v>910</v>
      </c>
      <c r="D13" s="853" t="str">
        <f>结果表!H107</f>
        <v>——</v>
      </c>
      <c r="E13" s="1491"/>
    </row>
    <row r="14" spans="1:5" ht="15.75">
      <c r="A14" s="1491"/>
      <c r="B14" s="3468"/>
      <c r="C14" s="1494" t="s">
        <v>911</v>
      </c>
      <c r="D14" s="850" t="e">
        <f>NUMBERSTRING(INT(D13*10000),2)&amp;"元整"</f>
        <v>#VALUE!</v>
      </c>
      <c r="E14" s="1491"/>
    </row>
    <row r="15" spans="1:5" ht="15">
      <c r="A15" s="1491"/>
      <c r="B15" s="3473"/>
      <c r="C15" s="1495" t="s">
        <v>921</v>
      </c>
      <c r="D15" s="859" t="e">
        <f ca="1">结果表!H108</f>
        <v>#VALUE!</v>
      </c>
      <c r="E15" s="1491"/>
    </row>
    <row r="16" spans="1:5" ht="15">
      <c r="A16" s="1491"/>
      <c r="B16" s="3474" t="str">
        <f>结果表!E109</f>
        <v>3.抵押担保权已注销时的房地产抵押价值</v>
      </c>
      <c r="C16" s="1499" t="s">
        <v>922</v>
      </c>
      <c r="D16" s="1500">
        <f ca="1">结果表!H109</f>
        <v>3763</v>
      </c>
      <c r="E16" s="1491"/>
    </row>
    <row r="17" spans="1:5" ht="15.75">
      <c r="A17" s="1491"/>
      <c r="B17" s="3475"/>
      <c r="C17" s="1494" t="s">
        <v>923</v>
      </c>
      <c r="D17" s="850" t="str">
        <f ca="1">NUMBERSTRING(INT(D16*10000),2)&amp;"元整"</f>
        <v>叁仟柒佰陆拾叁万元整</v>
      </c>
      <c r="E17" s="1491"/>
    </row>
    <row r="18" spans="1:5" ht="15">
      <c r="A18" s="1491"/>
      <c r="B18" s="3476"/>
      <c r="C18" s="1495" t="s">
        <v>912</v>
      </c>
      <c r="D18" s="859">
        <f ca="1">结果表!H110</f>
        <v>41876</v>
      </c>
      <c r="E18" s="1491"/>
    </row>
    <row r="19" spans="1:5" ht="15.75">
      <c r="A19" s="1491"/>
      <c r="B19" s="3467" t="str">
        <f>结果表!E111</f>
        <v>4.抵押净值</v>
      </c>
      <c r="C19" s="1499" t="s">
        <v>910</v>
      </c>
      <c r="D19" s="851">
        <f ca="1">结果表!H111</f>
        <v>3761</v>
      </c>
      <c r="E19" s="1491"/>
    </row>
    <row r="20" spans="1:5" ht="15.75">
      <c r="A20" s="1491"/>
      <c r="B20" s="3468"/>
      <c r="C20" s="1494" t="s">
        <v>923</v>
      </c>
      <c r="D20" s="850" t="str">
        <f ca="1">NUMBERSTRING(INT(D19*10000),2)&amp;"元整"</f>
        <v>叁仟柒佰陆拾壹万元整</v>
      </c>
      <c r="E20" s="1491"/>
    </row>
    <row r="21" spans="1:5" ht="15.75" thickBot="1">
      <c r="A21" s="1491"/>
      <c r="B21" s="3469"/>
      <c r="C21" s="1501" t="s">
        <v>921</v>
      </c>
      <c r="D21" s="860">
        <f ca="1">结果表!H112</f>
        <v>41854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0" t="s">
        <v>2839</v>
      </c>
      <c r="B1" s="3790"/>
      <c r="C1" s="3790"/>
      <c r="D1" s="3790"/>
      <c r="E1" s="3790"/>
      <c r="F1" s="3790"/>
      <c r="G1" s="3791"/>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88"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89"/>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2" t="s">
        <v>3181</v>
      </c>
      <c r="B1" s="3792"/>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3" t="s">
        <v>3232</v>
      </c>
      <c r="B1" s="3793"/>
      <c r="C1" s="3793"/>
      <c r="D1" s="3793"/>
      <c r="E1" s="3793"/>
      <c r="F1" s="3794"/>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F44" sqref="F44"/>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795" t="s">
        <v>456</v>
      </c>
      <c r="S1" s="3796"/>
      <c r="T1" s="3796"/>
      <c r="U1" s="3796"/>
      <c r="V1" s="3796"/>
      <c r="W1" s="3796"/>
      <c r="X1" s="3159"/>
      <c r="Y1" s="3795" t="s">
        <v>457</v>
      </c>
      <c r="Z1" s="3796"/>
      <c r="AA1" s="3796"/>
      <c r="AB1" s="3796"/>
      <c r="AC1" s="3796"/>
      <c r="AD1" s="3796"/>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795" t="s">
        <v>2824</v>
      </c>
      <c r="S18" s="3796"/>
      <c r="T18" s="3796"/>
      <c r="U18" s="3796"/>
      <c r="V18" s="3796"/>
      <c r="W18" s="3796"/>
      <c r="X18" s="3159"/>
      <c r="Y18" s="3795" t="s">
        <v>2825</v>
      </c>
      <c r="Z18" s="3796"/>
      <c r="AA18" s="3796"/>
      <c r="AB18" s="3796"/>
      <c r="AC18" s="3796"/>
      <c r="AD18" s="3796"/>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9" sqref="H9"/>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T22"/>
  <sheetViews>
    <sheetView topLeftCell="A28" workbookViewId="0">
      <selection activeCell="A50" sqref="A50"/>
    </sheetView>
  </sheetViews>
  <sheetFormatPr defaultRowHeight="13.5"/>
  <sheetData>
    <row r="15" spans="6:20">
      <c r="H15" s="3456"/>
      <c r="I15" s="3456"/>
    </row>
    <row r="16" spans="6:20">
      <c r="F16" s="3455" t="s">
        <v>3422</v>
      </c>
      <c r="H16" s="3455" t="s">
        <v>3415</v>
      </c>
      <c r="I16" s="3455" t="s">
        <v>3418</v>
      </c>
      <c r="J16" s="3455" t="s">
        <v>3419</v>
      </c>
      <c r="K16" s="3455" t="s">
        <v>3421</v>
      </c>
      <c r="L16" s="3455" t="s">
        <v>3420</v>
      </c>
      <c r="M16" s="3455" t="s">
        <v>3511</v>
      </c>
      <c r="N16" s="3455" t="s">
        <v>3506</v>
      </c>
      <c r="P16" s="3455" t="s">
        <v>3512</v>
      </c>
      <c r="R16" s="3455" t="s">
        <v>3513</v>
      </c>
      <c r="T16" s="3455" t="s">
        <v>3514</v>
      </c>
    </row>
    <row r="17" spans="5:20">
      <c r="E17">
        <f ca="1">ROUND(F17*$I$17,0)</f>
        <v>47802</v>
      </c>
      <c r="F17">
        <f>[3]典型户型修正!$C$18/100</f>
        <v>1</v>
      </c>
      <c r="G17">
        <v>1</v>
      </c>
      <c r="H17">
        <f ca="1">结果表!D103</f>
        <v>28032</v>
      </c>
      <c r="I17">
        <f ca="1">结果表!C103</f>
        <v>47802</v>
      </c>
      <c r="J17">
        <f ca="1">结果表!C105</f>
        <v>41871</v>
      </c>
      <c r="K17">
        <f>'数据-基础表'!H13</f>
        <v>898.61</v>
      </c>
      <c r="L17">
        <f ca="1">ROUND(K17*J17/10000,0)</f>
        <v>3763</v>
      </c>
      <c r="M17">
        <f ca="1">结果表!H111</f>
        <v>3761</v>
      </c>
      <c r="N17">
        <v>4367.24</v>
      </c>
      <c r="P17">
        <v>48600</v>
      </c>
      <c r="R17">
        <f ca="1">L17/N17</f>
        <v>0.8616425934915416</v>
      </c>
      <c r="T17">
        <f>P17/$P$17</f>
        <v>1</v>
      </c>
    </row>
    <row r="18" spans="5:20">
      <c r="E18">
        <f ca="1">ROUND(F18*$I$17,0)</f>
        <v>35852</v>
      </c>
      <c r="F18">
        <f>[3]典型户型修正!$D$18/100</f>
        <v>0.75</v>
      </c>
      <c r="G18">
        <v>2</v>
      </c>
      <c r="H18">
        <f>[4]结果表!$D$103</f>
        <v>23218</v>
      </c>
      <c r="I18">
        <f>[4]结果表!$C$103</f>
        <v>35855</v>
      </c>
      <c r="J18">
        <f>[4]结果表!$C$105</f>
        <v>32064</v>
      </c>
      <c r="K18">
        <f>'数据-基础表'!H14</f>
        <v>1123.69</v>
      </c>
      <c r="L18">
        <f>[4]结果表!$C$104</f>
        <v>3603</v>
      </c>
      <c r="M18">
        <f>[4]结果表!$H$111</f>
        <v>3601</v>
      </c>
      <c r="N18">
        <v>4281.26</v>
      </c>
      <c r="P18">
        <v>38100</v>
      </c>
      <c r="R18">
        <f t="shared" ref="R18:R22" si="0">L18/N18</f>
        <v>0.84157467661389396</v>
      </c>
      <c r="T18">
        <f t="shared" ref="T18:T21" si="1">P18/$P$17</f>
        <v>0.78395061728395066</v>
      </c>
    </row>
    <row r="19" spans="5:20">
      <c r="E19">
        <f ca="1">ROUND(F19*$I$17,0)</f>
        <v>28681</v>
      </c>
      <c r="F19">
        <f>[3]典型户型修正!$E$18/100</f>
        <v>0.6</v>
      </c>
      <c r="G19">
        <v>3</v>
      </c>
      <c r="H19">
        <f>[5]结果表!$D$103</f>
        <v>18826</v>
      </c>
      <c r="I19">
        <f>[5]结果表!$C$103</f>
        <v>28115</v>
      </c>
      <c r="J19">
        <f>[5]结果表!$C$105</f>
        <v>25330</v>
      </c>
      <c r="K19">
        <f>'数据-基础表'!H15</f>
        <v>1123.97</v>
      </c>
      <c r="L19">
        <f>[5]结果表!$H$107</f>
        <v>2847</v>
      </c>
      <c r="M19">
        <f>[5]结果表!$H$111</f>
        <v>2846</v>
      </c>
      <c r="N19">
        <v>3102.16</v>
      </c>
      <c r="P19">
        <v>27600</v>
      </c>
      <c r="R19">
        <f t="shared" si="0"/>
        <v>0.91774763390669734</v>
      </c>
      <c r="T19">
        <f t="shared" si="1"/>
        <v>0.5679012345679012</v>
      </c>
    </row>
    <row r="20" spans="5:20">
      <c r="E20">
        <f ca="1">ROUND(F20*$I$17,0)</f>
        <v>21511</v>
      </c>
      <c r="F20">
        <f>[3]典型户型修正!$F$18/100</f>
        <v>0.45</v>
      </c>
      <c r="G20" s="3455" t="s">
        <v>3416</v>
      </c>
      <c r="H20">
        <f>[3]结果表!$D$103</f>
        <v>13067</v>
      </c>
      <c r="I20">
        <f>[3]结果表!$C$103</f>
        <v>21086</v>
      </c>
      <c r="J20">
        <f>[3]结果表!$C$105</f>
        <v>18682</v>
      </c>
      <c r="K20">
        <f>'数据-基础表'!H16</f>
        <v>1040.05</v>
      </c>
      <c r="L20">
        <f>[3]结果表!$H$107</f>
        <v>1943</v>
      </c>
      <c r="M20">
        <f>[3]结果表!$H$111</f>
        <v>1942</v>
      </c>
      <c r="N20">
        <v>2072.56</v>
      </c>
      <c r="P20">
        <v>19927</v>
      </c>
      <c r="R20">
        <f t="shared" si="0"/>
        <v>0.93748793762303628</v>
      </c>
      <c r="T20">
        <f t="shared" si="1"/>
        <v>0.41002057613168724</v>
      </c>
    </row>
    <row r="21" spans="5:20">
      <c r="E21">
        <f ca="1">ROUND(F21*$I$17,0)</f>
        <v>21511</v>
      </c>
      <c r="F21">
        <f>[3]典型户型修正!$F$18/100</f>
        <v>0.45</v>
      </c>
      <c r="G21" s="3455" t="s">
        <v>3417</v>
      </c>
      <c r="H21">
        <f>[6]结果表!$D$103</f>
        <v>13076</v>
      </c>
      <c r="I21">
        <f>[6]结果表!$C$103</f>
        <v>21083</v>
      </c>
      <c r="J21">
        <f>[6]结果表!$C$105</f>
        <v>18682</v>
      </c>
      <c r="K21">
        <f>'数据-基础表'!H17</f>
        <v>820.57</v>
      </c>
      <c r="L21">
        <f>[6]结果表!$H$107</f>
        <v>1533</v>
      </c>
      <c r="M21">
        <f>[6]结果表!$H$111</f>
        <v>1532</v>
      </c>
      <c r="N21">
        <v>1635.19</v>
      </c>
      <c r="P21">
        <v>19927</v>
      </c>
      <c r="R21">
        <f t="shared" si="0"/>
        <v>0.93750573327870157</v>
      </c>
      <c r="T21">
        <f t="shared" si="1"/>
        <v>0.41002057613168724</v>
      </c>
    </row>
    <row r="22" spans="5:20">
      <c r="J22">
        <f ca="1">ROUND(L22*10000/K22,0)</f>
        <v>27340</v>
      </c>
      <c r="K22">
        <f>SUM(K17:K21)</f>
        <v>5006.8900000000003</v>
      </c>
      <c r="L22">
        <f ca="1">SUM(L17:L21)</f>
        <v>13689</v>
      </c>
      <c r="M22">
        <f ca="1">SUM(M17:M21)</f>
        <v>13682</v>
      </c>
      <c r="N22">
        <f>SUM(N17:N21)</f>
        <v>15458.41</v>
      </c>
      <c r="P22">
        <f>ROUND(N22*10000/K22,0)</f>
        <v>30874</v>
      </c>
      <c r="R22">
        <f t="shared" ca="1" si="0"/>
        <v>0.8855373870922042</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F1" zoomScale="115" zoomScaleNormal="115" workbookViewId="0">
      <selection activeCell="K4" sqref="K4"/>
    </sheetView>
  </sheetViews>
  <sheetFormatPr defaultRowHeight="13.5"/>
  <sheetData>
    <row r="1" spans="10:16">
      <c r="K1" s="3455" t="s">
        <v>3431</v>
      </c>
      <c r="L1" s="3455" t="s">
        <v>3432</v>
      </c>
      <c r="M1" s="3455" t="s">
        <v>3433</v>
      </c>
      <c r="N1" s="3455" t="s">
        <v>3434</v>
      </c>
      <c r="O1" s="3455" t="s">
        <v>3485</v>
      </c>
      <c r="P1" s="3455" t="s">
        <v>3487</v>
      </c>
    </row>
    <row r="2" spans="10:16">
      <c r="J2" s="3455" t="s">
        <v>3428</v>
      </c>
      <c r="K2" s="3455" t="s">
        <v>3515</v>
      </c>
      <c r="L2">
        <v>1200</v>
      </c>
      <c r="M2">
        <v>190.35</v>
      </c>
      <c r="N2">
        <f>ROUND(L2*10000/M2,0)</f>
        <v>63042</v>
      </c>
      <c r="O2">
        <v>2012</v>
      </c>
      <c r="P2">
        <f>ROUND(1-(1-0%)*(2023-O2)/60,2)</f>
        <v>0.82</v>
      </c>
    </row>
    <row r="3" spans="10:16">
      <c r="J3" s="3455" t="s">
        <v>3429</v>
      </c>
      <c r="K3" s="3455" t="s">
        <v>3486</v>
      </c>
      <c r="L3">
        <v>650</v>
      </c>
      <c r="M3">
        <v>104.96</v>
      </c>
      <c r="N3">
        <f>ROUND(L3*10000/M3,0)</f>
        <v>61928</v>
      </c>
      <c r="O3">
        <v>2007</v>
      </c>
      <c r="P3">
        <f>ROUND(1-(1-0%)*(2023-O3)/60,2)</f>
        <v>0.73</v>
      </c>
    </row>
    <row r="4" spans="10:16">
      <c r="J4" s="3455" t="s">
        <v>3430</v>
      </c>
      <c r="K4" s="3455" t="s">
        <v>3516</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9"/>
      <c r="B3" s="3479"/>
      <c r="C3" s="3479"/>
      <c r="D3" s="854" t="s">
        <v>925</v>
      </c>
      <c r="E3" s="854" t="s">
        <v>931</v>
      </c>
      <c r="F3" s="854" t="s">
        <v>925</v>
      </c>
      <c r="G3" s="854" t="s">
        <v>926</v>
      </c>
      <c r="H3" s="854" t="s">
        <v>925</v>
      </c>
      <c r="I3" s="854" t="s">
        <v>926</v>
      </c>
    </row>
    <row r="4" spans="1:9" ht="30">
      <c r="A4" s="1505" t="str">
        <f>项目基本情况!S2</f>
        <v>北京市陈庄子路3号院4号楼1层101房地产</v>
      </c>
      <c r="B4" s="854">
        <f>项目基本情况!C17</f>
        <v>898.61</v>
      </c>
      <c r="C4" s="854">
        <f>项目基本情况!C18</f>
        <v>0</v>
      </c>
      <c r="D4" s="854">
        <f ca="1">结果表!D118</f>
        <v>3078</v>
      </c>
      <c r="E4" s="854">
        <f ca="1">结果表!E118</f>
        <v>34250</v>
      </c>
      <c r="F4" s="854">
        <f ca="1">结果表!F118</f>
        <v>685</v>
      </c>
      <c r="G4" s="854">
        <f ca="1">结果表!G118</f>
        <v>7621</v>
      </c>
      <c r="H4" s="854">
        <f ca="1">结果表!H118</f>
        <v>3763</v>
      </c>
      <c r="I4" s="854">
        <f ca="1">结果表!I118</f>
        <v>41871</v>
      </c>
    </row>
    <row r="5" spans="1:9" ht="30" customHeight="1">
      <c r="A5" s="3479" t="s">
        <v>927</v>
      </c>
      <c r="B5" s="3479"/>
      <c r="C5" s="3479"/>
      <c r="D5" s="3479" t="str">
        <f ca="1">结果表!D119</f>
        <v>叁仟零柒拾捌万元整</v>
      </c>
      <c r="E5" s="3479"/>
      <c r="F5" s="3479" t="str">
        <f ca="1">结果表!F119</f>
        <v>陆佰捌拾伍万元整</v>
      </c>
      <c r="G5" s="3479"/>
      <c r="H5" s="3479" t="str">
        <f ca="1">结果表!H119</f>
        <v>叁仟柒佰陆拾叁万元整</v>
      </c>
      <c r="I5" s="3479"/>
    </row>
    <row r="6" spans="1:9" ht="15.75">
      <c r="A6" s="3480" t="str">
        <f>结果表!A120</f>
        <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
      </c>
      <c r="B8" s="3480"/>
      <c r="C8" s="3480"/>
      <c r="D8" s="3480" t="str">
        <f>结果表!D122</f>
        <v>——</v>
      </c>
      <c r="E8" s="3480"/>
      <c r="F8" s="3480"/>
      <c r="G8" s="3480"/>
      <c r="H8" s="3480"/>
      <c r="I8" s="3480"/>
    </row>
    <row r="9" spans="1:9" ht="15">
      <c r="A9" s="3479" t="s">
        <v>927</v>
      </c>
      <c r="B9" s="3479"/>
      <c r="C9" s="3479"/>
      <c r="D9" s="3479" t="e">
        <f>结果表!D123</f>
        <v>#VALUE!</v>
      </c>
      <c r="E9" s="3479"/>
      <c r="F9" s="3479"/>
      <c r="G9" s="3479"/>
      <c r="H9" s="3479"/>
      <c r="I9" s="3479"/>
    </row>
    <row r="10" spans="1:9" ht="15.75">
      <c r="A10" s="3480" t="str">
        <f>结果表!A124</f>
        <v/>
      </c>
      <c r="B10" s="3480"/>
      <c r="C10" s="3480"/>
      <c r="D10" s="3480">
        <f ca="1">结果表!D124</f>
        <v>3763</v>
      </c>
      <c r="E10" s="3480"/>
      <c r="F10" s="3480"/>
      <c r="G10" s="3480"/>
      <c r="H10" s="3480"/>
      <c r="I10" s="3480"/>
    </row>
    <row r="11" spans="1:9" ht="15">
      <c r="A11" s="3479" t="s">
        <v>927</v>
      </c>
      <c r="B11" s="3479"/>
      <c r="C11" s="3479"/>
      <c r="D11" s="3479" t="str">
        <f ca="1">结果表!D125</f>
        <v>叁仟柒佰陆拾叁万元整</v>
      </c>
      <c r="E11" s="3479"/>
      <c r="F11" s="3479"/>
      <c r="G11" s="3479"/>
      <c r="H11" s="3479"/>
      <c r="I11" s="3479"/>
    </row>
    <row r="12" spans="1:9" ht="15.75">
      <c r="A12" s="3480" t="str">
        <f>结果表!A126</f>
        <v/>
      </c>
      <c r="B12" s="3480"/>
      <c r="C12" s="3480"/>
      <c r="D12" s="3480">
        <f ca="1">结果表!D126</f>
        <v>3761</v>
      </c>
      <c r="E12" s="3480"/>
      <c r="F12" s="3480"/>
      <c r="G12" s="3480"/>
      <c r="H12" s="3480"/>
      <c r="I12" s="3480"/>
    </row>
    <row r="13" spans="1:9" ht="15.75" thickBot="1">
      <c r="A13" s="3484" t="s">
        <v>927</v>
      </c>
      <c r="B13" s="3484"/>
      <c r="C13" s="3484"/>
      <c r="D13" s="3484" t="str">
        <f ca="1">结果表!D127</f>
        <v>叁仟柒佰陆拾壹万元整</v>
      </c>
      <c r="E13" s="3484"/>
      <c r="F13" s="3484"/>
      <c r="G13" s="3484"/>
      <c r="H13" s="3484"/>
      <c r="I13" s="3484"/>
    </row>
    <row r="14" spans="1:9" ht="15" thickTop="1">
      <c r="A14" s="3485" t="s">
        <v>932</v>
      </c>
      <c r="B14" s="3485"/>
      <c r="C14" s="3485"/>
      <c r="D14" s="3485"/>
      <c r="E14" s="3485"/>
      <c r="F14" s="3485"/>
      <c r="G14" s="3485"/>
      <c r="H14" s="3485"/>
      <c r="I14" s="348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吴薇</v>
      </c>
      <c r="B5" s="1511">
        <f ca="1">项目基本情况!E4</f>
        <v>1419970001</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0" t="s">
        <v>956</v>
      </c>
      <c r="B15" s="3495" t="s">
        <v>109</v>
      </c>
      <c r="C15" s="3496"/>
    </row>
    <row r="16" spans="1:7" ht="13.5">
      <c r="A16" s="3501"/>
      <c r="B16" s="3495" t="s">
        <v>42</v>
      </c>
      <c r="C16" s="3496"/>
    </row>
    <row r="17" spans="1:3" ht="13.5">
      <c r="A17" s="3501"/>
      <c r="B17" s="3498" t="s">
        <v>957</v>
      </c>
      <c r="C17" s="1532" t="s">
        <v>956</v>
      </c>
    </row>
    <row r="18" spans="1:3" ht="13.5">
      <c r="A18" s="3501"/>
      <c r="B18" s="3498"/>
      <c r="C18" s="1532" t="s">
        <v>958</v>
      </c>
    </row>
    <row r="19" spans="1:3" ht="13.5">
      <c r="A19" s="3501"/>
      <c r="B19" s="3498"/>
      <c r="C19" s="1532" t="s">
        <v>959</v>
      </c>
    </row>
    <row r="20" spans="1:3" ht="13.5">
      <c r="A20" s="3502"/>
      <c r="B20" s="3497" t="s">
        <v>960</v>
      </c>
      <c r="C20" s="3496"/>
    </row>
    <row r="21" spans="1:3" ht="13.5">
      <c r="A21" s="1533" t="s">
        <v>961</v>
      </c>
      <c r="B21" s="1534"/>
      <c r="C21" s="1535"/>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2" t="s">
        <v>967</v>
      </c>
    </row>
    <row r="26" spans="1:3" ht="13.5">
      <c r="A26" s="3499"/>
      <c r="B26" s="3498"/>
      <c r="C26" s="1532" t="s">
        <v>968</v>
      </c>
    </row>
    <row r="27" spans="1:3" ht="13.5">
      <c r="A27" s="3499"/>
      <c r="B27" s="3498"/>
      <c r="C27" s="1532" t="s">
        <v>969</v>
      </c>
    </row>
    <row r="28" spans="1:3" ht="13.5">
      <c r="A28" s="3499"/>
      <c r="B28" s="3498"/>
      <c r="C28" s="1532" t="s">
        <v>970</v>
      </c>
    </row>
    <row r="29" spans="1:3" ht="13.5">
      <c r="A29" s="3499"/>
      <c r="B29" s="3498"/>
      <c r="C29" s="1532" t="s">
        <v>971</v>
      </c>
    </row>
    <row r="30" spans="1:3" ht="13.5">
      <c r="A30" s="3499"/>
      <c r="B30" s="3498"/>
      <c r="C30" s="1532" t="s">
        <v>972</v>
      </c>
    </row>
    <row r="31" spans="1:3" ht="13.5">
      <c r="A31" s="3499"/>
      <c r="B31" s="3498"/>
      <c r="C31" s="1532" t="s">
        <v>973</v>
      </c>
    </row>
    <row r="32" spans="1:3" ht="13.5">
      <c r="A32" s="3499"/>
      <c r="B32" s="3498"/>
      <c r="C32" s="1532" t="s">
        <v>974</v>
      </c>
    </row>
    <row r="33" spans="1:3" ht="13.5">
      <c r="A33" s="3499"/>
      <c r="B33" s="349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44937</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3" t="s">
        <v>2158</v>
      </c>
      <c r="B17" s="3503"/>
      <c r="C17" s="3503"/>
      <c r="D17" s="3503"/>
      <c r="E17" s="3503"/>
      <c r="F17" s="3503"/>
      <c r="G17" s="3503"/>
      <c r="H17" s="3503"/>
    </row>
    <row r="18" spans="1:8" ht="24" customHeight="1">
      <c r="A18" s="3504" t="s">
        <v>2159</v>
      </c>
      <c r="B18" s="3504"/>
      <c r="C18" s="3504"/>
      <c r="D18" s="2342"/>
      <c r="E18" s="3505" t="s">
        <v>2160</v>
      </c>
      <c r="F18" s="3504"/>
      <c r="G18" s="3504"/>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2023-01-11T07:15:03Z</dcterms:modified>
</cp:coreProperties>
</file>